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work\projects\IMDB project\for upload\"/>
    </mc:Choice>
  </mc:AlternateContent>
  <xr:revisionPtr revIDLastSave="0" documentId="13_ncr:1_{1DDFDD25-D9E5-4A57-9B98-276FE532F656}" xr6:coauthVersionLast="36" xr6:coauthVersionMax="36" xr10:uidLastSave="{00000000-0000-0000-0000-000000000000}"/>
  <bookViews>
    <workbookView xWindow="0" yWindow="0" windowWidth="23040" windowHeight="9096" xr2:uid="{00000000-000D-0000-FFFF-FFFF00000000}"/>
  </bookViews>
  <sheets>
    <sheet name="IMDB_Movies" sheetId="1" r:id="rId1"/>
    <sheet name="Charts" sheetId="6" r:id="rId2"/>
  </sheets>
  <externalReferences>
    <externalReference r:id="rId3"/>
  </externalReferences>
  <definedNames>
    <definedName name="_xlnm._FilterDatabase" localSheetId="0" hidden="1">IMDB_Movies!$A$1:$K$3941</definedName>
  </definedNames>
  <calcPr calcId="191029"/>
</workbook>
</file>

<file path=xl/calcChain.xml><?xml version="1.0" encoding="utf-8"?>
<calcChain xmlns="http://schemas.openxmlformats.org/spreadsheetml/2006/main">
  <c r="R41" i="1" l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24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24" i="1"/>
  <c r="M4" i="1"/>
  <c r="O4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N4" i="1"/>
  <c r="M3" i="1"/>
  <c r="N3" i="1" s="1"/>
  <c r="Q11" i="1" l="1"/>
  <c r="Q7" i="1"/>
  <c r="Q19" i="1"/>
  <c r="Q15" i="1"/>
  <c r="Q18" i="1"/>
  <c r="Q14" i="1"/>
  <c r="Q10" i="1"/>
  <c r="Q6" i="1"/>
  <c r="Q17" i="1"/>
  <c r="Q13" i="1"/>
  <c r="Q9" i="1"/>
  <c r="Q5" i="1"/>
  <c r="Q16" i="1"/>
  <c r="Q12" i="1"/>
  <c r="Q8" i="1"/>
  <c r="Q4" i="1"/>
  <c r="Q3" i="1"/>
  <c r="U19" i="1"/>
  <c r="U15" i="1"/>
  <c r="U11" i="1"/>
  <c r="U7" i="1"/>
  <c r="U18" i="1"/>
  <c r="U14" i="1"/>
  <c r="U10" i="1"/>
  <c r="U6" i="1"/>
  <c r="U17" i="1"/>
  <c r="U13" i="1"/>
  <c r="U9" i="1"/>
  <c r="U5" i="1"/>
  <c r="U16" i="1"/>
  <c r="U12" i="1"/>
  <c r="U8" i="1"/>
  <c r="U4" i="1"/>
  <c r="U3" i="1"/>
  <c r="T15" i="1"/>
  <c r="T11" i="1"/>
  <c r="T7" i="1"/>
  <c r="T19" i="1"/>
  <c r="T5" i="1"/>
  <c r="T18" i="1"/>
  <c r="T14" i="1"/>
  <c r="T10" i="1"/>
  <c r="T6" i="1"/>
  <c r="T17" i="1"/>
  <c r="T13" i="1"/>
  <c r="T9" i="1"/>
  <c r="T16" i="1"/>
  <c r="T12" i="1"/>
  <c r="T8" i="1"/>
  <c r="T4" i="1"/>
  <c r="T3" i="1"/>
  <c r="S19" i="1"/>
  <c r="S15" i="1"/>
  <c r="S11" i="1"/>
  <c r="S7" i="1"/>
  <c r="S18" i="1"/>
  <c r="S14" i="1"/>
  <c r="S10" i="1"/>
  <c r="S6" i="1"/>
  <c r="S17" i="1"/>
  <c r="S13" i="1"/>
  <c r="S9" i="1"/>
  <c r="S5" i="1"/>
  <c r="S16" i="1"/>
  <c r="S12" i="1"/>
  <c r="S8" i="1"/>
  <c r="S4" i="1"/>
  <c r="S3" i="1"/>
  <c r="R19" i="1"/>
  <c r="R15" i="1"/>
  <c r="R11" i="1"/>
  <c r="R7" i="1"/>
  <c r="R18" i="1"/>
  <c r="R14" i="1"/>
  <c r="R10" i="1"/>
  <c r="R6" i="1"/>
  <c r="R17" i="1"/>
  <c r="R13" i="1"/>
  <c r="R9" i="1"/>
  <c r="R5" i="1"/>
  <c r="R16" i="1"/>
  <c r="R12" i="1"/>
  <c r="R8" i="1"/>
  <c r="R4" i="1"/>
  <c r="R3" i="1"/>
  <c r="P19" i="1"/>
  <c r="P15" i="1"/>
  <c r="P11" i="1"/>
  <c r="P7" i="1"/>
  <c r="P18" i="1"/>
  <c r="P14" i="1"/>
  <c r="P10" i="1"/>
  <c r="P6" i="1"/>
  <c r="P17" i="1"/>
  <c r="P13" i="1"/>
  <c r="P9" i="1"/>
  <c r="P5" i="1"/>
  <c r="P16" i="1"/>
  <c r="P12" i="1"/>
  <c r="P8" i="1"/>
  <c r="P4" i="1"/>
  <c r="P3" i="1"/>
  <c r="O19" i="1"/>
  <c r="O15" i="1"/>
  <c r="O11" i="1"/>
  <c r="O7" i="1"/>
  <c r="O18" i="1"/>
  <c r="O14" i="1"/>
  <c r="O10" i="1"/>
  <c r="O6" i="1"/>
  <c r="O17" i="1"/>
  <c r="O13" i="1"/>
  <c r="O9" i="1"/>
  <c r="O5" i="1"/>
  <c r="O16" i="1"/>
  <c r="O12" i="1"/>
  <c r="O8" i="1"/>
  <c r="O3" i="1"/>
  <c r="K52" i="1" l="1"/>
  <c r="K173" i="1"/>
  <c r="K10" i="1"/>
  <c r="K284" i="1"/>
  <c r="K37" i="1"/>
  <c r="K315" i="1"/>
  <c r="K9" i="1"/>
  <c r="K58" i="1"/>
  <c r="K41" i="1"/>
  <c r="K744" i="1"/>
  <c r="K438" i="1"/>
  <c r="K14" i="1"/>
  <c r="K442" i="1"/>
  <c r="K67" i="1"/>
  <c r="K674" i="1"/>
  <c r="K5" i="1"/>
  <c r="K105" i="1"/>
  <c r="K787" i="1"/>
  <c r="K90" i="1"/>
  <c r="K79" i="1"/>
  <c r="K1427" i="1"/>
  <c r="K85" i="1"/>
  <c r="K509" i="1"/>
  <c r="K126" i="1"/>
  <c r="K3" i="1"/>
  <c r="K19" i="1"/>
  <c r="K1814" i="1"/>
  <c r="K4" i="1"/>
  <c r="K56" i="1"/>
  <c r="K26" i="1"/>
  <c r="K17" i="1"/>
  <c r="K39" i="1"/>
  <c r="K110" i="1"/>
  <c r="K77" i="1"/>
  <c r="K21" i="1"/>
  <c r="K98" i="1"/>
  <c r="K108" i="1"/>
  <c r="K151" i="1"/>
  <c r="K1386" i="1"/>
  <c r="K436" i="1"/>
  <c r="K522" i="1"/>
  <c r="K16" i="1"/>
  <c r="K1483" i="1"/>
  <c r="K34" i="1"/>
  <c r="K152" i="1"/>
  <c r="K112" i="1"/>
  <c r="K115" i="1"/>
  <c r="K1947" i="1"/>
  <c r="K194" i="1"/>
  <c r="K261" i="1"/>
  <c r="K890" i="1"/>
  <c r="K32" i="1"/>
  <c r="K48" i="1"/>
  <c r="K107" i="1"/>
  <c r="K1142" i="1"/>
  <c r="K121" i="1"/>
  <c r="K211" i="1"/>
  <c r="K691" i="1"/>
  <c r="K157" i="1"/>
  <c r="K1182" i="1"/>
  <c r="K544" i="1"/>
  <c r="K66" i="1"/>
  <c r="K371" i="1"/>
  <c r="K6" i="1"/>
  <c r="K62" i="1"/>
  <c r="K564" i="1"/>
  <c r="K46" i="1"/>
  <c r="K1131" i="1"/>
  <c r="K163" i="1"/>
  <c r="K1948" i="1"/>
  <c r="K823" i="1"/>
  <c r="K903" i="1"/>
  <c r="K924" i="1"/>
  <c r="K676" i="1"/>
  <c r="K601" i="1"/>
  <c r="K31" i="1"/>
  <c r="K29" i="1"/>
  <c r="K50" i="1"/>
  <c r="K325" i="1"/>
  <c r="K104" i="1"/>
  <c r="K143" i="1"/>
  <c r="K1894" i="1"/>
  <c r="K84" i="1"/>
  <c r="K106" i="1"/>
  <c r="K358" i="1"/>
  <c r="K122" i="1"/>
  <c r="K1295" i="1"/>
  <c r="K3614" i="1"/>
  <c r="K604" i="1"/>
  <c r="K129" i="1"/>
  <c r="K640" i="1"/>
  <c r="K40" i="1"/>
  <c r="K252" i="1"/>
  <c r="K63" i="1"/>
  <c r="K57" i="1"/>
  <c r="K1176" i="1"/>
  <c r="K286" i="1"/>
  <c r="K239" i="1"/>
  <c r="K72" i="1"/>
  <c r="K505" i="1"/>
  <c r="K1545" i="1"/>
  <c r="K1746" i="1"/>
  <c r="K44" i="1"/>
  <c r="K2198" i="1"/>
  <c r="K288" i="1"/>
  <c r="K1121" i="1"/>
  <c r="K321" i="1"/>
  <c r="K45" i="1"/>
  <c r="K879" i="1"/>
  <c r="K65" i="1"/>
  <c r="K69" i="1"/>
  <c r="K118" i="1"/>
  <c r="K88" i="1"/>
  <c r="K144" i="1"/>
  <c r="K145" i="1"/>
  <c r="K148" i="1"/>
  <c r="K422" i="1"/>
  <c r="K993" i="1"/>
  <c r="K395" i="1"/>
  <c r="K506" i="1"/>
  <c r="K22" i="1"/>
  <c r="K73" i="1"/>
  <c r="K146" i="1"/>
  <c r="K385" i="1"/>
  <c r="K512" i="1"/>
  <c r="K1138" i="1"/>
  <c r="K965" i="1"/>
  <c r="K570" i="1"/>
  <c r="K3473" i="1"/>
  <c r="K1263" i="1"/>
  <c r="K659" i="1"/>
  <c r="K635" i="1"/>
  <c r="K186" i="1"/>
  <c r="K204" i="1"/>
  <c r="K729" i="1"/>
  <c r="K503" i="1"/>
  <c r="K258" i="1"/>
  <c r="K1518" i="1"/>
  <c r="K3639" i="1"/>
  <c r="K2068" i="1"/>
  <c r="K772" i="1"/>
  <c r="K513" i="1"/>
  <c r="K132" i="1"/>
  <c r="K483" i="1"/>
  <c r="K165" i="1"/>
  <c r="K154" i="1"/>
  <c r="K488" i="1"/>
  <c r="K446" i="1"/>
  <c r="K243" i="1"/>
  <c r="K141" i="1"/>
  <c r="K1516" i="1"/>
  <c r="K794" i="1"/>
  <c r="K734" i="1"/>
  <c r="K2377" i="1"/>
  <c r="K87" i="1"/>
  <c r="K20" i="1"/>
  <c r="K348" i="1"/>
  <c r="K1228" i="1"/>
  <c r="K726" i="1"/>
  <c r="K1910" i="1"/>
  <c r="K1276" i="1"/>
  <c r="K607" i="1"/>
  <c r="K891" i="1"/>
  <c r="K2196" i="1"/>
  <c r="K2520" i="1"/>
  <c r="K397" i="1"/>
  <c r="K813" i="1"/>
  <c r="K340" i="1"/>
  <c r="K64" i="1"/>
  <c r="K1332" i="1"/>
  <c r="K450" i="1"/>
  <c r="K1786" i="1"/>
  <c r="K695" i="1"/>
  <c r="K888" i="1"/>
  <c r="K700" i="1"/>
  <c r="K497" i="1"/>
  <c r="K119" i="1"/>
  <c r="K135" i="1"/>
  <c r="K602" i="1"/>
  <c r="K13" i="1"/>
  <c r="K958" i="1"/>
  <c r="K111" i="1"/>
  <c r="K650" i="1"/>
  <c r="K745" i="1"/>
  <c r="K1379" i="1"/>
  <c r="K322" i="1"/>
  <c r="K1533" i="1"/>
  <c r="K96" i="1"/>
  <c r="K3337" i="1"/>
  <c r="K1689" i="1"/>
  <c r="K158" i="1"/>
  <c r="K187" i="1"/>
  <c r="K2145" i="1"/>
  <c r="K47" i="1"/>
  <c r="K1626" i="1"/>
  <c r="K55" i="1"/>
  <c r="K36" i="1"/>
  <c r="K128" i="1"/>
  <c r="K989" i="1"/>
  <c r="K136" i="1"/>
  <c r="K140" i="1"/>
  <c r="K531" i="1"/>
  <c r="K502" i="1"/>
  <c r="K657" i="1"/>
  <c r="K3664" i="1"/>
  <c r="K217" i="1"/>
  <c r="K484" i="1"/>
  <c r="K82" i="1"/>
  <c r="K860" i="1"/>
  <c r="K134" i="1"/>
  <c r="K347" i="1"/>
  <c r="K666" i="1"/>
  <c r="K1937" i="1"/>
  <c r="K840" i="1"/>
  <c r="K1363" i="1"/>
  <c r="K758" i="1"/>
  <c r="K289" i="1"/>
  <c r="K2481" i="1"/>
  <c r="K423" i="1"/>
  <c r="K2347" i="1"/>
  <c r="K473" i="1"/>
  <c r="K751" i="1"/>
  <c r="K1647" i="1"/>
  <c r="K2063" i="1"/>
  <c r="K479" i="1"/>
  <c r="K24" i="1"/>
  <c r="K51" i="1"/>
  <c r="K70" i="1"/>
  <c r="K539" i="1"/>
  <c r="K7" i="1"/>
  <c r="K1362" i="1"/>
  <c r="K3058" i="1"/>
  <c r="K906" i="1"/>
  <c r="K434" i="1"/>
  <c r="K76" i="1"/>
  <c r="K411" i="1"/>
  <c r="K214" i="1"/>
  <c r="K428" i="1"/>
  <c r="K94" i="1"/>
  <c r="K254" i="1"/>
  <c r="K1244" i="1"/>
  <c r="K202" i="1"/>
  <c r="K760" i="1"/>
  <c r="K290" i="1"/>
  <c r="K1275" i="1"/>
  <c r="K2226" i="1"/>
  <c r="K2806" i="1"/>
  <c r="K1373" i="1"/>
  <c r="K308" i="1"/>
  <c r="K3489" i="1"/>
  <c r="K984" i="1"/>
  <c r="K1240" i="1"/>
  <c r="K1553" i="1"/>
  <c r="K1521" i="1"/>
  <c r="K440" i="1"/>
  <c r="K719" i="1"/>
  <c r="K329" i="1"/>
  <c r="K49" i="1"/>
  <c r="K1528" i="1"/>
  <c r="K1603" i="1"/>
  <c r="K828" i="1"/>
  <c r="K797" i="1"/>
  <c r="K1201" i="1"/>
  <c r="K661" i="1"/>
  <c r="K489" i="1"/>
  <c r="K116" i="1"/>
  <c r="K2796" i="1"/>
  <c r="K1093" i="1"/>
  <c r="K1030" i="1"/>
  <c r="K266" i="1"/>
  <c r="K704" i="1"/>
  <c r="K80" i="1"/>
  <c r="K1597" i="1"/>
  <c r="K159" i="1"/>
  <c r="K149" i="1"/>
  <c r="K1757" i="1"/>
  <c r="K1233" i="1"/>
  <c r="K392" i="1"/>
  <c r="K1583" i="1"/>
  <c r="K1641" i="1"/>
  <c r="K2795" i="1"/>
  <c r="K377" i="1"/>
  <c r="K197" i="1"/>
  <c r="K1149" i="1"/>
  <c r="K404" i="1"/>
  <c r="K2197" i="1"/>
  <c r="K624" i="1"/>
  <c r="K626" i="1"/>
  <c r="K1941" i="1"/>
  <c r="K460" i="1"/>
  <c r="K279" i="1"/>
  <c r="K568" i="1"/>
  <c r="K2156" i="1"/>
  <c r="K728" i="1"/>
  <c r="K1879" i="1"/>
  <c r="K1024" i="1"/>
  <c r="K2486" i="1"/>
  <c r="K673" i="1"/>
  <c r="K475" i="1"/>
  <c r="K351" i="1"/>
  <c r="K2104" i="1"/>
  <c r="K3470" i="1"/>
  <c r="K1310" i="1"/>
  <c r="K2329" i="1"/>
  <c r="K3027" i="1"/>
  <c r="K1637" i="1"/>
  <c r="K3243" i="1"/>
  <c r="K2582" i="1"/>
  <c r="K2782" i="1"/>
  <c r="K2794" i="1"/>
  <c r="K153" i="1"/>
  <c r="K1723" i="1"/>
  <c r="K3922" i="1"/>
  <c r="K381" i="1"/>
  <c r="K1534" i="1"/>
  <c r="K1406" i="1"/>
  <c r="K1660" i="1"/>
  <c r="K1408" i="1"/>
  <c r="K1824" i="1"/>
  <c r="K474" i="1"/>
  <c r="K192" i="1"/>
  <c r="K155" i="1"/>
  <c r="K647" i="1"/>
  <c r="K23" i="1"/>
  <c r="K25" i="1"/>
  <c r="K35" i="1"/>
  <c r="K2982" i="1"/>
  <c r="K793" i="1"/>
  <c r="K2187" i="1"/>
  <c r="K675" i="1"/>
  <c r="K278" i="1"/>
  <c r="K1377" i="1"/>
  <c r="K1184" i="1"/>
  <c r="K3260" i="1"/>
  <c r="K81" i="1"/>
  <c r="K1957" i="1"/>
  <c r="K536" i="1"/>
  <c r="K95" i="1"/>
  <c r="K97" i="1"/>
  <c r="K3000" i="1"/>
  <c r="K120" i="1"/>
  <c r="K206" i="1"/>
  <c r="K808" i="1"/>
  <c r="K309" i="1"/>
  <c r="K1066" i="1"/>
  <c r="K196" i="1"/>
  <c r="K581" i="1"/>
  <c r="K318" i="1"/>
  <c r="K792" i="1"/>
  <c r="K3520" i="1"/>
  <c r="K1198" i="1"/>
  <c r="K142" i="1"/>
  <c r="K414" i="1"/>
  <c r="K1280" i="1"/>
  <c r="K1306" i="1"/>
  <c r="K1180" i="1"/>
  <c r="K1684" i="1"/>
  <c r="K1466" i="1"/>
  <c r="K2343" i="1"/>
  <c r="K569" i="1"/>
  <c r="K297" i="1"/>
  <c r="K590" i="1"/>
  <c r="K2801" i="1"/>
  <c r="K1409" i="1"/>
  <c r="K2218" i="1"/>
  <c r="K998" i="1"/>
  <c r="K3668" i="1"/>
  <c r="K1297" i="1"/>
  <c r="K311" i="1"/>
  <c r="K1288" i="1"/>
  <c r="K1114" i="1"/>
  <c r="K241" i="1"/>
  <c r="K1222" i="1"/>
  <c r="K2849" i="1"/>
  <c r="K771" i="1"/>
  <c r="K3015" i="1"/>
  <c r="K355" i="1"/>
  <c r="K102" i="1"/>
  <c r="K113" i="1"/>
  <c r="K373" i="1"/>
  <c r="K416" i="1"/>
  <c r="K900" i="1"/>
  <c r="K181" i="1"/>
  <c r="K2014" i="1"/>
  <c r="K2463" i="1"/>
  <c r="K921" i="1"/>
  <c r="K482" i="1"/>
  <c r="K717" i="1"/>
  <c r="K3840" i="1"/>
  <c r="K563" i="1"/>
  <c r="K636" i="1"/>
  <c r="K359" i="1"/>
  <c r="K609" i="1"/>
  <c r="K2344" i="1"/>
  <c r="K470" i="1"/>
  <c r="K2968" i="1"/>
  <c r="K1115" i="1"/>
  <c r="K1911" i="1"/>
  <c r="K2620" i="1"/>
  <c r="K491" i="1"/>
  <c r="K2168" i="1"/>
  <c r="K1398" i="1"/>
  <c r="K785" i="1"/>
  <c r="K3482" i="1"/>
  <c r="K1039" i="1"/>
  <c r="K1267" i="1"/>
  <c r="K567" i="1"/>
  <c r="K435" i="1"/>
  <c r="K3544" i="1"/>
  <c r="K291" i="1"/>
  <c r="K1272" i="1"/>
  <c r="K905" i="1"/>
  <c r="K2581" i="1"/>
  <c r="K2911" i="1"/>
  <c r="K465" i="1"/>
  <c r="K100" i="1"/>
  <c r="K262" i="1"/>
  <c r="K514" i="1"/>
  <c r="K18" i="1"/>
  <c r="K91" i="1"/>
  <c r="K540" i="1"/>
  <c r="K281" i="1"/>
  <c r="K1447" i="1"/>
  <c r="K1137" i="1"/>
  <c r="K1564" i="1"/>
  <c r="K160" i="1"/>
  <c r="K534" i="1"/>
  <c r="K339" i="1"/>
  <c r="K1231" i="1"/>
  <c r="K223" i="1"/>
  <c r="K3504" i="1"/>
  <c r="K389" i="1"/>
  <c r="K1593" i="1"/>
  <c r="K530" i="1"/>
  <c r="K964" i="1"/>
  <c r="K1018" i="1"/>
  <c r="K2252" i="1"/>
  <c r="K851" i="1"/>
  <c r="K499" i="1"/>
  <c r="K2121" i="1"/>
  <c r="K1046" i="1"/>
  <c r="K437" i="1"/>
  <c r="K2069" i="1"/>
  <c r="K203" i="1"/>
  <c r="K2644" i="1"/>
  <c r="K2050" i="1"/>
  <c r="K2305" i="1"/>
  <c r="K1313" i="1"/>
  <c r="K2338" i="1"/>
  <c r="K926" i="1"/>
  <c r="K902" i="1"/>
  <c r="K733" i="1"/>
  <c r="K1452" i="1"/>
  <c r="K1237" i="1"/>
  <c r="K215" i="1"/>
  <c r="K1695" i="1"/>
  <c r="K300" i="1"/>
  <c r="K1241" i="1"/>
  <c r="K770" i="1"/>
  <c r="K3198" i="1"/>
  <c r="K759" i="1"/>
  <c r="K1236" i="1"/>
  <c r="K2271" i="1"/>
  <c r="K2539" i="1"/>
  <c r="K1776" i="1"/>
  <c r="K3359" i="1"/>
  <c r="K1488" i="1"/>
  <c r="K2130" i="1"/>
  <c r="K2262" i="1"/>
  <c r="K1805" i="1"/>
  <c r="K2664" i="1"/>
  <c r="K2579" i="1"/>
  <c r="K2431" i="1"/>
  <c r="K1640" i="1"/>
  <c r="K213" i="1"/>
  <c r="K2537" i="1"/>
  <c r="K1323" i="1"/>
  <c r="K2761" i="1"/>
  <c r="K2427" i="1"/>
  <c r="K1847" i="1"/>
  <c r="K178" i="1"/>
  <c r="K15" i="1"/>
  <c r="K1088" i="1"/>
  <c r="K480" i="1"/>
  <c r="K598" i="1"/>
  <c r="K431" i="1"/>
  <c r="K2896" i="1"/>
  <c r="K182" i="1"/>
  <c r="K1019" i="1"/>
  <c r="K1286" i="1"/>
  <c r="K3816" i="1"/>
  <c r="K43" i="1"/>
  <c r="K1020" i="1"/>
  <c r="K27" i="1"/>
  <c r="K54" i="1"/>
  <c r="K114" i="1"/>
  <c r="K814" i="1"/>
  <c r="K740" i="1"/>
  <c r="K199" i="1"/>
  <c r="K323" i="1"/>
  <c r="K449" i="1"/>
  <c r="K408" i="1"/>
  <c r="K341" i="1"/>
  <c r="K1004" i="1"/>
  <c r="K975" i="1"/>
  <c r="K2047" i="1"/>
  <c r="K247" i="1"/>
  <c r="K439" i="1"/>
  <c r="K1754" i="1"/>
  <c r="K353" i="1"/>
  <c r="K345" i="1"/>
  <c r="K702" i="1"/>
  <c r="K236" i="1"/>
  <c r="K1993" i="1"/>
  <c r="K614" i="1"/>
  <c r="K1862" i="1"/>
  <c r="K1474" i="1"/>
  <c r="K1657" i="1"/>
  <c r="K3325" i="1"/>
  <c r="K272" i="1"/>
  <c r="K2223" i="1"/>
  <c r="K1468" i="1"/>
  <c r="K3125" i="1"/>
  <c r="K1574" i="1"/>
  <c r="K317" i="1"/>
  <c r="K3111" i="1"/>
  <c r="K2671" i="1"/>
  <c r="K2200" i="1"/>
  <c r="K1543" i="1"/>
  <c r="K3818" i="1"/>
  <c r="K2888" i="1"/>
  <c r="K2731" i="1"/>
  <c r="K38" i="1"/>
  <c r="K1602" i="1"/>
  <c r="K698" i="1"/>
  <c r="K1485" i="1"/>
  <c r="K1826" i="1"/>
  <c r="K3403" i="1"/>
  <c r="K2350" i="1"/>
  <c r="K1126" i="1"/>
  <c r="K2259" i="1"/>
  <c r="K334" i="1"/>
  <c r="K2984" i="1"/>
  <c r="K364" i="1"/>
  <c r="K175" i="1"/>
  <c r="K3615" i="1"/>
  <c r="K1793" i="1"/>
  <c r="K3757" i="1"/>
  <c r="K682" i="1"/>
  <c r="K219" i="1"/>
  <c r="K117" i="1"/>
  <c r="K11" i="1"/>
  <c r="K99" i="1"/>
  <c r="K451" i="1"/>
  <c r="K612" i="1"/>
  <c r="K3445" i="1"/>
  <c r="K205" i="1"/>
  <c r="K393" i="1"/>
  <c r="K496" i="1"/>
  <c r="K627" i="1"/>
  <c r="K382" i="1"/>
  <c r="K722" i="1"/>
  <c r="K1135" i="1"/>
  <c r="K800" i="1"/>
  <c r="K123" i="1"/>
  <c r="K1551" i="1"/>
  <c r="K1274" i="1"/>
  <c r="K3618" i="1"/>
  <c r="K277" i="1"/>
  <c r="K1105" i="1"/>
  <c r="K2091" i="1"/>
  <c r="K1226" i="1"/>
  <c r="K1498" i="1"/>
  <c r="K1107" i="1"/>
  <c r="K2081" i="1"/>
  <c r="K542" i="1"/>
  <c r="K2742" i="1"/>
  <c r="K1888" i="1"/>
  <c r="K1062" i="1"/>
  <c r="K410" i="1"/>
  <c r="K1694" i="1"/>
  <c r="K2855" i="1"/>
  <c r="K2569" i="1"/>
  <c r="K566" i="1"/>
  <c r="K1742" i="1"/>
  <c r="K1054" i="1"/>
  <c r="K3201" i="1"/>
  <c r="K2373" i="1"/>
  <c r="K1924" i="1"/>
  <c r="K2152" i="1"/>
  <c r="K2990" i="1"/>
  <c r="K687" i="1"/>
  <c r="K1569" i="1"/>
  <c r="K2476" i="1"/>
  <c r="K3014" i="1"/>
  <c r="K2521" i="1"/>
  <c r="K830" i="1"/>
  <c r="K1154" i="1"/>
  <c r="K59" i="1"/>
  <c r="K1382" i="1"/>
  <c r="K92" i="1"/>
  <c r="K342" i="1"/>
  <c r="K585" i="1"/>
  <c r="K2624" i="1"/>
  <c r="K2181" i="1"/>
  <c r="K638" i="1"/>
  <c r="K2202" i="1"/>
  <c r="K1271" i="1"/>
  <c r="K3104" i="1"/>
  <c r="K818" i="1"/>
  <c r="K244" i="1"/>
  <c r="K2679" i="1"/>
  <c r="K133" i="1"/>
  <c r="K1530" i="1"/>
  <c r="K388" i="1"/>
  <c r="K407" i="1"/>
  <c r="K1186" i="1"/>
  <c r="K1252" i="1"/>
  <c r="K463" i="1"/>
  <c r="K927" i="1"/>
  <c r="K184" i="1"/>
  <c r="K898" i="1"/>
  <c r="K1417" i="1"/>
  <c r="K831" i="1"/>
  <c r="K1437" i="1"/>
  <c r="K820" i="1"/>
  <c r="K507" i="1"/>
  <c r="K228" i="1"/>
  <c r="K686" i="1"/>
  <c r="K1902" i="1"/>
  <c r="K780" i="1"/>
  <c r="K2815" i="1"/>
  <c r="K1309" i="1"/>
  <c r="K952" i="1"/>
  <c r="K697" i="1"/>
  <c r="K1270" i="1"/>
  <c r="K2566" i="1"/>
  <c r="K934" i="1"/>
  <c r="K2111" i="1"/>
  <c r="K1503" i="1"/>
  <c r="K750" i="1"/>
  <c r="K2043" i="1"/>
  <c r="K2173" i="1"/>
  <c r="K2983" i="1"/>
  <c r="K2920" i="1"/>
  <c r="K472" i="1"/>
  <c r="K1189" i="1"/>
  <c r="K2776" i="1"/>
  <c r="K3278" i="1"/>
  <c r="K1633" i="1"/>
  <c r="K1507" i="1"/>
  <c r="K1278" i="1"/>
  <c r="K2799" i="1"/>
  <c r="K1316" i="1"/>
  <c r="K1883" i="1"/>
  <c r="K2269" i="1"/>
  <c r="K137" i="1"/>
  <c r="K2601" i="1"/>
  <c r="K30" i="1"/>
  <c r="K690" i="1"/>
  <c r="K259" i="1"/>
  <c r="K3640" i="1"/>
  <c r="K967" i="1"/>
  <c r="K1799" i="1"/>
  <c r="K2281" i="1"/>
  <c r="K2495" i="1"/>
  <c r="K2876" i="1"/>
  <c r="K1214" i="1"/>
  <c r="K1737" i="1"/>
  <c r="K579" i="1"/>
  <c r="K139" i="1"/>
  <c r="K74" i="1"/>
  <c r="K1027" i="1"/>
  <c r="K193" i="1"/>
  <c r="K274" i="1"/>
  <c r="K701" i="1"/>
  <c r="K280" i="1"/>
  <c r="K1041" i="1"/>
  <c r="K853" i="1"/>
  <c r="K806" i="1"/>
  <c r="K305" i="1"/>
  <c r="K668" i="1"/>
  <c r="K3253" i="1"/>
  <c r="K324" i="1"/>
  <c r="K180" i="1"/>
  <c r="K337" i="1"/>
  <c r="K210" i="1"/>
  <c r="K2293" i="1"/>
  <c r="K2769" i="1"/>
  <c r="K504" i="1"/>
  <c r="K550" i="1"/>
  <c r="K632" i="1"/>
  <c r="K2793" i="1"/>
  <c r="K221" i="1"/>
  <c r="K580" i="1"/>
  <c r="K653" i="1"/>
  <c r="K1134" i="1"/>
  <c r="K462" i="1"/>
  <c r="K1078" i="1"/>
  <c r="K1012" i="1"/>
  <c r="K1384" i="1"/>
  <c r="K1016" i="1"/>
  <c r="K2724" i="1"/>
  <c r="K724" i="1"/>
  <c r="K235" i="1"/>
  <c r="K2568" i="1"/>
  <c r="K1510" i="1"/>
  <c r="K1281" i="1"/>
  <c r="K786" i="1"/>
  <c r="K1655" i="1"/>
  <c r="K156" i="1"/>
  <c r="K198" i="1"/>
  <c r="K519" i="1"/>
  <c r="K870" i="1"/>
  <c r="K1404" i="1"/>
  <c r="K3931" i="1"/>
  <c r="K865" i="1"/>
  <c r="K1461" i="1"/>
  <c r="K1827" i="1"/>
  <c r="K978" i="1"/>
  <c r="K212" i="1"/>
  <c r="K1601" i="1"/>
  <c r="K987" i="1"/>
  <c r="K1717" i="1"/>
  <c r="K2860" i="1"/>
  <c r="K1991" i="1"/>
  <c r="K86" i="1"/>
  <c r="K396" i="1"/>
  <c r="K2040" i="1"/>
  <c r="K2144" i="1"/>
  <c r="K2441" i="1"/>
  <c r="K3319" i="1"/>
  <c r="K306" i="1"/>
  <c r="K1055" i="1"/>
  <c r="K1898" i="1"/>
  <c r="K1399" i="1"/>
  <c r="K1984" i="1"/>
  <c r="K1575" i="1"/>
  <c r="K1857" i="1"/>
  <c r="K1113" i="1"/>
  <c r="K2738" i="1"/>
  <c r="K731" i="1"/>
  <c r="K2994" i="1"/>
  <c r="K782" i="1"/>
  <c r="K1396" i="1"/>
  <c r="K1125" i="1"/>
  <c r="K3090" i="1"/>
  <c r="K2165" i="1"/>
  <c r="K2250" i="1"/>
  <c r="K992" i="1"/>
  <c r="K1699" i="1"/>
  <c r="K3025" i="1"/>
  <c r="K2707" i="1"/>
  <c r="K1770" i="1"/>
  <c r="K2020" i="1"/>
  <c r="K3914" i="1"/>
  <c r="K1191" i="1"/>
  <c r="K558" i="1"/>
  <c r="K1901" i="1"/>
  <c r="K2730" i="1"/>
  <c r="K2732" i="1"/>
  <c r="K2039" i="1"/>
  <c r="K2904" i="1"/>
  <c r="K2826" i="1"/>
  <c r="K3073" i="1"/>
  <c r="K3114" i="1"/>
  <c r="K28" i="1"/>
  <c r="K2325" i="1"/>
  <c r="K33" i="1"/>
  <c r="K1022" i="1"/>
  <c r="K456" i="1"/>
  <c r="K776" i="1"/>
  <c r="K1407" i="1"/>
  <c r="K1153" i="1"/>
  <c r="K1982" i="1"/>
  <c r="K1328" i="1"/>
  <c r="K2477" i="1"/>
  <c r="K2626" i="1"/>
  <c r="K2890" i="1"/>
  <c r="K703" i="1"/>
  <c r="K3190" i="1"/>
  <c r="K2825" i="1"/>
  <c r="K2361" i="1"/>
  <c r="K3693" i="1"/>
  <c r="K405" i="1"/>
  <c r="K2989" i="1"/>
  <c r="K42" i="1"/>
  <c r="K131" i="1"/>
  <c r="K667" i="1"/>
  <c r="K257" i="1"/>
  <c r="K447" i="1"/>
  <c r="K1802" i="1"/>
  <c r="K880" i="1"/>
  <c r="K394" i="1"/>
  <c r="K869" i="1"/>
  <c r="K2351" i="1"/>
  <c r="K1586" i="1"/>
  <c r="K867" i="1"/>
  <c r="K177" i="1"/>
  <c r="K1163" i="1"/>
  <c r="K2070" i="1"/>
  <c r="K660" i="1"/>
  <c r="K331" i="1"/>
  <c r="K899" i="1"/>
  <c r="K1446" i="1"/>
  <c r="K753" i="1"/>
  <c r="K1036" i="1"/>
  <c r="K1150" i="1"/>
  <c r="K2215" i="1"/>
  <c r="K1381" i="1"/>
  <c r="K1497" i="1"/>
  <c r="K1918" i="1"/>
  <c r="K188" i="1"/>
  <c r="K3080" i="1"/>
  <c r="K665" i="1"/>
  <c r="K1166" i="1"/>
  <c r="K2444" i="1"/>
  <c r="K1303" i="1"/>
  <c r="K1831" i="1"/>
  <c r="K2291" i="1"/>
  <c r="K3531" i="1"/>
  <c r="K858" i="1"/>
  <c r="K1037" i="1"/>
  <c r="K1177" i="1"/>
  <c r="K1868" i="1"/>
  <c r="K1469" i="1"/>
  <c r="K3566" i="1"/>
  <c r="K1838" i="1"/>
  <c r="K1508" i="1"/>
  <c r="K3052" i="1"/>
  <c r="K2903" i="1"/>
  <c r="K1070" i="1"/>
  <c r="K3328" i="1"/>
  <c r="K1512" i="1"/>
  <c r="K1338" i="1"/>
  <c r="K3207" i="1"/>
  <c r="K3542" i="1"/>
  <c r="K1249" i="1"/>
  <c r="K2469" i="1"/>
  <c r="K260" i="1"/>
  <c r="K298" i="1"/>
  <c r="K3560" i="1"/>
  <c r="K713" i="1"/>
  <c r="K720" i="1"/>
  <c r="K2852" i="1"/>
  <c r="K1529" i="1"/>
  <c r="K3571" i="1"/>
  <c r="K1539" i="1"/>
  <c r="K2470" i="1"/>
  <c r="K942" i="1"/>
  <c r="K885" i="1"/>
  <c r="K3398" i="1"/>
  <c r="K453" i="1"/>
  <c r="K1650" i="1"/>
  <c r="K533" i="1"/>
  <c r="K3458" i="1"/>
  <c r="K2317" i="1"/>
  <c r="K3322" i="1"/>
  <c r="K805" i="1"/>
  <c r="K1809" i="1"/>
  <c r="K1133" i="1"/>
  <c r="K273" i="1"/>
  <c r="K1152" i="1"/>
  <c r="K839" i="1"/>
  <c r="K1565" i="1"/>
  <c r="K788" i="1"/>
  <c r="K3269" i="1"/>
  <c r="K3119" i="1"/>
  <c r="K1908" i="1"/>
  <c r="K2122" i="1"/>
  <c r="K3784" i="1"/>
  <c r="K492" i="1"/>
  <c r="K60" i="1"/>
  <c r="K78" i="1"/>
  <c r="K537" i="1"/>
  <c r="K256" i="1"/>
  <c r="K386" i="1"/>
  <c r="K125" i="1"/>
  <c r="K207" i="1"/>
  <c r="K333" i="1"/>
  <c r="K3286" i="1"/>
  <c r="K541" i="1"/>
  <c r="K1596" i="1"/>
  <c r="K815" i="1"/>
  <c r="K350" i="1"/>
  <c r="K855" i="1"/>
  <c r="K354" i="1"/>
  <c r="K1562" i="1"/>
  <c r="K1068" i="1"/>
  <c r="K798" i="1"/>
  <c r="K641" i="1"/>
  <c r="K2179" i="1"/>
  <c r="K588" i="1"/>
  <c r="K326" i="1"/>
  <c r="K789" i="1"/>
  <c r="K875" i="1"/>
  <c r="K583" i="1"/>
  <c r="K336" i="1"/>
  <c r="K575" i="1"/>
  <c r="K843" i="1"/>
  <c r="K3418" i="1"/>
  <c r="K195" i="1"/>
  <c r="K1489" i="1"/>
  <c r="K432" i="1"/>
  <c r="K1815" i="1"/>
  <c r="K1875" i="1"/>
  <c r="K692" i="1"/>
  <c r="K1527" i="1"/>
  <c r="K857" i="1"/>
  <c r="K727" i="1"/>
  <c r="K1974" i="1"/>
  <c r="K2810" i="1"/>
  <c r="K494" i="1"/>
  <c r="K1645" i="1"/>
  <c r="K1464" i="1"/>
  <c r="K209" i="1"/>
  <c r="K2402" i="1"/>
  <c r="K535" i="1"/>
  <c r="K376" i="1"/>
  <c r="K1677" i="1"/>
  <c r="K1234" i="1"/>
  <c r="K791" i="1"/>
  <c r="K2080" i="1"/>
  <c r="K1000" i="1"/>
  <c r="K2948" i="1"/>
  <c r="K1556" i="1"/>
  <c r="K1423" i="1"/>
  <c r="K1611" i="1"/>
  <c r="K1442" i="1"/>
  <c r="K338" i="1"/>
  <c r="K3070" i="1"/>
  <c r="K1945" i="1"/>
  <c r="K1368" i="1"/>
  <c r="K1008" i="1"/>
  <c r="K2979" i="1"/>
  <c r="K2313" i="1"/>
  <c r="K2805" i="1"/>
  <c r="K3142" i="1"/>
  <c r="K1532" i="1"/>
  <c r="K3351" i="1"/>
  <c r="K628" i="1"/>
  <c r="K1563" i="1"/>
  <c r="K3585" i="1"/>
  <c r="K1218" i="1"/>
  <c r="K1265" i="1"/>
  <c r="K1460" i="1"/>
  <c r="K2488" i="1"/>
  <c r="K562" i="1"/>
  <c r="K1072" i="1"/>
  <c r="K1983" i="1"/>
  <c r="K1525" i="1"/>
  <c r="K3062" i="1"/>
  <c r="K2461" i="1"/>
  <c r="K1084" i="1"/>
  <c r="K2126" i="1"/>
  <c r="K2882" i="1"/>
  <c r="K1367" i="1"/>
  <c r="K2141" i="1"/>
  <c r="K1977" i="1"/>
  <c r="K2246" i="1"/>
  <c r="K2381" i="1"/>
  <c r="K3481" i="1"/>
  <c r="K2656" i="1"/>
  <c r="K3471" i="1"/>
  <c r="K3076" i="1"/>
  <c r="K3305" i="1"/>
  <c r="K1870" i="1"/>
  <c r="K2976" i="1"/>
  <c r="K3611" i="1"/>
  <c r="K2287" i="1"/>
  <c r="K1760" i="1"/>
  <c r="K2139" i="1"/>
  <c r="K2261" i="1"/>
  <c r="K3436" i="1"/>
  <c r="K846" i="1"/>
  <c r="K1160" i="1"/>
  <c r="K161" i="1"/>
  <c r="K399" i="1"/>
  <c r="K1007" i="1"/>
  <c r="K781" i="1"/>
  <c r="K1938" i="1"/>
  <c r="K1625" i="1"/>
  <c r="K3694" i="1"/>
  <c r="K320" i="1"/>
  <c r="K1708" i="1"/>
  <c r="K2067" i="1"/>
  <c r="K2339" i="1"/>
  <c r="K3107" i="1"/>
  <c r="K1471" i="1"/>
  <c r="K476" i="1"/>
  <c r="K3734" i="1"/>
  <c r="K2357" i="1"/>
  <c r="K2213" i="1"/>
  <c r="K1076" i="1"/>
  <c r="K1893" i="1"/>
  <c r="K1337" i="1"/>
  <c r="K3317" i="1"/>
  <c r="K170" i="1"/>
  <c r="K1015" i="1"/>
  <c r="K510" i="1"/>
  <c r="K1087" i="1"/>
  <c r="K2518" i="1"/>
  <c r="K1513" i="1"/>
  <c r="K817" i="1"/>
  <c r="K966" i="1"/>
  <c r="K1060" i="1"/>
  <c r="K584" i="1"/>
  <c r="K1099" i="1"/>
  <c r="K398" i="1"/>
  <c r="K852" i="1"/>
  <c r="K3267" i="1"/>
  <c r="K811" i="1"/>
  <c r="K1775" i="1"/>
  <c r="K251" i="1"/>
  <c r="K573" i="1"/>
  <c r="K1435" i="1"/>
  <c r="K1671" i="1"/>
  <c r="K2220" i="1"/>
  <c r="K1220" i="1"/>
  <c r="K1675" i="1"/>
  <c r="K796" i="1"/>
  <c r="K592" i="1"/>
  <c r="K529" i="1"/>
  <c r="K639" i="1"/>
  <c r="K1667" i="1"/>
  <c r="K1491" i="1"/>
  <c r="K1842" i="1"/>
  <c r="K707" i="1"/>
  <c r="K910" i="1"/>
  <c r="K3192" i="1"/>
  <c r="K1375" i="1"/>
  <c r="K2064" i="1"/>
  <c r="K2858" i="1"/>
  <c r="K587" i="1"/>
  <c r="K919" i="1"/>
  <c r="K2376" i="1"/>
  <c r="K2013" i="1"/>
  <c r="K1820" i="1"/>
  <c r="K1429" i="1"/>
  <c r="K1346" i="1"/>
  <c r="K649" i="1"/>
  <c r="K3240" i="1"/>
  <c r="K2846" i="1"/>
  <c r="K810" i="1"/>
  <c r="K1336" i="1"/>
  <c r="K2298" i="1"/>
  <c r="K735" i="1"/>
  <c r="K2472" i="1"/>
  <c r="K2800" i="1"/>
  <c r="K1923" i="1"/>
  <c r="K2219" i="1"/>
  <c r="K3035" i="1"/>
  <c r="K2899" i="1"/>
  <c r="K2842" i="1"/>
  <c r="K3726" i="1"/>
  <c r="K3461" i="1"/>
  <c r="K2283" i="1"/>
  <c r="K1783" i="1"/>
  <c r="K2201" i="1"/>
  <c r="K1623" i="1"/>
  <c r="K3507" i="1"/>
  <c r="K3584" i="1"/>
  <c r="K2290" i="1"/>
  <c r="K2388" i="1"/>
  <c r="K1102" i="1"/>
  <c r="K231" i="1"/>
  <c r="K1290" i="1"/>
  <c r="K487" i="1"/>
  <c r="K1844" i="1"/>
  <c r="K543" i="1"/>
  <c r="K658" i="1"/>
  <c r="K2450" i="1"/>
  <c r="K2750" i="1"/>
  <c r="K528" i="1"/>
  <c r="K3037" i="1"/>
  <c r="K2623" i="1"/>
  <c r="K166" i="1"/>
  <c r="K1032" i="1"/>
  <c r="K1301" i="1"/>
  <c r="K230" i="1"/>
  <c r="K1256" i="1"/>
  <c r="K2115" i="1"/>
  <c r="K613" i="1"/>
  <c r="K556" i="1"/>
  <c r="K467" i="1"/>
  <c r="K803" i="1"/>
  <c r="K3750" i="1"/>
  <c r="K801" i="1"/>
  <c r="K1935" i="1"/>
  <c r="K301" i="1"/>
  <c r="K1411" i="1"/>
  <c r="K1769" i="1"/>
  <c r="K1123" i="1"/>
  <c r="K2214" i="1"/>
  <c r="K3236" i="1"/>
  <c r="K2660" i="1"/>
  <c r="K1282" i="1"/>
  <c r="K633" i="1"/>
  <c r="K1364" i="1"/>
  <c r="K3443" i="1"/>
  <c r="K1750" i="1"/>
  <c r="K2507" i="1"/>
  <c r="K3290" i="1"/>
  <c r="K2648" i="1"/>
  <c r="K2340" i="1"/>
  <c r="K849" i="1"/>
  <c r="K3164" i="1"/>
  <c r="K61" i="1"/>
  <c r="K1217" i="1"/>
  <c r="K2900" i="1"/>
  <c r="K826" i="1"/>
  <c r="K642" i="1"/>
  <c r="K549" i="1"/>
  <c r="K319" i="1"/>
  <c r="K1151" i="1"/>
  <c r="K242" i="1"/>
  <c r="K908" i="1"/>
  <c r="K685" i="1"/>
  <c r="K1354" i="1"/>
  <c r="K485" i="1"/>
  <c r="K1712" i="1"/>
  <c r="K1425" i="1"/>
  <c r="K3279" i="1"/>
  <c r="K1936" i="1"/>
  <c r="K545" i="1"/>
  <c r="K1187" i="1"/>
  <c r="K455" i="1"/>
  <c r="K878" i="1"/>
  <c r="K384" i="1"/>
  <c r="K578" i="1"/>
  <c r="K1196" i="1"/>
  <c r="K1618" i="1"/>
  <c r="K466" i="1"/>
  <c r="K1175" i="1"/>
  <c r="K296" i="1"/>
  <c r="K547" i="1"/>
  <c r="K224" i="1"/>
  <c r="K749" i="1"/>
  <c r="K249" i="1"/>
  <c r="K3687" i="1"/>
  <c r="K864" i="1"/>
  <c r="K1161" i="1"/>
  <c r="K1790" i="1"/>
  <c r="K1952" i="1"/>
  <c r="K3516" i="1"/>
  <c r="K611" i="1"/>
  <c r="K412" i="1"/>
  <c r="K1801" i="1"/>
  <c r="K973" i="1"/>
  <c r="K742" i="1"/>
  <c r="K2459" i="1"/>
  <c r="K1771" i="1"/>
  <c r="K1318" i="1"/>
  <c r="K866" i="1"/>
  <c r="K1110" i="1"/>
  <c r="K1698" i="1"/>
  <c r="K1203" i="1"/>
  <c r="K1600" i="1"/>
  <c r="K1065" i="1"/>
  <c r="K795" i="1"/>
  <c r="K240" i="1"/>
  <c r="K3270" i="1"/>
  <c r="K2239" i="1"/>
  <c r="K2710" i="1"/>
  <c r="K985" i="1"/>
  <c r="K2112" i="1"/>
  <c r="K972" i="1"/>
  <c r="K2336" i="1"/>
  <c r="K2534" i="1"/>
  <c r="K1612" i="1"/>
  <c r="K2465" i="1"/>
  <c r="K936" i="1"/>
  <c r="K495" i="1"/>
  <c r="K3191" i="1"/>
  <c r="K1002" i="1"/>
  <c r="K2137" i="1"/>
  <c r="K2549" i="1"/>
  <c r="K3572" i="1"/>
  <c r="K313" i="1"/>
  <c r="K2056" i="1"/>
  <c r="K1797" i="1"/>
  <c r="K1576" i="1"/>
  <c r="K1663" i="1"/>
  <c r="K2253" i="1"/>
  <c r="K3318" i="1"/>
  <c r="K1171" i="1"/>
  <c r="K1706" i="1"/>
  <c r="K3245" i="1"/>
  <c r="K3007" i="1"/>
  <c r="K2629" i="1"/>
  <c r="K3761" i="1"/>
  <c r="K617" i="1"/>
  <c r="K1315" i="1"/>
  <c r="K1320" i="1"/>
  <c r="K1669" i="1"/>
  <c r="K2128" i="1"/>
  <c r="K1989" i="1"/>
  <c r="K2610" i="1"/>
  <c r="K3594" i="1"/>
  <c r="K2754" i="1"/>
  <c r="K1798" i="1"/>
  <c r="K1960" i="1"/>
  <c r="K3138" i="1"/>
  <c r="K2964" i="1"/>
  <c r="K1331" i="1"/>
  <c r="K1568" i="1"/>
  <c r="K2443" i="1"/>
  <c r="K2633" i="1"/>
  <c r="K2745" i="1"/>
  <c r="K2482" i="1"/>
  <c r="K2685" i="1"/>
  <c r="K2529" i="1"/>
  <c r="K2231" i="1"/>
  <c r="K1158" i="1"/>
  <c r="K957" i="1"/>
  <c r="K1863" i="1"/>
  <c r="K1997" i="1"/>
  <c r="K3324" i="1"/>
  <c r="K1781" i="1"/>
  <c r="K1756" i="1"/>
  <c r="K2508" i="1"/>
  <c r="K2258" i="1"/>
  <c r="K3719" i="1"/>
  <c r="K1199" i="1"/>
  <c r="K3645" i="1"/>
  <c r="K1811" i="1"/>
  <c r="K2613" i="1"/>
  <c r="K3404" i="1"/>
  <c r="K1998" i="1"/>
  <c r="K2751" i="1"/>
  <c r="K2753" i="1"/>
  <c r="K2484" i="1"/>
  <c r="K1117" i="1"/>
  <c r="K1594" i="1"/>
  <c r="K2005" i="1"/>
  <c r="K1701" i="1"/>
  <c r="K2319" i="1"/>
  <c r="K2436" i="1"/>
  <c r="K3673" i="1"/>
  <c r="K920" i="1"/>
  <c r="K3008" i="1"/>
  <c r="K3307" i="1"/>
  <c r="K3447" i="1"/>
  <c r="K3547" i="1"/>
  <c r="K3923" i="1"/>
  <c r="K3162" i="1"/>
  <c r="K836" i="1"/>
  <c r="K1648" i="1"/>
  <c r="K1939" i="1"/>
  <c r="K694" i="1"/>
  <c r="K1401" i="1"/>
  <c r="K2831" i="1"/>
  <c r="K991" i="1"/>
  <c r="K1832" i="1"/>
  <c r="K2475" i="1"/>
  <c r="K263" i="1"/>
  <c r="K493" i="1"/>
  <c r="K1588" i="1"/>
  <c r="K1970" i="1"/>
  <c r="K2592" i="1"/>
  <c r="K1257" i="1"/>
  <c r="K349" i="1"/>
  <c r="K897" i="1"/>
  <c r="K1395" i="1"/>
  <c r="K3016" i="1"/>
  <c r="K1419" i="1"/>
  <c r="K723" i="1"/>
  <c r="K2600" i="1"/>
  <c r="K2033" i="1"/>
  <c r="K2787" i="1"/>
  <c r="K2998" i="1"/>
  <c r="K1029" i="1"/>
  <c r="K2865" i="1"/>
  <c r="K3248" i="1"/>
  <c r="K907" i="1"/>
  <c r="K1740" i="1"/>
  <c r="K2586" i="1"/>
  <c r="K2632" i="1"/>
  <c r="K3775" i="1"/>
  <c r="K3453" i="1"/>
  <c r="K2612" i="1"/>
  <c r="K1047" i="1"/>
  <c r="K1056" i="1"/>
  <c r="K1981" i="1"/>
  <c r="K2307" i="1"/>
  <c r="K809" i="1"/>
  <c r="K2682" i="1"/>
  <c r="K2645" i="1"/>
  <c r="K945" i="1"/>
  <c r="K1966" i="1"/>
  <c r="K763" i="1"/>
  <c r="K448" i="1"/>
  <c r="K1443" i="1"/>
  <c r="K425" i="1"/>
  <c r="K608" i="1"/>
  <c r="K1484" i="1"/>
  <c r="K716" i="1"/>
  <c r="K1439" i="1"/>
  <c r="K445" i="1"/>
  <c r="K1869" i="1"/>
  <c r="K2716" i="1"/>
  <c r="K3374" i="1"/>
  <c r="K2703" i="1"/>
  <c r="K1763" i="1"/>
  <c r="K2768" i="1"/>
  <c r="K1104" i="1"/>
  <c r="K3434" i="1"/>
  <c r="K1670" i="1"/>
  <c r="K2406" i="1"/>
  <c r="K75" i="1"/>
  <c r="K2100" i="1"/>
  <c r="K147" i="1"/>
  <c r="K93" i="1"/>
  <c r="K3718" i="1"/>
  <c r="K644" i="1"/>
  <c r="K89" i="1"/>
  <c r="K478" i="1"/>
  <c r="K1064" i="1"/>
  <c r="K164" i="1"/>
  <c r="K330" i="1"/>
  <c r="K712" i="1"/>
  <c r="K379" i="1"/>
  <c r="K1388" i="1"/>
  <c r="K452" i="1"/>
  <c r="K901" i="1"/>
  <c r="K1124" i="1"/>
  <c r="K1458" i="1"/>
  <c r="K3348" i="1"/>
  <c r="K872" i="1"/>
  <c r="K933" i="1"/>
  <c r="K2913" i="1"/>
  <c r="K1504" i="1"/>
  <c r="K968" i="1"/>
  <c r="K426" i="1"/>
  <c r="K1082" i="1"/>
  <c r="K1197" i="1"/>
  <c r="K2174" i="1"/>
  <c r="K684" i="1"/>
  <c r="K779" i="1"/>
  <c r="K571" i="1"/>
  <c r="K508" i="1"/>
  <c r="K603" i="1"/>
  <c r="K3309" i="1"/>
  <c r="K2963" i="1"/>
  <c r="K994" i="1"/>
  <c r="K2279" i="1"/>
  <c r="K841" i="1"/>
  <c r="K610" i="1"/>
  <c r="K1208" i="1"/>
  <c r="K1849" i="1"/>
  <c r="K1162" i="1"/>
  <c r="K3682" i="1"/>
  <c r="K2944" i="1"/>
  <c r="K3066" i="1"/>
  <c r="K1405" i="1"/>
  <c r="K270" i="1"/>
  <c r="K1887" i="1"/>
  <c r="K201" i="1"/>
  <c r="K2821" i="1"/>
  <c r="K1190" i="1"/>
  <c r="K1061" i="1"/>
  <c r="K3736" i="1"/>
  <c r="K1441" i="1"/>
  <c r="K1185" i="1"/>
  <c r="K1403" i="1"/>
  <c r="K2447" i="1"/>
  <c r="K2120" i="1"/>
  <c r="K1636" i="1"/>
  <c r="K799" i="1"/>
  <c r="K2867" i="1"/>
  <c r="K2365" i="1"/>
  <c r="K1344" i="1"/>
  <c r="K3455" i="1"/>
  <c r="K2224" i="1"/>
  <c r="K1132" i="1"/>
  <c r="K2847" i="1"/>
  <c r="K2950" i="1"/>
  <c r="K2926" i="1"/>
  <c r="K1599" i="1"/>
  <c r="K2374" i="1"/>
  <c r="K3041" i="1"/>
  <c r="K3048" i="1"/>
  <c r="K1907" i="1"/>
  <c r="K1705" i="1"/>
  <c r="K2487" i="1"/>
  <c r="K3271" i="1"/>
  <c r="K2418" i="1"/>
  <c r="K554" i="1"/>
  <c r="K1524" i="1"/>
  <c r="K1614" i="1"/>
  <c r="K1514" i="1"/>
  <c r="K824" i="1"/>
  <c r="K2032" i="1"/>
  <c r="K2939" i="1"/>
  <c r="K3868" i="1"/>
  <c r="K3132" i="1"/>
  <c r="K2578" i="1"/>
  <c r="K3697" i="1"/>
  <c r="K2077" i="1"/>
  <c r="K1307" i="1"/>
  <c r="K3032" i="1"/>
  <c r="K1914" i="1"/>
  <c r="K3163" i="1"/>
  <c r="K2272" i="1"/>
  <c r="K1951" i="1"/>
  <c r="K3720" i="1"/>
  <c r="K1304" i="1"/>
  <c r="K2993" i="1"/>
  <c r="K1235" i="1"/>
  <c r="K2817" i="1"/>
  <c r="K458" i="1"/>
  <c r="K2980" i="1"/>
  <c r="K1538" i="1"/>
  <c r="K2547" i="1"/>
  <c r="K1353" i="1"/>
  <c r="K3623" i="1"/>
  <c r="K2346" i="1"/>
  <c r="K1825" i="1"/>
  <c r="K1905" i="1"/>
  <c r="K756" i="1"/>
  <c r="K380" i="1"/>
  <c r="K1628" i="1"/>
  <c r="K387" i="1"/>
  <c r="K3938" i="1"/>
  <c r="K1772" i="1"/>
  <c r="K1613" i="1"/>
  <c r="K1106" i="1"/>
  <c r="K2204" i="1"/>
  <c r="K1559" i="1"/>
  <c r="K3739" i="1"/>
  <c r="K2841" i="1"/>
  <c r="K3670" i="1"/>
  <c r="K53" i="1"/>
  <c r="K2084" i="1"/>
  <c r="K893" i="1"/>
  <c r="K600" i="1"/>
  <c r="K468" i="1"/>
  <c r="K765" i="1"/>
  <c r="K2303" i="1"/>
  <c r="K915" i="1"/>
  <c r="K586" i="1"/>
  <c r="K232" i="1"/>
  <c r="K2426" i="1"/>
  <c r="K3323" i="1"/>
  <c r="K2248" i="1"/>
  <c r="K863" i="1"/>
  <c r="K2254" i="1"/>
  <c r="K943" i="1"/>
  <c r="K929" i="1"/>
  <c r="K1413" i="1"/>
  <c r="K3758" i="1"/>
  <c r="K3524" i="1"/>
  <c r="K1090" i="1"/>
  <c r="K2024" i="1"/>
  <c r="K1749" i="1"/>
  <c r="K1873" i="1"/>
  <c r="K3492" i="1"/>
  <c r="K2834" i="1"/>
  <c r="K2060" i="1"/>
  <c r="K3341" i="1"/>
  <c r="K2503" i="1"/>
  <c r="K2557" i="1"/>
  <c r="K3638" i="1"/>
  <c r="K2452" i="1"/>
  <c r="K1424" i="1"/>
  <c r="K2022" i="1"/>
  <c r="K524" i="1"/>
  <c r="K1955" i="1"/>
  <c r="K916" i="1"/>
  <c r="K822" i="1"/>
  <c r="K352" i="1"/>
  <c r="K2107" i="1"/>
  <c r="K1392" i="1"/>
  <c r="K1592" i="1"/>
  <c r="K620" i="1"/>
  <c r="K622" i="1"/>
  <c r="K886" i="1"/>
  <c r="K265" i="1"/>
  <c r="K3211" i="1"/>
  <c r="K3630" i="1"/>
  <c r="K189" i="1"/>
  <c r="K402" i="1"/>
  <c r="K2820" i="1"/>
  <c r="K1165" i="1"/>
  <c r="K1040" i="1"/>
  <c r="K457" i="1"/>
  <c r="K1147" i="1"/>
  <c r="K618" i="1"/>
  <c r="K413" i="1"/>
  <c r="K1365" i="1"/>
  <c r="K1232" i="1"/>
  <c r="K302" i="1"/>
  <c r="K1048" i="1"/>
  <c r="K2501" i="1"/>
  <c r="K1430" i="1"/>
  <c r="K295" i="1"/>
  <c r="K844" i="1"/>
  <c r="K606" i="1"/>
  <c r="K2308" i="1"/>
  <c r="K1839" i="1"/>
  <c r="K1372" i="1"/>
  <c r="K1921" i="1"/>
  <c r="K889" i="1"/>
  <c r="K755" i="1"/>
  <c r="K190" i="1"/>
  <c r="K2177" i="1"/>
  <c r="K1074" i="1"/>
  <c r="K821" i="1"/>
  <c r="K833" i="1"/>
  <c r="K747" i="1"/>
  <c r="K1672" i="1"/>
  <c r="K344" i="1"/>
  <c r="K1932" i="1"/>
  <c r="K2054" i="1"/>
  <c r="K3067" i="1"/>
  <c r="K597" i="1"/>
  <c r="K1635" i="1"/>
  <c r="K477" i="1"/>
  <c r="K2554" i="1"/>
  <c r="K593" i="1"/>
  <c r="K1678" i="1"/>
  <c r="K1700" i="1"/>
  <c r="K625" i="1"/>
  <c r="K2837" i="1"/>
  <c r="K3619" i="1"/>
  <c r="K2249" i="1"/>
  <c r="K430" i="1"/>
  <c r="K1526" i="1"/>
  <c r="K1851" i="1"/>
  <c r="K1604" i="1"/>
  <c r="K3071" i="1"/>
  <c r="K2097" i="1"/>
  <c r="K1725" i="1"/>
  <c r="K2086" i="1"/>
  <c r="K715" i="1"/>
  <c r="K3438" i="1"/>
  <c r="K1546" i="1"/>
  <c r="K390" i="1"/>
  <c r="K245" i="1"/>
  <c r="K654" i="1"/>
  <c r="K1172" i="1"/>
  <c r="K400" i="1"/>
  <c r="K2018" i="1"/>
  <c r="K1803" i="1"/>
  <c r="K2087" i="1"/>
  <c r="K1550" i="1"/>
  <c r="K234" i="1"/>
  <c r="K2609" i="1"/>
  <c r="K2546" i="1"/>
  <c r="K2471" i="1"/>
  <c r="K1744" i="1"/>
  <c r="K1835" i="1"/>
  <c r="K3376" i="1"/>
  <c r="K769" i="1"/>
  <c r="K3805" i="1"/>
  <c r="K1591" i="1"/>
  <c r="K2833" i="1"/>
  <c r="K1767" i="1"/>
  <c r="K1391" i="1"/>
  <c r="K2266" i="1"/>
  <c r="K1728" i="1"/>
  <c r="K2485" i="1"/>
  <c r="K1467" i="1"/>
  <c r="K1520" i="1"/>
  <c r="K2157" i="1"/>
  <c r="K2453" i="1"/>
  <c r="K3261" i="1"/>
  <c r="K2625" i="1"/>
  <c r="K1248" i="1"/>
  <c r="K1627" i="1"/>
  <c r="K3521" i="1"/>
  <c r="K2917" i="1"/>
  <c r="K2822" i="1"/>
  <c r="K1585" i="1"/>
  <c r="K3195" i="1"/>
  <c r="K1610" i="1"/>
  <c r="K3702" i="1"/>
  <c r="K3019" i="1"/>
  <c r="K2596" i="1"/>
  <c r="K2702" i="1"/>
  <c r="K1369" i="1"/>
  <c r="K2089" i="1"/>
  <c r="K3457" i="1"/>
  <c r="K1634" i="1"/>
  <c r="K1094" i="1"/>
  <c r="K1262" i="1"/>
  <c r="K367" i="1"/>
  <c r="K1718" i="1"/>
  <c r="K1096" i="1"/>
  <c r="K1810" i="1"/>
  <c r="K2117" i="1"/>
  <c r="K3083" i="1"/>
  <c r="K2371" i="1"/>
  <c r="K2184" i="1"/>
  <c r="K3078" i="1"/>
  <c r="K2041" i="1"/>
  <c r="K829" i="1"/>
  <c r="K1904" i="1"/>
  <c r="K2134" i="1"/>
  <c r="K2127" i="1"/>
  <c r="K2530" i="1"/>
  <c r="K3431" i="1"/>
  <c r="K2563" i="1"/>
  <c r="K2942" i="1"/>
  <c r="K1975" i="1"/>
  <c r="K3753" i="1"/>
  <c r="K3723" i="1"/>
  <c r="K1109" i="1"/>
  <c r="K500" i="1"/>
  <c r="K1463" i="1"/>
  <c r="K2743" i="1"/>
  <c r="K1393" i="1"/>
  <c r="K3170" i="1"/>
  <c r="K238" i="1"/>
  <c r="K2722" i="1"/>
  <c r="K2437" i="1"/>
  <c r="K2971" i="1"/>
  <c r="K2061" i="1"/>
  <c r="K130" i="1"/>
  <c r="K774" i="1"/>
  <c r="K312" i="1"/>
  <c r="K768" i="1"/>
  <c r="K248" i="1"/>
  <c r="K599" i="1"/>
  <c r="K360" i="1"/>
  <c r="K271" i="1"/>
  <c r="K3402" i="1"/>
  <c r="K3242" i="1"/>
  <c r="K721" i="1"/>
  <c r="K3728" i="1"/>
  <c r="K1999" i="1"/>
  <c r="K2125" i="1"/>
  <c r="K2966" i="1"/>
  <c r="K923" i="1"/>
  <c r="K630" i="1"/>
  <c r="K2505" i="1"/>
  <c r="K615" i="1"/>
  <c r="K3860" i="1"/>
  <c r="K1246" i="1"/>
  <c r="K1219" i="1"/>
  <c r="K2082" i="1"/>
  <c r="K718" i="1"/>
  <c r="K648" i="1"/>
  <c r="K2906" i="1"/>
  <c r="K459" i="1"/>
  <c r="K1853" i="1"/>
  <c r="K1624" i="1"/>
  <c r="K895" i="1"/>
  <c r="K1402" i="1"/>
  <c r="K2543" i="1"/>
  <c r="K3371" i="1"/>
  <c r="K2541" i="1"/>
  <c r="K2611" i="1"/>
  <c r="K2877" i="1"/>
  <c r="K1470" i="1"/>
  <c r="K1181" i="1"/>
  <c r="K3264" i="1"/>
  <c r="K2405" i="1"/>
  <c r="K2103" i="1"/>
  <c r="K3427" i="1"/>
  <c r="K764" i="1"/>
  <c r="K2332" i="1"/>
  <c r="K3661" i="1"/>
  <c r="K2186" i="1"/>
  <c r="K1042" i="1"/>
  <c r="K3935" i="1"/>
  <c r="K1584" i="1"/>
  <c r="K1859" i="1"/>
  <c r="K2535" i="1"/>
  <c r="K3343" i="1"/>
  <c r="K1080" i="1"/>
  <c r="K909" i="1"/>
  <c r="K1881" i="1"/>
  <c r="K1227" i="1"/>
  <c r="K1345" i="1"/>
  <c r="K3632" i="1"/>
  <c r="K699" i="1"/>
  <c r="K2576" i="1"/>
  <c r="K3819" i="1"/>
  <c r="K2863" i="1"/>
  <c r="K1886" i="1"/>
  <c r="K3045" i="1"/>
  <c r="K2808" i="1"/>
  <c r="K1400" i="1"/>
  <c r="K3621" i="1"/>
  <c r="K3100" i="1"/>
  <c r="K1796" i="1"/>
  <c r="K2148" i="1"/>
  <c r="K2355" i="1"/>
  <c r="K3051" i="1"/>
  <c r="K3057" i="1"/>
  <c r="K3330" i="1"/>
  <c r="K3629" i="1"/>
  <c r="K956" i="1"/>
  <c r="K871" i="1"/>
  <c r="K1130" i="1"/>
  <c r="K922" i="1"/>
  <c r="K928" i="1"/>
  <c r="K1300" i="1"/>
  <c r="K894" i="1"/>
  <c r="K1245" i="1"/>
  <c r="K825" i="1"/>
  <c r="K847" i="1"/>
  <c r="K804" i="1"/>
  <c r="K3103" i="1"/>
  <c r="K2166" i="1"/>
  <c r="K3110" i="1"/>
  <c r="K548" i="1"/>
  <c r="K2690" i="1"/>
  <c r="K3143" i="1"/>
  <c r="K237" i="1"/>
  <c r="K2564" i="1"/>
  <c r="K2659" i="1"/>
  <c r="K1581" i="1"/>
  <c r="K1173" i="1"/>
  <c r="K2959" i="1"/>
  <c r="K2552" i="1"/>
  <c r="K2292" i="1"/>
  <c r="K2688" i="1"/>
  <c r="K3417" i="1"/>
  <c r="K3096" i="1"/>
  <c r="K1229" i="1"/>
  <c r="K2143" i="1"/>
  <c r="K1644" i="1"/>
  <c r="K2651" i="1"/>
  <c r="K124" i="1"/>
  <c r="K732" i="1"/>
  <c r="K525" i="1"/>
  <c r="K3151" i="1"/>
  <c r="K832" i="1"/>
  <c r="K623" i="1"/>
  <c r="K3762" i="1"/>
  <c r="K2665" i="1"/>
  <c r="K200" i="1"/>
  <c r="K2706" i="1"/>
  <c r="K3429" i="1"/>
  <c r="K1933" i="1"/>
  <c r="K637" i="1"/>
  <c r="K997" i="1"/>
  <c r="K1450" i="1"/>
  <c r="K2051" i="1"/>
  <c r="K2709" i="1"/>
  <c r="K518" i="1"/>
  <c r="K1120" i="1"/>
  <c r="K1371" i="1"/>
  <c r="K307" i="1"/>
  <c r="K1891" i="1"/>
  <c r="K2010" i="1"/>
  <c r="K222" i="1"/>
  <c r="K538" i="1"/>
  <c r="K1192" i="1"/>
  <c r="K2004" i="1"/>
  <c r="K662" i="1"/>
  <c r="K2384" i="1"/>
  <c r="K1969" i="1"/>
  <c r="K3462" i="1"/>
  <c r="K361" i="1"/>
  <c r="K2956" i="1"/>
  <c r="K2397" i="1"/>
  <c r="K1560" i="1"/>
  <c r="K1357" i="1"/>
  <c r="K1385" i="1"/>
  <c r="K454" i="1"/>
  <c r="K1681" i="1"/>
  <c r="K1157" i="1"/>
  <c r="K2118" i="1"/>
  <c r="K304" i="1"/>
  <c r="K911" i="1"/>
  <c r="K1305" i="1"/>
  <c r="K2273" i="1"/>
  <c r="K1414" i="1"/>
  <c r="K812" i="1"/>
  <c r="K469" i="1"/>
  <c r="K1531" i="1"/>
  <c r="K3793" i="1"/>
  <c r="K2460" i="1"/>
  <c r="K1370" i="1"/>
  <c r="K2517" i="1"/>
  <c r="K3108" i="1"/>
  <c r="K1352" i="1"/>
  <c r="K1459" i="1"/>
  <c r="K670" i="1"/>
  <c r="K1063" i="1"/>
  <c r="K3825" i="1"/>
  <c r="K773" i="1"/>
  <c r="K1777" i="1"/>
  <c r="K2446" i="1"/>
  <c r="K1676" i="1"/>
  <c r="K2780" i="1"/>
  <c r="K1848" i="1"/>
  <c r="K2677" i="1"/>
  <c r="K2451" i="1"/>
  <c r="K403" i="1"/>
  <c r="K1682" i="1"/>
  <c r="K2545" i="1"/>
  <c r="K3231" i="1"/>
  <c r="K1845" i="1"/>
  <c r="K3655" i="1"/>
  <c r="K3097" i="1"/>
  <c r="K1073" i="1"/>
  <c r="K1561" i="1"/>
  <c r="K1486" i="1"/>
  <c r="K2580" i="1"/>
  <c r="K2006" i="1"/>
  <c r="K2302" i="1"/>
  <c r="K2314" i="1"/>
  <c r="K3535" i="1"/>
  <c r="K819" i="1"/>
  <c r="K401" i="1"/>
  <c r="K3406" i="1"/>
  <c r="K2763" i="1"/>
  <c r="K766" i="1"/>
  <c r="K1340" i="1"/>
  <c r="K1703" i="1"/>
  <c r="K2393" i="1"/>
  <c r="K2462" i="1"/>
  <c r="K2838" i="1"/>
  <c r="K517" i="1"/>
  <c r="K3669" i="1"/>
  <c r="K2359" i="1"/>
  <c r="K1453" i="1"/>
  <c r="K255" i="1"/>
  <c r="K2915" i="1"/>
  <c r="K1861" i="1"/>
  <c r="K2941" i="1"/>
  <c r="K1925" i="1"/>
  <c r="K2193" i="1"/>
  <c r="K2110" i="1"/>
  <c r="K2528" i="1"/>
  <c r="K3088" i="1"/>
  <c r="K3656" i="1"/>
  <c r="K3146" i="1"/>
  <c r="K2734" i="1"/>
  <c r="K3040" i="1"/>
  <c r="K3882" i="1"/>
  <c r="K3561" i="1"/>
  <c r="K3667" i="1"/>
  <c r="K3430" i="1"/>
  <c r="K3514" i="1"/>
  <c r="K2788" i="1"/>
  <c r="K3915" i="1"/>
  <c r="K3204" i="1"/>
  <c r="K3755" i="1"/>
  <c r="K3347" i="1"/>
  <c r="K3596" i="1"/>
  <c r="K3529" i="1"/>
  <c r="K3592" i="1"/>
  <c r="K3498" i="1"/>
  <c r="K3432" i="1"/>
  <c r="K2992" i="1"/>
  <c r="K3026" i="1"/>
  <c r="K3494" i="1"/>
  <c r="K3102" i="1"/>
  <c r="K3678" i="1"/>
  <c r="K1017" i="1"/>
  <c r="K2565" i="1"/>
  <c r="K264" i="1"/>
  <c r="K3477" i="1"/>
  <c r="K1779" i="1"/>
  <c r="K835" i="1"/>
  <c r="K1116" i="1"/>
  <c r="K669" i="1"/>
  <c r="K790" i="1"/>
  <c r="K1144" i="1"/>
  <c r="K1710" i="1"/>
  <c r="K1122" i="1"/>
  <c r="K2172" i="1"/>
  <c r="K1221" i="1"/>
  <c r="K3691" i="1"/>
  <c r="K2285" i="1"/>
  <c r="K3139" i="1"/>
  <c r="K2779" i="1"/>
  <c r="K2594" i="1"/>
  <c r="K2894" i="1"/>
  <c r="K2593" i="1"/>
  <c r="K3442" i="1"/>
  <c r="K572" i="1"/>
  <c r="K2496" i="1"/>
  <c r="K3364" i="1"/>
  <c r="K3208" i="1"/>
  <c r="K3799" i="1"/>
  <c r="K1840" i="1"/>
  <c r="K1715" i="1"/>
  <c r="K3282" i="1"/>
  <c r="K2584" i="1"/>
  <c r="K68" i="1"/>
  <c r="K1243" i="1"/>
  <c r="K1098" i="1"/>
  <c r="K1787" i="1"/>
  <c r="K2943" i="1"/>
  <c r="K1349" i="1"/>
  <c r="K1919" i="1"/>
  <c r="K3012" i="1"/>
  <c r="K3215" i="1"/>
  <c r="K3741" i="1"/>
  <c r="K1339" i="1"/>
  <c r="K3092" i="1"/>
  <c r="K532" i="1"/>
  <c r="K1223" i="1"/>
  <c r="K552" i="1"/>
  <c r="K1492" i="1"/>
  <c r="K2538" i="1"/>
  <c r="K3247" i="1"/>
  <c r="K2717" i="1"/>
  <c r="K1473" i="1"/>
  <c r="K672" i="1"/>
  <c r="K982" i="1"/>
  <c r="K2109" i="1"/>
  <c r="K2749" i="1"/>
  <c r="K127" i="1"/>
  <c r="K874" i="1"/>
  <c r="K775" i="1"/>
  <c r="K3106" i="1"/>
  <c r="K378" i="1"/>
  <c r="K1964" i="1"/>
  <c r="K737" i="1"/>
  <c r="K1119" i="1"/>
  <c r="K807" i="1"/>
  <c r="K229" i="1"/>
  <c r="K914" i="1"/>
  <c r="K2759" i="1"/>
  <c r="K2394" i="1"/>
  <c r="K2255" i="1"/>
  <c r="K1155" i="1"/>
  <c r="K2927" i="1"/>
  <c r="K1426" i="1"/>
  <c r="K2985" i="1"/>
  <c r="K2129" i="1"/>
  <c r="K3223" i="1"/>
  <c r="K1215" i="1"/>
  <c r="K2147" i="1"/>
  <c r="K1823" i="1"/>
  <c r="K1996" i="1"/>
  <c r="K2185" i="1"/>
  <c r="K3193" i="1"/>
  <c r="K1616" i="1"/>
  <c r="K2274" i="1"/>
  <c r="K2669" i="1"/>
  <c r="K2887" i="1"/>
  <c r="K3313" i="1"/>
  <c r="K1690" i="1"/>
  <c r="K3300" i="1"/>
  <c r="K1704" i="1"/>
  <c r="K2910" i="1"/>
  <c r="K1298" i="1"/>
  <c r="K3334" i="1"/>
  <c r="K3182" i="1"/>
  <c r="K2176" i="1"/>
  <c r="K1734" i="1"/>
  <c r="K2872" i="1"/>
  <c r="K3233" i="1"/>
  <c r="K1327" i="1"/>
  <c r="K3450" i="1"/>
  <c r="K1963" i="1"/>
  <c r="K2756" i="1"/>
  <c r="K1934" i="1"/>
  <c r="K2678" i="1"/>
  <c r="K250" i="1"/>
  <c r="K714" i="1"/>
  <c r="K1482" i="1"/>
  <c r="K1428" i="1"/>
  <c r="K651" i="1"/>
  <c r="K2191" i="1"/>
  <c r="K3665" i="1"/>
  <c r="K1922" i="1"/>
  <c r="K3780" i="1"/>
  <c r="K2094" i="1"/>
  <c r="K3628" i="1"/>
  <c r="K3715" i="1"/>
  <c r="K741" i="1"/>
  <c r="K3173" i="1"/>
  <c r="K101" i="1"/>
  <c r="K520" i="1"/>
  <c r="K1696" i="1"/>
  <c r="K1782" i="1"/>
  <c r="K443" i="1"/>
  <c r="K546" i="1"/>
  <c r="K873" i="1"/>
  <c r="K646" i="1"/>
  <c r="K930" i="1"/>
  <c r="K515" i="1"/>
  <c r="K1097" i="1"/>
  <c r="K183" i="1"/>
  <c r="K710" i="1"/>
  <c r="K2170" i="1"/>
  <c r="K621" i="1"/>
  <c r="K2057" i="1"/>
  <c r="K1287" i="1"/>
  <c r="K3219" i="1"/>
  <c r="K2510" i="1"/>
  <c r="K283" i="1"/>
  <c r="K169" i="1"/>
  <c r="K362" i="1"/>
  <c r="K2599" i="1"/>
  <c r="K370" i="1"/>
  <c r="K374" i="1"/>
  <c r="K1490" i="1"/>
  <c r="K582" i="1"/>
  <c r="K356" i="1"/>
  <c r="K420" i="1"/>
  <c r="K2240" i="1"/>
  <c r="K746" i="1"/>
  <c r="K2189" i="1"/>
  <c r="K778" i="1"/>
  <c r="K3006" i="1"/>
  <c r="K2577" i="1"/>
  <c r="K1011" i="1"/>
  <c r="K2667" i="1"/>
  <c r="K1308" i="1"/>
  <c r="K1432" i="1"/>
  <c r="K2658" i="1"/>
  <c r="K2232" i="1"/>
  <c r="K3472" i="1"/>
  <c r="K1724" i="1"/>
  <c r="K424" i="1"/>
  <c r="K3176" i="1"/>
  <c r="K565" i="1"/>
  <c r="K767" i="1"/>
  <c r="K2015" i="1"/>
  <c r="K3165" i="1"/>
  <c r="K292" i="1"/>
  <c r="K516" i="1"/>
  <c r="K357" i="1"/>
  <c r="K596" i="1"/>
  <c r="K705" i="1"/>
  <c r="K1761" i="1"/>
  <c r="K2995" i="1"/>
  <c r="K1896" i="1"/>
  <c r="K1238" i="1"/>
  <c r="K1683" i="1"/>
  <c r="K555" i="1"/>
  <c r="K1622" i="1"/>
  <c r="K1741" i="1"/>
  <c r="K949" i="1"/>
  <c r="K1431" i="1"/>
  <c r="K2681" i="1"/>
  <c r="K3731" i="1"/>
  <c r="K2499" i="1"/>
  <c r="K1807" i="1"/>
  <c r="K996" i="1"/>
  <c r="K1944" i="1"/>
  <c r="K2108" i="1"/>
  <c r="K631" i="1"/>
  <c r="K3003" i="1"/>
  <c r="K3202" i="1"/>
  <c r="K574" i="1"/>
  <c r="K2606" i="1"/>
  <c r="K2234" i="1"/>
  <c r="K1028" i="1"/>
  <c r="K383" i="1"/>
  <c r="K3813" i="1"/>
  <c r="K1685" i="1"/>
  <c r="K904" i="1"/>
  <c r="K1045" i="1"/>
  <c r="K1654" i="1"/>
  <c r="K2553" i="1"/>
  <c r="K1535" i="1"/>
  <c r="K2146" i="1"/>
  <c r="K2480" i="1"/>
  <c r="K1730" i="1"/>
  <c r="K1846" i="1"/>
  <c r="K2479" i="1"/>
  <c r="K2895" i="1"/>
  <c r="K3255" i="1"/>
  <c r="K2409" i="1"/>
  <c r="K3339" i="1"/>
  <c r="K2680" i="1"/>
  <c r="K2099" i="1"/>
  <c r="K1649" i="1"/>
  <c r="K1926" i="1"/>
  <c r="K2151" i="1"/>
  <c r="K2175" i="1"/>
  <c r="K2670" i="1"/>
  <c r="K3169" i="1"/>
  <c r="K2102" i="1"/>
  <c r="K1051" i="1"/>
  <c r="K2975" i="1"/>
  <c r="K3475" i="1"/>
  <c r="K3505" i="1"/>
  <c r="K2037" i="1"/>
  <c r="K2448" i="1"/>
  <c r="K2714" i="1"/>
  <c r="K1434" i="1"/>
  <c r="K3294" i="1"/>
  <c r="K1968" i="1"/>
  <c r="K523" i="1"/>
  <c r="K1784" i="1"/>
  <c r="K2360" i="1"/>
  <c r="K1299" i="1"/>
  <c r="K2353" i="1"/>
  <c r="K2414" i="1"/>
  <c r="K2021" i="1"/>
  <c r="K2399" i="1"/>
  <c r="K3285" i="1"/>
  <c r="K3708" i="1"/>
  <c r="K3686" i="1"/>
  <c r="K1920" i="1"/>
  <c r="K1200" i="1"/>
  <c r="K1571" i="1"/>
  <c r="K1962" i="1"/>
  <c r="K1658" i="1"/>
  <c r="K3327" i="1"/>
  <c r="K2603" i="1"/>
  <c r="K2786" i="1"/>
  <c r="K3460" i="1"/>
  <c r="K2933" i="1"/>
  <c r="K1317" i="1"/>
  <c r="K2235" i="1"/>
  <c r="K1895" i="1"/>
  <c r="K3262" i="1"/>
  <c r="K3558" i="1"/>
  <c r="K2859" i="1"/>
  <c r="K3466" i="1"/>
  <c r="K2372" i="1"/>
  <c r="K2263" i="1"/>
  <c r="K3047" i="1"/>
  <c r="K2616" i="1"/>
  <c r="K950" i="1"/>
  <c r="K2027" i="1"/>
  <c r="K2555" i="1"/>
  <c r="K3156" i="1"/>
  <c r="K3380" i="1"/>
  <c r="K2829" i="1"/>
  <c r="K1213" i="1"/>
  <c r="K2408" i="1"/>
  <c r="K3662" i="1"/>
  <c r="K3932" i="1"/>
  <c r="K3515" i="1"/>
  <c r="K2349" i="1"/>
  <c r="K3194" i="1"/>
  <c r="K1899" i="1"/>
  <c r="K3526" i="1"/>
  <c r="K3550" i="1"/>
  <c r="K1889" i="1"/>
  <c r="K1642" i="1"/>
  <c r="K3595" i="1"/>
  <c r="K3601" i="1"/>
  <c r="K3700" i="1"/>
  <c r="K3725" i="1"/>
  <c r="K1773" i="1"/>
  <c r="K3010" i="1"/>
  <c r="K1009" i="1"/>
  <c r="K883" i="1"/>
  <c r="K511" i="1"/>
  <c r="K2967" i="1"/>
  <c r="K2474" i="1"/>
  <c r="K850" i="1"/>
  <c r="K138" i="1"/>
  <c r="K3456" i="1"/>
  <c r="K2491" i="1"/>
  <c r="K3346" i="1"/>
  <c r="K427" i="1"/>
  <c r="K3349" i="1"/>
  <c r="K2315" i="1"/>
  <c r="K1476" i="1"/>
  <c r="K3115" i="1"/>
  <c r="K2163" i="1"/>
  <c r="K521" i="1"/>
  <c r="K2783" i="1"/>
  <c r="K3791" i="1"/>
  <c r="K2705" i="1"/>
  <c r="K2114" i="1"/>
  <c r="K2513" i="1"/>
  <c r="K953" i="1"/>
  <c r="K2797" i="1"/>
  <c r="K2493" i="1"/>
  <c r="K2421" i="1"/>
  <c r="K1415" i="1"/>
  <c r="K663" i="1"/>
  <c r="K409" i="1"/>
  <c r="K220" i="1"/>
  <c r="K1522" i="1"/>
  <c r="K2419" i="1"/>
  <c r="K1992" i="1"/>
  <c r="K2059" i="1"/>
  <c r="K1631" i="1"/>
  <c r="K2467" i="1"/>
  <c r="K2512" i="1"/>
  <c r="K2209" i="1"/>
  <c r="K2758" i="1"/>
  <c r="K1366" i="1"/>
  <c r="K2278" i="1"/>
  <c r="K1929" i="1"/>
  <c r="K738" i="1"/>
  <c r="K2439" i="1"/>
  <c r="K1988" i="1"/>
  <c r="K1202" i="1"/>
  <c r="K1179" i="1"/>
  <c r="K1572" i="1"/>
  <c r="K1567" i="1"/>
  <c r="K1025" i="1"/>
  <c r="K1912" i="1"/>
  <c r="K1101" i="1"/>
  <c r="K1638" i="1"/>
  <c r="K1860" i="1"/>
  <c r="K1589" i="1"/>
  <c r="K856" i="1"/>
  <c r="K1541" i="1"/>
  <c r="K2150" i="1"/>
  <c r="K3798" i="1"/>
  <c r="K2178" i="1"/>
  <c r="K3634" i="1"/>
  <c r="K2643" i="1"/>
  <c r="K1578" i="1"/>
  <c r="K2960" i="1"/>
  <c r="K2861" i="1"/>
  <c r="K2345" i="1"/>
  <c r="K3428" i="1"/>
  <c r="K3217" i="1"/>
  <c r="K2206" i="1"/>
  <c r="K1312" i="1"/>
  <c r="K172" i="1"/>
  <c r="K1884" i="1"/>
  <c r="K3604" i="1"/>
  <c r="K2907" i="1"/>
  <c r="K2428" i="1"/>
  <c r="K1438" i="1"/>
  <c r="K2748" i="1"/>
  <c r="K2791" i="1"/>
  <c r="K1326" i="1"/>
  <c r="K2637" i="1"/>
  <c r="K1268" i="1"/>
  <c r="K2770" i="1"/>
  <c r="K3850" i="1"/>
  <c r="K3292" i="1"/>
  <c r="K3200" i="1"/>
  <c r="K3117" i="1"/>
  <c r="K3187" i="1"/>
  <c r="K2106" i="1"/>
  <c r="K2840" i="1"/>
  <c r="K3020" i="1"/>
  <c r="K3722" i="1"/>
  <c r="K2363" i="1"/>
  <c r="K2295" i="1"/>
  <c r="K3794" i="1"/>
  <c r="K1830" i="1"/>
  <c r="K168" i="1"/>
  <c r="K1688" i="1"/>
  <c r="K1347" i="1"/>
  <c r="K1680" i="1"/>
  <c r="K1086" i="1"/>
  <c r="K2922" i="1"/>
  <c r="K3179" i="1"/>
  <c r="K1745" i="1"/>
  <c r="K2327" i="1"/>
  <c r="K960" i="1"/>
  <c r="K834" i="1"/>
  <c r="K1188" i="1"/>
  <c r="K1358" i="1"/>
  <c r="K3382" i="1"/>
  <c r="K1818" i="1"/>
  <c r="K3400" i="1"/>
  <c r="K1852" i="1"/>
  <c r="K3357" i="1"/>
  <c r="K3004" i="1"/>
  <c r="K2404" i="1"/>
  <c r="K1500" i="1"/>
  <c r="K3221" i="1"/>
  <c r="K1021" i="1"/>
  <c r="K2364" i="1"/>
  <c r="K253" i="1"/>
  <c r="K2328" i="1"/>
  <c r="K2241" i="1"/>
  <c r="K3717" i="1"/>
  <c r="K1477" i="1"/>
  <c r="K3209" i="1"/>
  <c r="K1302" i="1"/>
  <c r="K1967" i="1"/>
  <c r="K1095" i="1"/>
  <c r="K2105" i="1"/>
  <c r="K3338" i="1"/>
  <c r="K3714" i="1"/>
  <c r="K656" i="1"/>
  <c r="K3259" i="1"/>
  <c r="K990" i="1"/>
  <c r="K1136" i="1"/>
  <c r="K2227" i="1"/>
  <c r="K3847" i="1"/>
  <c r="K3444" i="1"/>
  <c r="K3448" i="1"/>
  <c r="K375" i="1"/>
  <c r="K3767" i="1"/>
  <c r="K981" i="1"/>
  <c r="K2101" i="1"/>
  <c r="K896" i="1"/>
  <c r="K892" i="1"/>
  <c r="K2631" i="1"/>
  <c r="K2986" i="1"/>
  <c r="K681" i="1"/>
  <c r="K868" i="1"/>
  <c r="K1269" i="1"/>
  <c r="K2873" i="1"/>
  <c r="K1828" i="1"/>
  <c r="K421" i="1"/>
  <c r="K2590" i="1"/>
  <c r="K3196" i="1"/>
  <c r="K1224" i="1"/>
  <c r="K1789" i="1"/>
  <c r="K2621" i="1"/>
  <c r="K2697" i="1"/>
  <c r="K2038" i="1"/>
  <c r="K2411" i="1"/>
  <c r="K3712" i="1"/>
  <c r="K2544" i="1"/>
  <c r="K1687" i="1"/>
  <c r="K1598" i="1"/>
  <c r="K1355" i="1"/>
  <c r="K2398" i="1"/>
  <c r="K1509" i="1"/>
  <c r="K3650" i="1"/>
  <c r="K3238" i="1"/>
  <c r="K937" i="1"/>
  <c r="K1279" i="1"/>
  <c r="K1716" i="1"/>
  <c r="K2276" i="1"/>
  <c r="K2567" i="1"/>
  <c r="K1822" i="1"/>
  <c r="K3890" i="1"/>
  <c r="K1995" i="1"/>
  <c r="K2457" i="1"/>
  <c r="K1978" i="1"/>
  <c r="K2773" i="1"/>
  <c r="K2212" i="1"/>
  <c r="K3527" i="1"/>
  <c r="K1733" i="1"/>
  <c r="K3695" i="1"/>
  <c r="K3084" i="1"/>
  <c r="K2522" i="1"/>
  <c r="K3800" i="1"/>
  <c r="K3354" i="1"/>
  <c r="K3785" i="1"/>
  <c r="K2348" i="1"/>
  <c r="K3049" i="1"/>
  <c r="K3607" i="1"/>
  <c r="K2190" i="1"/>
  <c r="K2668" i="1"/>
  <c r="K109" i="1"/>
  <c r="K71" i="1"/>
  <c r="K783" i="1"/>
  <c r="K616" i="1"/>
  <c r="K218" i="1"/>
  <c r="K1692" i="1"/>
  <c r="K1266" i="1"/>
  <c r="K1595" i="1"/>
  <c r="K643" i="1"/>
  <c r="K2311" i="1"/>
  <c r="K185" i="1"/>
  <c r="K3250" i="1"/>
  <c r="K619" i="1"/>
  <c r="K417" i="1"/>
  <c r="K1108" i="1"/>
  <c r="K859" i="1"/>
  <c r="K1855" i="1"/>
  <c r="K391" i="1"/>
  <c r="K226" i="1"/>
  <c r="K842" i="1"/>
  <c r="K2062" i="1"/>
  <c r="K1077" i="1"/>
  <c r="K761" i="1"/>
  <c r="K854" i="1"/>
  <c r="K2045" i="1"/>
  <c r="K2420" i="1"/>
  <c r="K2916" i="1"/>
  <c r="K2686" i="1"/>
  <c r="K762" i="1"/>
  <c r="K2026" i="1"/>
  <c r="K2288" i="1"/>
  <c r="K2412" i="1"/>
  <c r="K1877" i="1"/>
  <c r="K2588" i="1"/>
  <c r="K429" i="1"/>
  <c r="K1311" i="1"/>
  <c r="K2591" i="1"/>
  <c r="K1829" i="1"/>
  <c r="K2310" i="1"/>
  <c r="K3575" i="1"/>
  <c r="K1043" i="1"/>
  <c r="K1605" i="1"/>
  <c r="K1376" i="1"/>
  <c r="K1582" i="1"/>
  <c r="K1764" i="1"/>
  <c r="K2124" i="1"/>
  <c r="K2312" i="1"/>
  <c r="K2597" i="1"/>
  <c r="K1990" i="1"/>
  <c r="K1319" i="1"/>
  <c r="K3842" i="1"/>
  <c r="K2961" i="1"/>
  <c r="K1216" i="1"/>
  <c r="K1747" i="1"/>
  <c r="K316" i="1"/>
  <c r="K1986" i="1"/>
  <c r="K2804" i="1"/>
  <c r="K267" i="1"/>
  <c r="K1994" i="1"/>
  <c r="K3101" i="1"/>
  <c r="K2000" i="1"/>
  <c r="K2502" i="1"/>
  <c r="K1397" i="1"/>
  <c r="K3690" i="1"/>
  <c r="K561" i="1"/>
  <c r="K954" i="1"/>
  <c r="K1127" i="1"/>
  <c r="K2634" i="1"/>
  <c r="K1480" i="1"/>
  <c r="K372" i="1"/>
  <c r="K3530" i="1"/>
  <c r="K3394" i="1"/>
  <c r="K1548" i="1"/>
  <c r="K1091" i="1"/>
  <c r="K2772" i="1"/>
  <c r="K1965" i="1"/>
  <c r="K2523" i="1"/>
  <c r="K2306" i="1"/>
  <c r="K3093" i="1"/>
  <c r="K2823" i="1"/>
  <c r="K3050" i="1"/>
  <c r="K3567" i="1"/>
  <c r="K1128" i="1"/>
  <c r="K754" i="1"/>
  <c r="K2205" i="1"/>
  <c r="K1821" i="1"/>
  <c r="K2924" i="1"/>
  <c r="K2618" i="1"/>
  <c r="K2614" i="1"/>
  <c r="K3350" i="1"/>
  <c r="K2760" i="1"/>
  <c r="K2527" i="1"/>
  <c r="K1143" i="1"/>
  <c r="K1928" i="1"/>
  <c r="K1034" i="1"/>
  <c r="K3495" i="1"/>
  <c r="K1931" i="1"/>
  <c r="K3036" i="1"/>
  <c r="K1751" i="1"/>
  <c r="K2767" i="1"/>
  <c r="K314" i="1"/>
  <c r="K1971" i="1"/>
  <c r="K2028" i="1"/>
  <c r="K3069" i="1"/>
  <c r="K1890" i="1"/>
  <c r="K2297" i="1"/>
  <c r="K1882" i="1"/>
  <c r="K1145" i="1"/>
  <c r="K3901" i="1"/>
  <c r="K1289" i="1"/>
  <c r="K3751" i="1"/>
  <c r="K2723" i="1"/>
  <c r="K2762" i="1"/>
  <c r="K3754" i="1"/>
  <c r="K2245" i="1"/>
  <c r="K2952" i="1"/>
  <c r="K2392" i="1"/>
  <c r="K3814" i="1"/>
  <c r="K3362" i="1"/>
  <c r="K406" i="1"/>
  <c r="K2699" i="1"/>
  <c r="K3788" i="1"/>
  <c r="K3663" i="1"/>
  <c r="K3802" i="1"/>
  <c r="K3886" i="1"/>
  <c r="K3893" i="1"/>
  <c r="K3373" i="1"/>
  <c r="K1719" i="1"/>
  <c r="K1207" i="1"/>
  <c r="K2183" i="1"/>
  <c r="K2869" i="1"/>
  <c r="K415" i="1"/>
  <c r="K3464" i="1"/>
  <c r="K748" i="1"/>
  <c r="K433" i="1"/>
  <c r="K486" i="1"/>
  <c r="K1112" i="1"/>
  <c r="K2430" i="1"/>
  <c r="K1630" i="1"/>
  <c r="K2718" i="1"/>
  <c r="K876" i="1"/>
  <c r="K1885" i="1"/>
  <c r="K2182" i="1"/>
  <c r="K3085" i="1"/>
  <c r="K1454" i="1"/>
  <c r="K1903" i="1"/>
  <c r="K3281" i="1"/>
  <c r="K3574" i="1"/>
  <c r="K971" i="1"/>
  <c r="K2085" i="1"/>
  <c r="K2898" i="1"/>
  <c r="K3424" i="1"/>
  <c r="K1210" i="1"/>
  <c r="K802" i="1"/>
  <c r="K2199" i="1"/>
  <c r="K2076" i="1"/>
  <c r="K3633" i="1"/>
  <c r="K2918" i="1"/>
  <c r="K2652" i="1"/>
  <c r="K1587" i="1"/>
  <c r="K2691" i="1"/>
  <c r="K3315" i="1"/>
  <c r="K3609" i="1"/>
  <c r="K3356" i="1"/>
  <c r="K1422" i="1"/>
  <c r="K3426" i="1"/>
  <c r="K3145" i="1"/>
  <c r="K2225" i="1"/>
  <c r="K2604" i="1"/>
  <c r="K1766" i="1"/>
  <c r="K3046" i="1"/>
  <c r="K3408" i="1"/>
  <c r="K3744" i="1"/>
  <c r="K3075" i="1"/>
  <c r="K706" i="1"/>
  <c r="K179" i="1"/>
  <c r="K2362" i="1"/>
  <c r="K3157" i="1"/>
  <c r="K2116" i="1"/>
  <c r="K1103" i="1"/>
  <c r="K3554" i="1"/>
  <c r="K3220" i="1"/>
  <c r="K557" i="1"/>
  <c r="K3038" i="1"/>
  <c r="K679" i="1"/>
  <c r="K3166" i="1"/>
  <c r="K838" i="1"/>
  <c r="K2615" i="1"/>
  <c r="K2330" i="1"/>
  <c r="K1085" i="1"/>
  <c r="K3545" i="1"/>
  <c r="K1058" i="1"/>
  <c r="K645" i="1"/>
  <c r="K216" i="1"/>
  <c r="K2228" i="1"/>
  <c r="K2194" i="1"/>
  <c r="K3043" i="1"/>
  <c r="K1254" i="1"/>
  <c r="K3821" i="1"/>
  <c r="K3701" i="1"/>
  <c r="K275" i="1"/>
  <c r="K2358" i="1"/>
  <c r="K2628" i="1"/>
  <c r="K1418" i="1"/>
  <c r="K2622" i="1"/>
  <c r="K1985" i="1"/>
  <c r="K2052" i="1"/>
  <c r="K941" i="1"/>
  <c r="K2309" i="1"/>
  <c r="K2839" i="1"/>
  <c r="K1537" i="1"/>
  <c r="K294" i="1"/>
  <c r="K2757" i="1"/>
  <c r="K1961" i="1"/>
  <c r="K1791" i="1"/>
  <c r="K1448" i="1"/>
  <c r="K3222" i="1"/>
  <c r="K2333" i="1"/>
  <c r="K2233" i="1"/>
  <c r="K2818" i="1"/>
  <c r="K1380" i="1"/>
  <c r="K2602" i="1"/>
  <c r="K2034" i="1"/>
  <c r="K1721" i="1"/>
  <c r="K1075" i="1"/>
  <c r="K2901" i="1"/>
  <c r="K2088" i="1"/>
  <c r="K3148" i="1"/>
  <c r="K3127" i="1"/>
  <c r="K551" i="1"/>
  <c r="K3683" i="1"/>
  <c r="K2432" i="1"/>
  <c r="K3508" i="1"/>
  <c r="K3776" i="1"/>
  <c r="K3546" i="1"/>
  <c r="K3212" i="1"/>
  <c r="K2296" i="1"/>
  <c r="K3118" i="1"/>
  <c r="K2264" i="1"/>
  <c r="K3653" i="1"/>
  <c r="K2674" i="1"/>
  <c r="K1958" i="1"/>
  <c r="K2945" i="1"/>
  <c r="K2221" i="1"/>
  <c r="K3273" i="1"/>
  <c r="K2236" i="1"/>
  <c r="K2337" i="1"/>
  <c r="K962" i="1"/>
  <c r="K2698" i="1"/>
  <c r="K2914" i="1"/>
  <c r="K2367" i="1"/>
  <c r="K3657" i="1"/>
  <c r="K3120" i="1"/>
  <c r="K3321" i="1"/>
  <c r="K1059" i="1"/>
  <c r="K1762" i="1"/>
  <c r="K688" i="1"/>
  <c r="K1547" i="1"/>
  <c r="K3042" i="1"/>
  <c r="K150" i="1"/>
  <c r="K83" i="1"/>
  <c r="K335" i="1"/>
  <c r="K3770" i="1"/>
  <c r="K1260" i="1"/>
  <c r="K1253" i="1"/>
  <c r="K285" i="1"/>
  <c r="K1394" i="1"/>
  <c r="K946" i="1"/>
  <c r="K1321" i="1"/>
  <c r="K1536" i="1"/>
  <c r="K917" i="1"/>
  <c r="K2003" i="1"/>
  <c r="K282" i="1"/>
  <c r="K1089" i="1"/>
  <c r="K2155" i="1"/>
  <c r="K3608" i="1"/>
  <c r="K1478" i="1"/>
  <c r="K3540" i="1"/>
  <c r="K3834" i="1"/>
  <c r="K1014" i="1"/>
  <c r="K931" i="1"/>
  <c r="K739" i="1"/>
  <c r="K1148" i="1"/>
  <c r="K1194" i="1"/>
  <c r="K1195" i="1"/>
  <c r="K1251" i="1"/>
  <c r="K1800" i="1"/>
  <c r="K227" i="1"/>
  <c r="K1739" i="1"/>
  <c r="K2270" i="1"/>
  <c r="K1609" i="1"/>
  <c r="K2608" i="1"/>
  <c r="K2550" i="1"/>
  <c r="K881" i="1"/>
  <c r="K1283" i="1"/>
  <c r="K481" i="1"/>
  <c r="K2341" i="1"/>
  <c r="K2719" i="1"/>
  <c r="K2708" i="1"/>
  <c r="K3109" i="1"/>
  <c r="K3266" i="1"/>
  <c r="K2504" i="1"/>
  <c r="K1813" i="1"/>
  <c r="K2879" i="1"/>
  <c r="K1834" i="1"/>
  <c r="K1876" i="1"/>
  <c r="K2071" i="1"/>
  <c r="K2765" i="1"/>
  <c r="K1558" i="1"/>
  <c r="K2641" i="1"/>
  <c r="K1225" i="1"/>
  <c r="K3363" i="1"/>
  <c r="K1044" i="1"/>
  <c r="K2573" i="1"/>
  <c r="K3154" i="1"/>
  <c r="K3029" i="1"/>
  <c r="K2735" i="1"/>
  <c r="K3288" i="1"/>
  <c r="K3063" i="1"/>
  <c r="K2562" i="1"/>
  <c r="K3884" i="1"/>
  <c r="K1656" i="1"/>
  <c r="K2886" i="1"/>
  <c r="K2999" i="1"/>
  <c r="K3383" i="1"/>
  <c r="K3268" i="1"/>
  <c r="K2650" i="1"/>
  <c r="K3413" i="1"/>
  <c r="K3658" i="1"/>
  <c r="K3369" i="1"/>
  <c r="K3452" i="1"/>
  <c r="K2574" i="1"/>
  <c r="K2687" i="1"/>
  <c r="K3827" i="1"/>
  <c r="K2947" i="1"/>
  <c r="K3480" i="1"/>
  <c r="K3765" i="1"/>
  <c r="K2647" i="1"/>
  <c r="K3895" i="1"/>
  <c r="K1959" i="1"/>
  <c r="K1707" i="1"/>
  <c r="K2696" i="1"/>
  <c r="K3625" i="1"/>
  <c r="K162" i="1"/>
  <c r="K8" i="1"/>
  <c r="K2570" i="1"/>
  <c r="K683" i="1"/>
  <c r="K171" i="1"/>
  <c r="K3177" i="1"/>
  <c r="K2244" i="1"/>
  <c r="K1360" i="1"/>
  <c r="K2775" i="1"/>
  <c r="K2049" i="1"/>
  <c r="K1976" i="1"/>
  <c r="K1420" i="1"/>
  <c r="K2073" i="1"/>
  <c r="K3533" i="1"/>
  <c r="K2595" i="1"/>
  <c r="K1664" i="1"/>
  <c r="K2809" i="1"/>
  <c r="K1255" i="1"/>
  <c r="K2007" i="1"/>
  <c r="K2572" i="1"/>
  <c r="K3185" i="1"/>
  <c r="K1501" i="1"/>
  <c r="K3218" i="1"/>
  <c r="K2008" i="1"/>
  <c r="K2532" i="1"/>
  <c r="K2803" i="1"/>
  <c r="K2247" i="1"/>
  <c r="K2733" i="1"/>
  <c r="K1069" i="1"/>
  <c r="K2169" i="1"/>
  <c r="K1871" i="1"/>
  <c r="K3229" i="1"/>
  <c r="K3536" i="1"/>
  <c r="K1515" i="1"/>
  <c r="K1720" i="1"/>
  <c r="K1759" i="1"/>
  <c r="K3692" i="1"/>
  <c r="K2866" i="1"/>
  <c r="K3681" i="1"/>
  <c r="K2711" i="1"/>
  <c r="K1387" i="1"/>
  <c r="K3335" i="1"/>
  <c r="K3134" i="1"/>
  <c r="K366" i="1"/>
  <c r="K12" i="1"/>
  <c r="K1866" i="1"/>
  <c r="K3441" i="1"/>
  <c r="K3224" i="1"/>
  <c r="K225" i="1"/>
  <c r="K940" i="1"/>
  <c r="K1804" i="1"/>
  <c r="K3263" i="1"/>
  <c r="K1495" i="1"/>
  <c r="K2560" i="1"/>
  <c r="K3433" i="1"/>
  <c r="K589" i="1"/>
  <c r="K595" i="1"/>
  <c r="K2140" i="1"/>
  <c r="K1590" i="1"/>
  <c r="K887" i="1"/>
  <c r="K1617" i="1"/>
  <c r="K461" i="1"/>
  <c r="K1170" i="1"/>
  <c r="K3491" i="1"/>
  <c r="K2171" i="1"/>
  <c r="K974" i="1"/>
  <c r="K1909" i="1"/>
  <c r="K3329" i="1"/>
  <c r="K2011" i="1"/>
  <c r="K2919" i="1"/>
  <c r="K2207" i="1"/>
  <c r="K2792" i="1"/>
  <c r="K2892" i="1"/>
  <c r="K1079" i="1"/>
  <c r="K1455" i="1"/>
  <c r="K1566" i="1"/>
  <c r="K2002" i="1"/>
  <c r="K1729" i="1"/>
  <c r="K2017" i="1"/>
  <c r="K2468" i="1"/>
  <c r="K2755" i="1"/>
  <c r="K1211" i="1"/>
  <c r="K1980" i="1"/>
  <c r="K3410" i="1"/>
  <c r="K2684" i="1"/>
  <c r="K3140" i="1"/>
  <c r="K269" i="1"/>
  <c r="K1668" i="1"/>
  <c r="K2216" i="1"/>
  <c r="K3136" i="1"/>
  <c r="K1606" i="1"/>
  <c r="K2744" i="1"/>
  <c r="K2331" i="1"/>
  <c r="K3283" i="1"/>
  <c r="K3189" i="1"/>
  <c r="K1620" i="1"/>
  <c r="K3487" i="1"/>
  <c r="K2268" i="1"/>
  <c r="K1204" i="1"/>
  <c r="K3358" i="1"/>
  <c r="K1264" i="1"/>
  <c r="K2256" i="1"/>
  <c r="K2862" i="1"/>
  <c r="K1356" i="1"/>
  <c r="K1880" i="1"/>
  <c r="K2489" i="1"/>
  <c r="K1619" i="1"/>
  <c r="K1709" i="1"/>
  <c r="K1481" i="1"/>
  <c r="K2158" i="1"/>
  <c r="K2375" i="1"/>
  <c r="K1702" i="1"/>
  <c r="K3237" i="1"/>
  <c r="K1765" i="1"/>
  <c r="K2951" i="1"/>
  <c r="K1570" i="1"/>
  <c r="K3074" i="1"/>
  <c r="K3031" i="1"/>
  <c r="K1794" i="1"/>
  <c r="K2095" i="1"/>
  <c r="K2180" i="1"/>
  <c r="K2019" i="1"/>
  <c r="K3513" i="1"/>
  <c r="K2415" i="1"/>
  <c r="K2653" i="1"/>
  <c r="K2727" i="1"/>
  <c r="K3534" i="1"/>
  <c r="K3395" i="1"/>
  <c r="K3564" i="1"/>
  <c r="K3883" i="1"/>
  <c r="K3709" i="1"/>
  <c r="K2957" i="1"/>
  <c r="K2721" i="1"/>
  <c r="K2850" i="1"/>
  <c r="K2857" i="1"/>
  <c r="K1843" i="1"/>
  <c r="K3214" i="1"/>
  <c r="K3367" i="1"/>
  <c r="K1666" i="1"/>
  <c r="K3079" i="1"/>
  <c r="K1057" i="1"/>
  <c r="K1325" i="1"/>
  <c r="K3525" i="1"/>
  <c r="K2935" i="1"/>
  <c r="K3252" i="1"/>
  <c r="K3826" i="1"/>
  <c r="K3643" i="1"/>
  <c r="K3251" i="1"/>
  <c r="K2675" i="1"/>
  <c r="K2559" i="1"/>
  <c r="K1768" i="1"/>
  <c r="K2368" i="1"/>
  <c r="K2435" i="1"/>
  <c r="K3135" i="1"/>
  <c r="K3388" i="1"/>
  <c r="K3476" i="1"/>
  <c r="K3034" i="1"/>
  <c r="K2936" i="1"/>
  <c r="K3920" i="1"/>
  <c r="K3361" i="1"/>
  <c r="K3030" i="1"/>
  <c r="K3745" i="1"/>
  <c r="K3710" i="1"/>
  <c r="K2874" i="1"/>
  <c r="K3384" i="1"/>
  <c r="K3861" i="1"/>
  <c r="K3227" i="1"/>
  <c r="K3822" i="1"/>
  <c r="K3782" i="1"/>
  <c r="K3808" i="1"/>
  <c r="K3732" i="1"/>
  <c r="K3072" i="1"/>
  <c r="K3298" i="1"/>
  <c r="K3789" i="1"/>
  <c r="K3927" i="1"/>
  <c r="K3589" i="1"/>
  <c r="K2075" i="1"/>
  <c r="K696" i="1"/>
  <c r="K2766" i="1"/>
  <c r="K3863" i="1"/>
  <c r="K2379" i="1"/>
  <c r="K2813" i="1"/>
  <c r="K1273" i="1"/>
  <c r="K3486" i="1"/>
  <c r="K3239" i="1"/>
  <c r="K3159" i="1"/>
  <c r="K1679" i="1"/>
  <c r="K1351" i="1"/>
  <c r="K2275" i="1"/>
  <c r="K2422" i="1"/>
  <c r="K1001" i="1"/>
  <c r="K2090" i="1"/>
  <c r="K1038" i="1"/>
  <c r="K2509" i="1"/>
  <c r="K1026" i="1"/>
  <c r="K1053" i="1"/>
  <c r="K1661" i="1"/>
  <c r="K1646" i="1"/>
  <c r="K1897" i="1"/>
  <c r="K3168" i="1"/>
  <c r="K1505" i="1"/>
  <c r="K3022" i="1"/>
  <c r="K2540" i="1"/>
  <c r="K2260" i="1"/>
  <c r="K3377" i="1"/>
  <c r="K3409" i="1"/>
  <c r="K2958" i="1"/>
  <c r="K3068" i="1"/>
  <c r="K594" i="1"/>
  <c r="K3160" i="1"/>
  <c r="K2720" i="1"/>
  <c r="K2265" i="1"/>
  <c r="K3161" i="1"/>
  <c r="K3911" i="1"/>
  <c r="K3892" i="1"/>
  <c r="K1673" i="1"/>
  <c r="K419" i="1"/>
  <c r="K1752" i="1"/>
  <c r="K3941" i="1"/>
  <c r="K1242" i="1"/>
  <c r="K2035" i="1"/>
  <c r="K2030" i="1"/>
  <c r="K1183" i="1"/>
  <c r="K1052" i="1"/>
  <c r="K3603" i="1"/>
  <c r="K3017" i="1"/>
  <c r="K3910" i="1"/>
  <c r="K2195" i="1"/>
  <c r="K1465" i="1"/>
  <c r="K2893" i="1"/>
  <c r="K1940" i="1"/>
  <c r="K2845" i="1"/>
  <c r="K3081" i="1"/>
  <c r="K363" i="1"/>
  <c r="K293" i="1"/>
  <c r="K3446" i="1"/>
  <c r="K2149" i="1"/>
  <c r="K634" i="1"/>
  <c r="K730" i="1"/>
  <c r="K1735" i="1"/>
  <c r="K3064" i="1"/>
  <c r="K2390" i="1"/>
  <c r="K2142" i="1"/>
  <c r="K2416" i="1"/>
  <c r="K3311" i="1"/>
  <c r="K2456" i="1"/>
  <c r="K2342" i="1"/>
  <c r="K1819" i="1"/>
  <c r="K1917" i="1"/>
  <c r="K2739" i="1"/>
  <c r="K3449" i="1"/>
  <c r="K1293" i="1"/>
  <c r="K2257" i="1"/>
  <c r="K2778" i="1"/>
  <c r="K2464" i="1"/>
  <c r="K983" i="1"/>
  <c r="K963" i="1"/>
  <c r="K3099" i="1"/>
  <c r="K2160" i="1"/>
  <c r="K1950" i="1"/>
  <c r="K2558" i="1"/>
  <c r="K2816" i="1"/>
  <c r="K3105" i="1"/>
  <c r="K3381" i="1"/>
  <c r="K3199" i="1"/>
  <c r="K2042" i="1"/>
  <c r="K3133" i="1"/>
  <c r="K3928" i="1"/>
  <c r="K3841" i="1"/>
  <c r="K3843" i="1"/>
  <c r="K1686" i="1"/>
  <c r="K3557" i="1"/>
  <c r="K3846" i="1"/>
  <c r="K2972" i="1"/>
  <c r="K2483" i="1"/>
  <c r="K3809" i="1"/>
  <c r="K3815" i="1"/>
  <c r="K2931" i="1"/>
  <c r="K3254" i="1"/>
  <c r="K3859" i="1"/>
  <c r="K3519" i="1"/>
  <c r="K3258" i="1"/>
  <c r="K3158" i="1"/>
  <c r="K3232" i="1"/>
  <c r="K464" i="1"/>
  <c r="K1341" i="1"/>
  <c r="K680" i="1"/>
  <c r="K693" i="1"/>
  <c r="K2525" i="1"/>
  <c r="K1722" i="1"/>
  <c r="K3704" i="1"/>
  <c r="K2640" i="1"/>
  <c r="K3812" i="1"/>
  <c r="K2693" i="1"/>
  <c r="K3857" i="1"/>
  <c r="K2159" i="1"/>
  <c r="K2649" i="1"/>
  <c r="K3894" i="1"/>
  <c r="K3454" i="1"/>
  <c r="K3320" i="1"/>
  <c r="K2969" i="1"/>
  <c r="K1523" i="1"/>
  <c r="K2802" i="1"/>
  <c r="K1639" i="1"/>
  <c r="K913" i="1"/>
  <c r="K986" i="1"/>
  <c r="K276" i="1"/>
  <c r="K3635" i="1"/>
  <c r="K1277" i="1"/>
  <c r="K526" i="1"/>
  <c r="K176" i="1"/>
  <c r="K3412" i="1"/>
  <c r="K2912" i="1"/>
  <c r="K1013" i="1"/>
  <c r="K3872" i="1"/>
  <c r="K1023" i="1"/>
  <c r="K2383" i="1"/>
  <c r="K174" i="1"/>
  <c r="K368" i="1"/>
  <c r="K3284" i="1"/>
  <c r="K2092" i="1"/>
  <c r="K3648" i="1"/>
  <c r="K2811" i="1"/>
  <c r="K1285" i="1"/>
  <c r="K3435" i="1"/>
  <c r="K2511" i="1"/>
  <c r="K2445" i="1"/>
  <c r="K1659" i="1"/>
  <c r="K2843" i="1"/>
  <c r="K664" i="1"/>
  <c r="K1806" i="1"/>
  <c r="K1445" i="1"/>
  <c r="K2016" i="1"/>
  <c r="K3759" i="1"/>
  <c r="K3397" i="1"/>
  <c r="K1284" i="1"/>
  <c r="K2449" i="1"/>
  <c r="K3216" i="1"/>
  <c r="K3654" i="1"/>
  <c r="K1607" i="1"/>
  <c r="K3610" i="1"/>
  <c r="K2908" i="1"/>
  <c r="K2937" i="1"/>
  <c r="K2455" i="1"/>
  <c r="K3094" i="1"/>
  <c r="K3631" i="1"/>
  <c r="K3183" i="1"/>
  <c r="K2498" i="1"/>
  <c r="K2001" i="1"/>
  <c r="K2824" i="1"/>
  <c r="K3747" i="1"/>
  <c r="K3018" i="1"/>
  <c r="K1946" i="1"/>
  <c r="K3862" i="1"/>
  <c r="K3652" i="1"/>
  <c r="K3606" i="1"/>
  <c r="K3830" i="1"/>
  <c r="K3184" i="1"/>
  <c r="K3795" i="1"/>
  <c r="K3580" i="1"/>
  <c r="K1778" i="1"/>
  <c r="K2055" i="1"/>
  <c r="K3059" i="1"/>
  <c r="K3598" i="1"/>
  <c r="K3721" i="1"/>
  <c r="K848" i="1"/>
  <c r="K2853" i="1"/>
  <c r="K3590" i="1"/>
  <c r="K3904" i="1"/>
  <c r="K2585" i="1"/>
  <c r="K3616" i="1"/>
  <c r="K2973" i="1"/>
  <c r="K1164" i="1"/>
  <c r="K527" i="1"/>
  <c r="K1433" i="1"/>
  <c r="K3303" i="1"/>
  <c r="K629" i="1"/>
  <c r="K3257" i="1"/>
  <c r="K2387" i="1"/>
  <c r="K959" i="1"/>
  <c r="K2974" i="1"/>
  <c r="K2401" i="1"/>
  <c r="K3493" i="1"/>
  <c r="K1808" i="1"/>
  <c r="K2987" i="1"/>
  <c r="K3688" i="1"/>
  <c r="K3331" i="1"/>
  <c r="K1812" i="1"/>
  <c r="K2322" i="1"/>
  <c r="K3188" i="1"/>
  <c r="K2598" i="1"/>
  <c r="K1557" i="1"/>
  <c r="K1259" i="1"/>
  <c r="K784" i="1"/>
  <c r="K1856" i="1"/>
  <c r="K1743" i="1"/>
  <c r="K995" i="1"/>
  <c r="K1050" i="1"/>
  <c r="K999" i="1"/>
  <c r="K3727" i="1"/>
  <c r="K3393" i="1"/>
  <c r="K1854" i="1"/>
  <c r="K3602" i="1"/>
  <c r="K3011" i="1"/>
  <c r="K2909" i="1"/>
  <c r="K2929" i="1"/>
  <c r="K1169" i="1"/>
  <c r="K2096" i="1"/>
  <c r="K1629" i="1"/>
  <c r="K2242" i="1"/>
  <c r="K1258" i="1"/>
  <c r="K816" i="1"/>
  <c r="K1322" i="1"/>
  <c r="K2440" i="1"/>
  <c r="K1071" i="1"/>
  <c r="K1850" i="1"/>
  <c r="K3291" i="1"/>
  <c r="K3685" i="1"/>
  <c r="K3024" i="1"/>
  <c r="K1517" i="1"/>
  <c r="K2819" i="1"/>
  <c r="K1755" i="1"/>
  <c r="K2954" i="1"/>
  <c r="K2335" i="1"/>
  <c r="K3228" i="1"/>
  <c r="K2516" i="1"/>
  <c r="K2208" i="1"/>
  <c r="K3696" i="1"/>
  <c r="K3241" i="1"/>
  <c r="K2700" i="1"/>
  <c r="K3730" i="1"/>
  <c r="K1049" i="1"/>
  <c r="K2326" i="1"/>
  <c r="K3355" i="1"/>
  <c r="K3225" i="1"/>
  <c r="K3907" i="1"/>
  <c r="K1816" i="1"/>
  <c r="K3587" i="1"/>
  <c r="K3197" i="1"/>
  <c r="K3899" i="1"/>
  <c r="K3811" i="1"/>
  <c r="K2167" i="1"/>
  <c r="K3401" i="1"/>
  <c r="K3756" i="1"/>
  <c r="K310" i="1"/>
  <c r="K752" i="1"/>
  <c r="K3304" i="1"/>
  <c r="K2380" i="1"/>
  <c r="K3768" i="1"/>
  <c r="K576" i="1"/>
  <c r="K208" i="1"/>
  <c r="K1294" i="1"/>
  <c r="K3054" i="1"/>
  <c r="K1247" i="1"/>
  <c r="K2318" i="1"/>
  <c r="K3128" i="1"/>
  <c r="K2188" i="1"/>
  <c r="K2267" i="1"/>
  <c r="K1753" i="1"/>
  <c r="K1780" i="1"/>
  <c r="K3777" i="1"/>
  <c r="K2654" i="1"/>
  <c r="K3679" i="1"/>
  <c r="K3880" i="1"/>
  <c r="K2781" i="1"/>
  <c r="K2519" i="1"/>
  <c r="K3543" i="1"/>
  <c r="K343" i="1"/>
  <c r="K939" i="1"/>
  <c r="K969" i="1"/>
  <c r="K677" i="1"/>
  <c r="K332" i="1"/>
  <c r="K2031" i="1"/>
  <c r="K1714" i="1"/>
  <c r="K689" i="1"/>
  <c r="K2752" i="1"/>
  <c r="K1333" i="1"/>
  <c r="K1092" i="1"/>
  <c r="K2334" i="1"/>
  <c r="K2881" i="1"/>
  <c r="K1837" i="1"/>
  <c r="K1118" i="1"/>
  <c r="K1416" i="1"/>
  <c r="K3875" i="1"/>
  <c r="K3503" i="1"/>
  <c r="K1343" i="1"/>
  <c r="K3205" i="1"/>
  <c r="K3724" i="1"/>
  <c r="K2836" i="1"/>
  <c r="K2740" i="1"/>
  <c r="K1444" i="1"/>
  <c r="K577" i="1"/>
  <c r="K2217" i="1"/>
  <c r="K2692" i="1"/>
  <c r="K2785" i="1"/>
  <c r="K1168" i="1"/>
  <c r="K1010" i="1"/>
  <c r="K2294" i="1"/>
  <c r="K103" i="1"/>
  <c r="K2153" i="1"/>
  <c r="K2382" i="1"/>
  <c r="K2977" i="1"/>
  <c r="K3234" i="1"/>
  <c r="K3796" i="1"/>
  <c r="K2131" i="1"/>
  <c r="K2029" i="1"/>
  <c r="K2925" i="1"/>
  <c r="K2203" i="1"/>
  <c r="K553" i="1"/>
  <c r="K2323" i="1"/>
  <c r="K2970" i="1"/>
  <c r="K1608" i="1"/>
  <c r="K979" i="1"/>
  <c r="K2320" i="1"/>
  <c r="K3360" i="1"/>
  <c r="K3549" i="1"/>
  <c r="K3287" i="1"/>
  <c r="K2617" i="1"/>
  <c r="K1833" i="1"/>
  <c r="K2438" i="1"/>
  <c r="K757" i="1"/>
  <c r="K3310" i="1"/>
  <c r="K3126" i="1"/>
  <c r="K2113" i="1"/>
  <c r="K3439" i="1"/>
  <c r="K1864" i="1"/>
  <c r="K3203" i="1"/>
  <c r="K3306" i="1"/>
  <c r="K1795" i="1"/>
  <c r="K2161" i="1"/>
  <c r="K1738" i="1"/>
  <c r="K3523" i="1"/>
  <c r="K678" i="1"/>
  <c r="K2251" i="1"/>
  <c r="K3752" i="1"/>
  <c r="K2830" i="1"/>
  <c r="K2728" i="1"/>
  <c r="K3459" i="1"/>
  <c r="K1758" i="1"/>
  <c r="K191" i="1"/>
  <c r="K3479" i="1"/>
  <c r="K2771" i="1"/>
  <c r="K1987" i="1"/>
  <c r="K3597" i="1"/>
  <c r="K3707" i="1"/>
  <c r="K3301" i="1"/>
  <c r="K2955" i="1"/>
  <c r="K3033" i="1"/>
  <c r="K287" i="1"/>
  <c r="K1291" i="1"/>
  <c r="K3414" i="1"/>
  <c r="K3820" i="1"/>
  <c r="K2531" i="1"/>
  <c r="K1874" i="1"/>
  <c r="K3600" i="1"/>
  <c r="K2391" i="1"/>
  <c r="K3801" i="1"/>
  <c r="K861" i="1"/>
  <c r="K1788" i="1"/>
  <c r="K2827" i="1"/>
  <c r="K1697" i="1"/>
  <c r="K2238" i="1"/>
  <c r="K3522" i="1"/>
  <c r="K2657" i="1"/>
  <c r="K3651" i="1"/>
  <c r="K3699" i="1"/>
  <c r="K2885" i="1"/>
  <c r="K3627" i="1"/>
  <c r="K3537" i="1"/>
  <c r="K3797" i="1"/>
  <c r="K2689" i="1"/>
  <c r="K559" i="1"/>
  <c r="K3866" i="1"/>
  <c r="K3405" i="1"/>
  <c r="K1159" i="1"/>
  <c r="K2883" i="1"/>
  <c r="K3077" i="1"/>
  <c r="K471" i="1"/>
  <c r="K328" i="1"/>
  <c r="K3832" i="1"/>
  <c r="K1493" i="1"/>
  <c r="K1330" i="1"/>
  <c r="K2490" i="1"/>
  <c r="K1230" i="1"/>
  <c r="K3451" i="1"/>
  <c r="K498" i="1"/>
  <c r="K444" i="1"/>
  <c r="K1006" i="1"/>
  <c r="K3772" i="1"/>
  <c r="K1100" i="1"/>
  <c r="K1949" i="1"/>
  <c r="K2607" i="1"/>
  <c r="K3112" i="1"/>
  <c r="K3344" i="1"/>
  <c r="K1146" i="1"/>
  <c r="K2713" i="1"/>
  <c r="K3326" i="1"/>
  <c r="K2726" i="1"/>
  <c r="K1499" i="1"/>
  <c r="K3421" i="1"/>
  <c r="K2673" i="1"/>
  <c r="K2012" i="1"/>
  <c r="K2492" i="1"/>
  <c r="K3869" i="1"/>
  <c r="K3806" i="1"/>
  <c r="K2442" i="1"/>
  <c r="K2123" i="1"/>
  <c r="K3387" i="1"/>
  <c r="K1736" i="1"/>
  <c r="K3573" i="1"/>
  <c r="K3569" i="1"/>
  <c r="K3823" i="1"/>
  <c r="K1651" i="1"/>
  <c r="K2417" i="1"/>
  <c r="K2575" i="1"/>
  <c r="K3141" i="1"/>
  <c r="K3637" i="1"/>
  <c r="K3824" i="1"/>
  <c r="K3705" i="1"/>
  <c r="K3467" i="1"/>
  <c r="K3468" i="1"/>
  <c r="K3581" i="1"/>
  <c r="K3936" i="1"/>
  <c r="K3881" i="1"/>
  <c r="K3828" i="1"/>
  <c r="K3375" i="1"/>
  <c r="K3636" i="1"/>
  <c r="K501" i="1"/>
  <c r="K3167" i="1"/>
  <c r="K3836" i="1"/>
  <c r="K2366" i="1"/>
  <c r="K3423" i="1"/>
  <c r="K3555" i="1"/>
  <c r="K3130" i="1"/>
  <c r="K1930" i="1"/>
  <c r="K2413" i="1"/>
  <c r="K418" i="1"/>
  <c r="K3082" i="1"/>
  <c r="K3060" i="1"/>
  <c r="K2386" i="1"/>
  <c r="K2229" i="1"/>
  <c r="K2725" i="1"/>
  <c r="K3500" i="1"/>
  <c r="K2009" i="1"/>
  <c r="K1212" i="1"/>
  <c r="K2704" i="1"/>
  <c r="K2655" i="1"/>
  <c r="K3274" i="1"/>
  <c r="K3698" i="1"/>
  <c r="K3396" i="1"/>
  <c r="K3620" i="1"/>
  <c r="K2978" i="1"/>
  <c r="K3518" i="1"/>
  <c r="K3644" i="1"/>
  <c r="K1662" i="1"/>
  <c r="K3865" i="1"/>
  <c r="K3711" i="1"/>
  <c r="K2524" i="1"/>
  <c r="K3039" i="1"/>
  <c r="K3390" i="1"/>
  <c r="K3671" i="1"/>
  <c r="K1462" i="1"/>
  <c r="K3887" i="1"/>
  <c r="K1711" i="1"/>
  <c r="K3086" i="1"/>
  <c r="K268" i="1"/>
  <c r="K1035" i="1"/>
  <c r="K3548" i="1"/>
  <c r="K2132" i="1"/>
  <c r="K369" i="1"/>
  <c r="K845" i="1"/>
  <c r="K2369" i="1"/>
  <c r="K2098" i="1"/>
  <c r="K3463" i="1"/>
  <c r="K1410" i="1"/>
  <c r="K709" i="1"/>
  <c r="K3131" i="1"/>
  <c r="K1003" i="1"/>
  <c r="K2694" i="1"/>
  <c r="K1942" i="1"/>
  <c r="K2277" i="1"/>
  <c r="K327" i="1"/>
  <c r="K977" i="1"/>
  <c r="K3226" i="1"/>
  <c r="K3061" i="1"/>
  <c r="K1350" i="1"/>
  <c r="K2646" i="1"/>
  <c r="K3437" i="1"/>
  <c r="K2889" i="1"/>
  <c r="K2736" i="1"/>
  <c r="K2938" i="1"/>
  <c r="K2921" i="1"/>
  <c r="K1378" i="1"/>
  <c r="K2316" i="1"/>
  <c r="K2953" i="1"/>
  <c r="K3137" i="1"/>
  <c r="K3150" i="1"/>
  <c r="K3613" i="1"/>
  <c r="K3333" i="1"/>
  <c r="K3624" i="1"/>
  <c r="K2764" i="1"/>
  <c r="K3256" i="1"/>
  <c r="K2996" i="1"/>
  <c r="K3925" i="1"/>
  <c r="K2988" i="1"/>
  <c r="K3593" i="1"/>
  <c r="K3379" i="1"/>
  <c r="K3342" i="1"/>
  <c r="K3415" i="1"/>
  <c r="K2135" i="1"/>
  <c r="K2286" i="1"/>
  <c r="K3912" i="1"/>
  <c r="K3425" i="1"/>
  <c r="K3556" i="1"/>
  <c r="K3180" i="1"/>
  <c r="K3738" i="1"/>
  <c r="K2154" i="1"/>
  <c r="K3302" i="1"/>
  <c r="K2301" i="1"/>
  <c r="K3742" i="1"/>
  <c r="K3175" i="1"/>
  <c r="K1141" i="1"/>
  <c r="K3013" i="1"/>
  <c r="K2300" i="1"/>
  <c r="K877" i="1"/>
  <c r="K1858" i="1"/>
  <c r="K2940" i="1"/>
  <c r="K3055" i="1"/>
  <c r="K3783" i="1"/>
  <c r="K862" i="1"/>
  <c r="K2136" i="1"/>
  <c r="K1324" i="1"/>
  <c r="K1748" i="1"/>
  <c r="K2746" i="1"/>
  <c r="K1973" i="1"/>
  <c r="K1472" i="1"/>
  <c r="K3674" i="1"/>
  <c r="K2526" i="1"/>
  <c r="K2635" i="1"/>
  <c r="K3293" i="1"/>
  <c r="K3353" i="1"/>
  <c r="K2905" i="1"/>
  <c r="K1867" i="1"/>
  <c r="K3680" i="1"/>
  <c r="K3807" i="1"/>
  <c r="K3230" i="1"/>
  <c r="K3244" i="1"/>
  <c r="K3888" i="1"/>
  <c r="K3817" i="1"/>
  <c r="K2997" i="1"/>
  <c r="K3790" i="1"/>
  <c r="K3129" i="1"/>
  <c r="K2930" i="1"/>
  <c r="K2897" i="1"/>
  <c r="K3763" i="1"/>
  <c r="K1979" i="1"/>
  <c r="K2036" i="1"/>
  <c r="K2083" i="1"/>
  <c r="K3095" i="1"/>
  <c r="K2663" i="1"/>
  <c r="K1549" i="1"/>
  <c r="K948" i="1"/>
  <c r="K3713" i="1"/>
  <c r="K591" i="1"/>
  <c r="K3582" i="1"/>
  <c r="K1296" i="1"/>
  <c r="K2506" i="1"/>
  <c r="K1440" i="1"/>
  <c r="K1774" i="1"/>
  <c r="K1916" i="1"/>
  <c r="K1540" i="1"/>
  <c r="K2466" i="1"/>
  <c r="K3297" i="1"/>
  <c r="K1083" i="1"/>
  <c r="K2928" i="1"/>
  <c r="K3706" i="1"/>
  <c r="K2284" i="1"/>
  <c r="K1841" i="1"/>
  <c r="K233" i="1"/>
  <c r="K2478" i="1"/>
  <c r="K2627" i="1"/>
  <c r="K1652" i="1"/>
  <c r="K2370" i="1"/>
  <c r="K3385" i="1"/>
  <c r="K1956" i="1"/>
  <c r="K3340" i="1"/>
  <c r="K3565" i="1"/>
  <c r="K2828" i="1"/>
  <c r="K3440" i="1"/>
  <c r="K3889" i="1"/>
  <c r="K1457" i="1"/>
  <c r="K3781" i="1"/>
  <c r="K3908" i="1"/>
  <c r="K2230" i="1"/>
  <c r="K3930" i="1"/>
  <c r="K2701" i="1"/>
  <c r="K3541" i="1"/>
  <c r="K3831" i="1"/>
  <c r="K1913" i="1"/>
  <c r="K3864" i="1"/>
  <c r="K3926" i="1"/>
  <c r="K3934" i="1"/>
  <c r="K2280" i="1"/>
  <c r="K2354" i="1"/>
  <c r="K1836" i="1"/>
  <c r="K3937" i="1"/>
  <c r="K3420" i="1"/>
  <c r="K3246" i="1"/>
  <c r="K2304" i="1"/>
  <c r="K3147" i="1"/>
  <c r="K1178" i="1"/>
  <c r="K3149" i="1"/>
  <c r="K2162" i="1"/>
  <c r="K2548" i="1"/>
  <c r="K3626" i="1"/>
  <c r="K3873" i="1"/>
  <c r="K2542" i="1"/>
  <c r="K2210" i="1"/>
  <c r="K2133" i="1"/>
  <c r="K3065" i="1"/>
  <c r="K3478" i="1"/>
  <c r="K3848" i="1"/>
  <c r="K2583" i="1"/>
  <c r="K725" i="1"/>
  <c r="K2662" i="1"/>
  <c r="K3903" i="1"/>
  <c r="K3902" i="1"/>
  <c r="K2962" i="1"/>
  <c r="K3206" i="1"/>
  <c r="K3336" i="1"/>
  <c r="K3352" i="1"/>
  <c r="K3416" i="1"/>
  <c r="K3642" i="1"/>
  <c r="K2790" i="1"/>
  <c r="K1519" i="1"/>
  <c r="K3172" i="1"/>
  <c r="K3852" i="1"/>
  <c r="K2385" i="1"/>
  <c r="K3528" i="1"/>
  <c r="K3779" i="1"/>
  <c r="K3586" i="1"/>
  <c r="K2666" i="1"/>
  <c r="K3867" i="1"/>
  <c r="K3803" i="1"/>
  <c r="K3849" i="1"/>
  <c r="K3056" i="1"/>
  <c r="K3178" i="1"/>
  <c r="K3365" i="1"/>
  <c r="K3929" i="1"/>
  <c r="K3748" i="1"/>
  <c r="K2324" i="1"/>
  <c r="K346" i="1"/>
  <c r="K2093" i="1"/>
  <c r="K2636" i="1"/>
  <c r="K2222" i="1"/>
  <c r="K3844" i="1"/>
  <c r="K3411" i="1"/>
  <c r="K3539" i="1"/>
  <c r="K3265" i="1"/>
  <c r="K3906" i="1"/>
  <c r="K3897" i="1"/>
  <c r="K3249" i="1"/>
  <c r="K961" i="1"/>
  <c r="K303" i="1"/>
  <c r="K912" i="1"/>
  <c r="K837" i="1"/>
  <c r="K1383" i="1"/>
  <c r="K3773" i="1"/>
  <c r="K2875" i="1"/>
  <c r="K3499" i="1"/>
  <c r="K3810" i="1"/>
  <c r="K3510" i="1"/>
  <c r="K1953" i="1"/>
  <c r="K2642" i="1"/>
  <c r="K3749" i="1"/>
  <c r="K3469" i="1"/>
  <c r="K3588" i="1"/>
  <c r="K3769" i="1"/>
  <c r="K3917" i="1"/>
  <c r="K3876" i="1"/>
  <c r="K1580" i="1"/>
  <c r="K1872" i="1"/>
  <c r="K3924" i="1"/>
  <c r="K3905" i="1"/>
  <c r="K3898" i="1"/>
  <c r="K2949" i="1"/>
  <c r="K2587" i="1"/>
  <c r="K490" i="1"/>
  <c r="K1005" i="1"/>
  <c r="K1892" i="1"/>
  <c r="K1475" i="1"/>
  <c r="K1713" i="1"/>
  <c r="K1674" i="1"/>
  <c r="K2434" i="1"/>
  <c r="K3316" i="1"/>
  <c r="K3144" i="1"/>
  <c r="K3296" i="1"/>
  <c r="K2321" i="1"/>
  <c r="K1555" i="1"/>
  <c r="K2514" i="1"/>
  <c r="K1314" i="1"/>
  <c r="K2672" i="1"/>
  <c r="K2676" i="1"/>
  <c r="K2561" i="1"/>
  <c r="K1033" i="1"/>
  <c r="K2074" i="1"/>
  <c r="K2639" i="1"/>
  <c r="K3612" i="1"/>
  <c r="K3366" i="1"/>
  <c r="K2856" i="1"/>
  <c r="K3570" i="1"/>
  <c r="K2737" i="1"/>
  <c r="K3181" i="1"/>
  <c r="K1785" i="1"/>
  <c r="K3123" i="1"/>
  <c r="K3386" i="1"/>
  <c r="K3368" i="1"/>
  <c r="K3511" i="1"/>
  <c r="K3760" i="1"/>
  <c r="K246" i="1"/>
  <c r="K2870" i="1"/>
  <c r="K3295" i="1"/>
  <c r="K2812" i="1"/>
  <c r="K3538" i="1"/>
  <c r="K3879" i="1"/>
  <c r="K3921" i="1"/>
  <c r="K3746" i="1"/>
  <c r="K3743" i="1"/>
  <c r="K3666" i="1"/>
  <c r="K3647" i="1"/>
  <c r="K3835" i="1"/>
  <c r="K3122" i="1"/>
  <c r="K3002" i="1"/>
  <c r="K3786" i="1"/>
  <c r="K3891" i="1"/>
  <c r="K3622" i="1"/>
  <c r="K3484" i="1"/>
  <c r="K3778" i="1"/>
  <c r="K2400" i="1"/>
  <c r="K3044" i="1"/>
  <c r="K944" i="1"/>
  <c r="K3939" i="1"/>
  <c r="K3275" i="1"/>
  <c r="K3474" i="1"/>
  <c r="K3689" i="1"/>
  <c r="K3583" i="1"/>
  <c r="K1031" i="1"/>
  <c r="K1359" i="1"/>
  <c r="K2458" i="1"/>
  <c r="K3851" i="1"/>
  <c r="K3919" i="1"/>
  <c r="K3171" i="1"/>
  <c r="K3855" i="1"/>
  <c r="K2299" i="1"/>
  <c r="K827" i="1"/>
  <c r="K3774" i="1"/>
  <c r="K1389" i="1"/>
  <c r="K560" i="1"/>
  <c r="K3735" i="1"/>
  <c r="K3737" i="1"/>
  <c r="K3677" i="1"/>
  <c r="K2619" i="1"/>
  <c r="K3829" i="1"/>
  <c r="K736" i="1"/>
  <c r="K3792" i="1"/>
  <c r="K3308" i="1"/>
  <c r="K3312" i="1"/>
  <c r="K976" i="1"/>
  <c r="K2403" i="1"/>
  <c r="K2844" i="1"/>
  <c r="K3837" i="1"/>
  <c r="K3399" i="1"/>
  <c r="K2946" i="1"/>
  <c r="K3787" i="1"/>
  <c r="K935" i="1"/>
  <c r="K1193" i="1"/>
  <c r="K1506" i="1"/>
  <c r="K2981" i="1"/>
  <c r="K3155" i="1"/>
  <c r="K1436" i="1"/>
  <c r="K3512" i="1"/>
  <c r="K2835" i="1"/>
  <c r="K3916" i="1"/>
  <c r="K3124" i="1"/>
  <c r="K3021" i="1"/>
  <c r="K3900" i="1"/>
  <c r="K2712" i="1"/>
  <c r="K3502" i="1"/>
  <c r="K3280" i="1"/>
  <c r="K2044" i="1"/>
  <c r="K3517" i="1"/>
  <c r="K2497" i="1"/>
  <c r="K3766" i="1"/>
  <c r="K3174" i="1"/>
  <c r="K3559" i="1"/>
  <c r="K3485" i="1"/>
  <c r="K3605" i="1"/>
  <c r="K3871" i="1"/>
  <c r="K3314" i="1"/>
  <c r="K3005" i="1"/>
  <c r="K3551" i="1"/>
  <c r="K3121" i="1"/>
  <c r="K3289" i="1"/>
  <c r="K2556" i="1"/>
  <c r="K3684" i="1"/>
  <c r="K3733" i="1"/>
  <c r="K3839" i="1"/>
  <c r="K3490" i="1"/>
  <c r="K3532" i="1"/>
  <c r="K3845" i="1"/>
  <c r="K743" i="1"/>
  <c r="K3299" i="1"/>
  <c r="K167" i="1"/>
  <c r="K3028" i="1"/>
  <c r="K3506" i="1"/>
  <c r="K3496" i="1"/>
  <c r="K2965" i="1"/>
  <c r="K3407" i="1"/>
  <c r="K3764" i="1"/>
  <c r="K970" i="1"/>
  <c r="K2864" i="1"/>
  <c r="K3913" i="1"/>
  <c r="K3001" i="1"/>
  <c r="K2934" i="1"/>
  <c r="K3153" i="1"/>
  <c r="K1167" i="1"/>
  <c r="K2605" i="1"/>
  <c r="K884" i="1"/>
  <c r="K3672" i="1"/>
  <c r="K3276" i="1"/>
  <c r="K3370" i="1"/>
  <c r="K3419" i="1"/>
  <c r="K3617" i="1"/>
  <c r="K3909" i="1"/>
  <c r="K3878" i="1"/>
  <c r="K3858" i="1"/>
  <c r="K3885" i="1"/>
  <c r="K1292" i="1"/>
  <c r="K2715" i="1"/>
  <c r="K2078" i="1"/>
  <c r="K1502" i="1"/>
  <c r="K2433" i="1"/>
  <c r="K2053" i="1"/>
  <c r="K3372" i="1"/>
  <c r="K3641" i="1"/>
  <c r="K3422" i="1"/>
  <c r="K3646" i="1"/>
  <c r="K3272" i="1"/>
  <c r="K2551" i="1"/>
  <c r="K3553" i="1"/>
  <c r="K3675" i="1"/>
  <c r="K3877" i="1"/>
  <c r="K3896" i="1"/>
  <c r="K2237" i="1"/>
  <c r="K2871" i="1"/>
  <c r="K2832" i="1"/>
  <c r="K2352" i="1"/>
  <c r="K1865" i="1"/>
  <c r="K2533" i="1"/>
  <c r="K2164" i="1"/>
  <c r="K3552" i="1"/>
  <c r="K1111" i="1"/>
  <c r="K3933" i="1"/>
  <c r="K3213" i="1"/>
  <c r="K3116" i="1"/>
  <c r="K3562" i="1"/>
  <c r="K1878" i="1"/>
  <c r="K2747" i="1"/>
  <c r="K3804" i="1"/>
  <c r="K3703" i="1"/>
  <c r="K3659" i="1"/>
  <c r="K3771" i="1"/>
  <c r="K3853" i="1"/>
  <c r="K3940" i="1"/>
  <c r="K1206" i="1"/>
  <c r="K1731" i="1"/>
  <c r="K2902" i="1"/>
  <c r="K2356" i="1"/>
  <c r="K2536" i="1"/>
  <c r="K3483" i="1"/>
  <c r="K3599" i="1"/>
  <c r="K2789" i="1"/>
  <c r="K3729" i="1"/>
  <c r="K1456" i="1"/>
  <c r="K3874" i="1"/>
  <c r="K3568" i="1"/>
  <c r="K2880" i="1"/>
  <c r="K1342" i="1"/>
  <c r="K3660" i="1"/>
  <c r="K3501" i="1"/>
  <c r="K3392" i="1"/>
  <c r="K2932" i="1"/>
  <c r="K3833" i="1"/>
  <c r="K2798" i="1"/>
  <c r="K3053" i="1"/>
  <c r="K3091" i="1"/>
  <c r="K3856" i="1"/>
  <c r="K3578" i="1"/>
  <c r="K3332" i="1"/>
  <c r="K2243" i="1"/>
  <c r="K3563" i="1"/>
  <c r="K3465" i="1"/>
  <c r="K3509" i="1"/>
  <c r="K1726" i="1"/>
  <c r="K3838" i="1"/>
  <c r="K3577" i="1"/>
  <c r="K2991" i="1"/>
  <c r="K3854" i="1"/>
  <c r="K2695" i="1"/>
  <c r="K2066" i="1"/>
  <c r="K3210" i="1"/>
  <c r="K3113" i="1"/>
  <c r="K2454" i="1"/>
  <c r="K2494" i="1"/>
  <c r="K2389" i="1"/>
  <c r="K2425" i="1"/>
  <c r="K2023" i="1"/>
  <c r="K299" i="1"/>
  <c r="K3087" i="1"/>
  <c r="K2395" i="1"/>
  <c r="K2407" i="1"/>
  <c r="K2046" i="1"/>
  <c r="K3345" i="1"/>
  <c r="K1552" i="1"/>
  <c r="K3918" i="1"/>
  <c r="K2814" i="1"/>
  <c r="K2891" i="1"/>
  <c r="K2025" i="1"/>
  <c r="K3391" i="1"/>
  <c r="K3023" i="1"/>
  <c r="K2884" i="1"/>
  <c r="K3870" i="1"/>
  <c r="K3576" i="1"/>
  <c r="K3497" i="1"/>
  <c r="K3378" i="1"/>
  <c r="K2923" i="1"/>
  <c r="K2777" i="1"/>
  <c r="K2424" i="1"/>
  <c r="K2211" i="1"/>
  <c r="K1792" i="1"/>
  <c r="K1732" i="1"/>
  <c r="K1421" i="1"/>
  <c r="K1334" i="1"/>
  <c r="K365" i="1"/>
  <c r="K1643" i="1"/>
  <c r="K1156" i="1"/>
  <c r="K3098" i="1"/>
  <c r="K2429" i="1"/>
  <c r="K1329" i="1"/>
  <c r="K1335" i="1"/>
  <c r="K2192" i="1"/>
  <c r="K1479" i="1"/>
  <c r="K955" i="1"/>
  <c r="K2878" i="1"/>
  <c r="K1900" i="1"/>
  <c r="K3649" i="1"/>
  <c r="K3716" i="1"/>
  <c r="K3186" i="1"/>
  <c r="K2851" i="1"/>
  <c r="K2589" i="1"/>
  <c r="K2423" i="1"/>
  <c r="K2515" i="1"/>
  <c r="K2079" i="1"/>
  <c r="K1915" i="1"/>
  <c r="K1621" i="1"/>
  <c r="K1544" i="1"/>
  <c r="K1494" i="1"/>
  <c r="K1348" i="1"/>
  <c r="K1140" i="1"/>
  <c r="K918" i="1"/>
  <c r="K708" i="1"/>
  <c r="K2473" i="1"/>
  <c r="K1261" i="1"/>
  <c r="K2784" i="1"/>
  <c r="K1361" i="1"/>
  <c r="K3152" i="1"/>
  <c r="K2741" i="1"/>
  <c r="K1691" i="1"/>
  <c r="K947" i="1"/>
  <c r="K1927" i="1"/>
  <c r="K3591" i="1"/>
  <c r="K605" i="1"/>
  <c r="K3676" i="1"/>
  <c r="K3235" i="1"/>
  <c r="K2848" i="1"/>
  <c r="K3009" i="1"/>
  <c r="K2661" i="1"/>
  <c r="K2396" i="1"/>
  <c r="K2289" i="1"/>
  <c r="K2048" i="1"/>
  <c r="K2282" i="1"/>
  <c r="K2119" i="1"/>
  <c r="K1954" i="1"/>
  <c r="K1906" i="1"/>
  <c r="K1579" i="1"/>
  <c r="K1487" i="1"/>
  <c r="K1390" i="1"/>
  <c r="K1412" i="1"/>
  <c r="K1205" i="1"/>
  <c r="K1129" i="1"/>
  <c r="K882" i="1"/>
  <c r="K652" i="1"/>
  <c r="K441" i="1"/>
  <c r="K2065" i="1"/>
  <c r="K1209" i="1"/>
  <c r="K3488" i="1"/>
  <c r="K1067" i="1"/>
  <c r="K3277" i="1"/>
  <c r="K2571" i="1"/>
  <c r="K1573" i="1"/>
  <c r="K1554" i="1"/>
  <c r="K1451" i="1"/>
  <c r="K951" i="1"/>
  <c r="K2729" i="1"/>
  <c r="K2638" i="1"/>
  <c r="K2410" i="1"/>
  <c r="K1139" i="1"/>
  <c r="K988" i="1"/>
  <c r="K1374" i="1"/>
  <c r="K2774" i="1"/>
  <c r="K2378" i="1"/>
  <c r="K1615" i="1"/>
  <c r="K1496" i="1"/>
  <c r="K980" i="1"/>
  <c r="K777" i="1"/>
  <c r="K1174" i="1"/>
  <c r="K3579" i="1"/>
  <c r="K2807" i="1"/>
  <c r="K2500" i="1"/>
  <c r="K2138" i="1"/>
  <c r="K1943" i="1"/>
  <c r="K1727" i="1"/>
  <c r="K1577" i="1"/>
  <c r="K1653" i="1"/>
  <c r="K1449" i="1"/>
  <c r="K1665" i="1"/>
  <c r="K1239" i="1"/>
  <c r="K932" i="1"/>
  <c r="K671" i="1"/>
  <c r="K3089" i="1"/>
  <c r="K3389" i="1"/>
  <c r="K3740" i="1"/>
  <c r="K2630" i="1"/>
  <c r="K2058" i="1"/>
  <c r="K1511" i="1"/>
  <c r="K1250" i="1"/>
  <c r="K938" i="1"/>
  <c r="K2854" i="1"/>
  <c r="K1542" i="1"/>
  <c r="K2868" i="1"/>
  <c r="K2072" i="1"/>
  <c r="K2683" i="1"/>
  <c r="K1972" i="1"/>
  <c r="K1632" i="1"/>
  <c r="K1081" i="1"/>
  <c r="K1693" i="1"/>
  <c r="K655" i="1"/>
  <c r="K711" i="1"/>
  <c r="K1817" i="1"/>
  <c r="K925" i="1"/>
  <c r="K2" i="1"/>
</calcChain>
</file>

<file path=xl/sharedStrings.xml><?xml version="1.0" encoding="utf-8"?>
<sst xmlns="http://schemas.openxmlformats.org/spreadsheetml/2006/main" count="19736" uniqueCount="6519">
  <si>
    <t>director_name</t>
  </si>
  <si>
    <t>duration</t>
  </si>
  <si>
    <t>gross</t>
  </si>
  <si>
    <t>movie_title</t>
  </si>
  <si>
    <t>language</t>
  </si>
  <si>
    <t>country</t>
  </si>
  <si>
    <t>budget</t>
  </si>
  <si>
    <t>imdb_score</t>
  </si>
  <si>
    <t>James Cameron</t>
  </si>
  <si>
    <t>AvatarÂ </t>
  </si>
  <si>
    <t>English</t>
  </si>
  <si>
    <t>USA</t>
  </si>
  <si>
    <t>Gore Verbinski</t>
  </si>
  <si>
    <t>Pirates of the Caribbean: At World's EndÂ </t>
  </si>
  <si>
    <t>Sam Mendes</t>
  </si>
  <si>
    <t>SpectreÂ </t>
  </si>
  <si>
    <t>UK</t>
  </si>
  <si>
    <t>Christopher Nolan</t>
  </si>
  <si>
    <t>The Dark Knight RisesÂ </t>
  </si>
  <si>
    <t>Andrew Stanton</t>
  </si>
  <si>
    <t>John CarterÂ </t>
  </si>
  <si>
    <t>Sam Raimi</t>
  </si>
  <si>
    <t>Spider-Man 3Â </t>
  </si>
  <si>
    <t>Nathan Greno</t>
  </si>
  <si>
    <t>TangledÂ </t>
  </si>
  <si>
    <t>Joss Whedon</t>
  </si>
  <si>
    <t>Avengers: Age of UltronÂ </t>
  </si>
  <si>
    <t>David Yates</t>
  </si>
  <si>
    <t>Harry Potter and the Half-Blood PrinceÂ </t>
  </si>
  <si>
    <t>Zack Snyder</t>
  </si>
  <si>
    <t>Batman v Superman: Dawn of JusticeÂ </t>
  </si>
  <si>
    <t>Bryan Singer</t>
  </si>
  <si>
    <t>Superman ReturnsÂ </t>
  </si>
  <si>
    <t>Marc Forster</t>
  </si>
  <si>
    <t>Quantum of SolaceÂ </t>
  </si>
  <si>
    <t>Pirates of the Caribbean: Dead Man's ChestÂ </t>
  </si>
  <si>
    <t>The Lone RangerÂ </t>
  </si>
  <si>
    <t>Man of SteelÂ </t>
  </si>
  <si>
    <t>Andrew Adamson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</si>
  <si>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</si>
  <si>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</si>
  <si>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</si>
  <si>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</si>
  <si>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</si>
  <si>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Men in Black 3Â </t>
  </si>
  <si>
    <t>Peter Jackson</t>
  </si>
  <si>
    <t>The Hobbit: The Battle of the Five ArmiesÂ </t>
  </si>
  <si>
    <t>New Zealand</t>
  </si>
  <si>
    <t>Marc Webb</t>
  </si>
  <si>
    <t>The Amazing Spider-ManÂ </t>
  </si>
  <si>
    <t>Ridley Scott</t>
  </si>
  <si>
    <t>Robin HoodÂ </t>
  </si>
  <si>
    <t>The Hobbit: The Desolation of SmaugÂ </t>
  </si>
  <si>
    <t>Chris Weitz</t>
  </si>
  <si>
    <t>The Golden CompassÂ </t>
  </si>
  <si>
    <t>King KongÂ </t>
  </si>
  <si>
    <t>TitanicÂ </t>
  </si>
  <si>
    <t>Anthony Russo</t>
  </si>
  <si>
    <t>Captain America: Civil WarÂ </t>
  </si>
  <si>
    <t>Peter Berg</t>
  </si>
  <si>
    <t>BattleshipÂ </t>
  </si>
  <si>
    <t>Colin Trevorrow</t>
  </si>
  <si>
    <t>Jurassic WorldÂ </t>
  </si>
  <si>
    <t>SkyfallÂ </t>
  </si>
  <si>
    <t>Spider-Man 2Â </t>
  </si>
  <si>
    <t>Shane Black</t>
  </si>
  <si>
    <t>Iron Man 3Â </t>
  </si>
  <si>
    <t>Tim Burton</t>
  </si>
  <si>
    <t>Alice in WonderlandÂ </t>
  </si>
  <si>
    <t>Brett Ratner</t>
  </si>
  <si>
    <t>X-Men: The Last StandÂ </t>
  </si>
  <si>
    <t>Canada</t>
  </si>
  <si>
    <t>Dan Scanlon</t>
  </si>
  <si>
    <t>Monsters UniversityÂ </t>
  </si>
  <si>
    <t>Michael Bay</t>
  </si>
  <si>
    <t>Transformers: Revenge of the FallenÂ </t>
  </si>
  <si>
    <t>Transformers: Age of ExtinctionÂ </t>
  </si>
  <si>
    <t>Oz the Great and PowerfulÂ </t>
  </si>
  <si>
    <t>The Amazing Spider-Man 2Â </t>
  </si>
  <si>
    <t>Joseph Kosinski</t>
  </si>
  <si>
    <t>TRON: LegacyÂ </t>
  </si>
  <si>
    <t>John Lasseter</t>
  </si>
  <si>
    <t>Cars 2Â </t>
  </si>
  <si>
    <t>Martin Campbell</t>
  </si>
  <si>
    <t>Green LanternÂ </t>
  </si>
  <si>
    <t>Lee Unkrich</t>
  </si>
  <si>
    <t>Toy Story 3Â </t>
  </si>
  <si>
    <t>McG</t>
  </si>
  <si>
    <t>Terminator SalvationÂ </t>
  </si>
  <si>
    <t>James Wan</t>
  </si>
  <si>
    <t>Furious 7Â </t>
  </si>
  <si>
    <t>World War ZÂ </t>
  </si>
  <si>
    <t>X-Men: Days of Future PastÂ </t>
  </si>
  <si>
    <t>J.J. Abrams</t>
  </si>
  <si>
    <t>Star Trek Into DarknessÂ </t>
  </si>
  <si>
    <t>Jack the Giant SlayerÂ </t>
  </si>
  <si>
    <t>Baz Luhrmann</t>
  </si>
  <si>
    <t>The Great GatsbyÂ </t>
  </si>
  <si>
    <t>Australia</t>
  </si>
  <si>
    <t>Mike Newell</t>
  </si>
  <si>
    <t>Prince of Persia: The Sands of TimeÂ </t>
  </si>
  <si>
    <t>Guillermo del Toro</t>
  </si>
  <si>
    <t>Pacific RimÂ </t>
  </si>
  <si>
    <t>Transformers: Dark of the MoonÂ </t>
  </si>
  <si>
    <t>Steven Spielberg</t>
  </si>
  <si>
    <t>Indiana Jones and the Kingdom of the Crystal SkullÂ </t>
  </si>
  <si>
    <t>Mark Andrews</t>
  </si>
  <si>
    <t>BraveÂ </t>
  </si>
  <si>
    <t>Justin Lin</t>
  </si>
  <si>
    <t>Star Trek BeyondÂ </t>
  </si>
  <si>
    <t>WALLÂ·EÂ </t>
  </si>
  <si>
    <t>Rush Hour 3Â </t>
  </si>
  <si>
    <t>Roland Emmerich</t>
  </si>
  <si>
    <t>2012Â </t>
  </si>
  <si>
    <t>Robert Zemeckis</t>
  </si>
  <si>
    <t>A Christmas CarolÂ </t>
  </si>
  <si>
    <t>Lana Wachowski</t>
  </si>
  <si>
    <t>Jupiter AscendingÂ </t>
  </si>
  <si>
    <t>The Legend of TarzanÂ </t>
  </si>
  <si>
    <t>The Chronicles of Narnia: The Lion, the Witch and the WardrobeÂ </t>
  </si>
  <si>
    <t>X-Men: ApocalypseÂ </t>
  </si>
  <si>
    <t>The Dark KnightÂ </t>
  </si>
  <si>
    <t>Pete Docter</t>
  </si>
  <si>
    <t>UpÂ </t>
  </si>
  <si>
    <t>Rob Letterman</t>
  </si>
  <si>
    <t>Monsters vs. AliensÂ </t>
  </si>
  <si>
    <t>Jon Favreau</t>
  </si>
  <si>
    <t>Iron ManÂ </t>
  </si>
  <si>
    <t>Martin Scorsese</t>
  </si>
  <si>
    <t>HugoÂ </t>
  </si>
  <si>
    <t>Wild Wild WestÂ </t>
  </si>
  <si>
    <t>Rob Cohen</t>
  </si>
  <si>
    <t>The Mummy: Tomb of the Dragon EmperorÂ </t>
  </si>
  <si>
    <t>David Ayer</t>
  </si>
  <si>
    <t>Suicide SquadÂ </t>
  </si>
  <si>
    <t>Tom Shadyac</t>
  </si>
  <si>
    <t>Evan AlmightyÂ </t>
  </si>
  <si>
    <t>Doug Liman</t>
  </si>
  <si>
    <t>Edge of TomorrowÂ </t>
  </si>
  <si>
    <t>Kevin Reynolds</t>
  </si>
  <si>
    <t>WaterworldÂ </t>
  </si>
  <si>
    <t>Stephen Sommers</t>
  </si>
  <si>
    <t>G.I. Joe: The Rise of CobraÂ </t>
  </si>
  <si>
    <t>Inside OutÂ </t>
  </si>
  <si>
    <t>The Jungle BookÂ </t>
  </si>
  <si>
    <t>Iron Man 2Â </t>
  </si>
  <si>
    <t>Rupert Sanders</t>
  </si>
  <si>
    <t>Snow White and the HuntsmanÂ </t>
  </si>
  <si>
    <t>Robert Stromberg</t>
  </si>
  <si>
    <t>MaleficentÂ </t>
  </si>
  <si>
    <t>Matt Reeves</t>
  </si>
  <si>
    <t>Dawn of the Planet of the ApesÂ </t>
  </si>
  <si>
    <t>Carl Rinsch</t>
  </si>
  <si>
    <t>47 RoninÂ </t>
  </si>
  <si>
    <t>Captain America: The Winter SoldierÂ </t>
  </si>
  <si>
    <t>Mike Mitchell</t>
  </si>
  <si>
    <t>Shrek Forever AfterÂ </t>
  </si>
  <si>
    <t>Brad Bird</t>
  </si>
  <si>
    <t>TomorrowlandÂ </t>
  </si>
  <si>
    <t>Don Hall</t>
  </si>
  <si>
    <t>Big Hero 6Â </t>
  </si>
  <si>
    <t>Rich Moore</t>
  </si>
  <si>
    <t>Wreck-It RalphÂ </t>
  </si>
  <si>
    <t>The Polar ExpressÂ </t>
  </si>
  <si>
    <t>Independence Day: ResurgenceÂ </t>
  </si>
  <si>
    <t>Dean DeBlois</t>
  </si>
  <si>
    <t>How to Train Your DragonÂ </t>
  </si>
  <si>
    <t>Jonathan Mostow</t>
  </si>
  <si>
    <t>Terminator 3: Rise of the MachinesÂ </t>
  </si>
  <si>
    <t>James Gunn</t>
  </si>
  <si>
    <t>Guardians of the GalaxyÂ </t>
  </si>
  <si>
    <t>InterstellarÂ </t>
  </si>
  <si>
    <t>InceptionÂ </t>
  </si>
  <si>
    <t>The Hobbit: An Unexpected JourneyÂ </t>
  </si>
  <si>
    <t>The Fast and the FuriousÂ </t>
  </si>
  <si>
    <t>David Fincher</t>
  </si>
  <si>
    <t>The Curious Case of Benjamin ButtonÂ </t>
  </si>
  <si>
    <t>Matthew Vaughn</t>
  </si>
  <si>
    <t>X-Men: First ClassÂ </t>
  </si>
  <si>
    <t>Francis Lawrence</t>
  </si>
  <si>
    <t>The Hunger Games: Mockingjay - Part 2Â </t>
  </si>
  <si>
    <t>Jon Turteltaub</t>
  </si>
  <si>
    <t>The Sorcerer's ApprenticeÂ </t>
  </si>
  <si>
    <t>Wolfgang Petersen</t>
  </si>
  <si>
    <t>PoseidonÂ </t>
  </si>
  <si>
    <t>James Bobin</t>
  </si>
  <si>
    <t>Alice Through the Looking GlassÂ </t>
  </si>
  <si>
    <t>Chris Miller</t>
  </si>
  <si>
    <t>Shrek the ThirdÂ </t>
  </si>
  <si>
    <t>Duncan Jones</t>
  </si>
  <si>
    <t>WarcraftÂ </t>
  </si>
  <si>
    <t>Alan Taylor</t>
  </si>
  <si>
    <t>Terminator GenisysÂ </t>
  </si>
  <si>
    <t>Michael Apted</t>
  </si>
  <si>
    <t>The Chronicles of Narnia: The Voyage of the Dawn TreaderÂ </t>
  </si>
  <si>
    <t>Pearl HarborÂ </t>
  </si>
  <si>
    <t>TransformersÂ </t>
  </si>
  <si>
    <t>Oliver Stone</t>
  </si>
  <si>
    <t>AlexanderÂ </t>
  </si>
  <si>
    <t>Germany</t>
  </si>
  <si>
    <t>Harry Potter and the Order of the PhoenixÂ </t>
  </si>
  <si>
    <t>Harry Potter and the Goblet of FireÂ </t>
  </si>
  <si>
    <t>HancockÂ </t>
  </si>
  <si>
    <t>I Am LegendÂ </t>
  </si>
  <si>
    <t>Charlie and the Chocolate FactoryÂ </t>
  </si>
  <si>
    <t>RatatouilleÂ </t>
  </si>
  <si>
    <t>Batman BeginsÂ </t>
  </si>
  <si>
    <t>Eric Darnell</t>
  </si>
  <si>
    <t>Madagascar: Escape 2 AfricaÂ </t>
  </si>
  <si>
    <t>Shawn Levy</t>
  </si>
  <si>
    <t>Night at the Museum: Battle of the SmithsonianÂ </t>
  </si>
  <si>
    <t>Gavin Hood</t>
  </si>
  <si>
    <t>X-Men Origins: WolverineÂ </t>
  </si>
  <si>
    <t>The Matrix RevolutionsÂ </t>
  </si>
  <si>
    <t>Chris Buck</t>
  </si>
  <si>
    <t>FrozenÂ </t>
  </si>
  <si>
    <t>The Matrix ReloadedÂ </t>
  </si>
  <si>
    <t>Thor: The Dark WorldÂ </t>
  </si>
  <si>
    <t>George Miller</t>
  </si>
  <si>
    <t>Mad Max: Fury RoadÂ </t>
  </si>
  <si>
    <t>Ron Howard</t>
  </si>
  <si>
    <t>Angels &amp; DemonsÂ </t>
  </si>
  <si>
    <t>Kenneth Branagh</t>
  </si>
  <si>
    <t>ThorÂ </t>
  </si>
  <si>
    <t>Byron Howard</t>
  </si>
  <si>
    <t>BoltÂ </t>
  </si>
  <si>
    <t>Hoyt Yeatman</t>
  </si>
  <si>
    <t>G-ForceÂ </t>
  </si>
  <si>
    <t>Jonathan Liebesman</t>
  </si>
  <si>
    <t>Wrath of the TitansÂ </t>
  </si>
  <si>
    <t>Dark ShadowsÂ </t>
  </si>
  <si>
    <t>Christopher McQuarrie</t>
  </si>
  <si>
    <t>Mission: Impossible - Rogue NationÂ </t>
  </si>
  <si>
    <t>China</t>
  </si>
  <si>
    <t>Joe Johnston</t>
  </si>
  <si>
    <t>The WolfmanÂ </t>
  </si>
  <si>
    <t>Steve Hickner</t>
  </si>
  <si>
    <t>Bee MovieÂ </t>
  </si>
  <si>
    <t>Jennifer Yuh Nelson</t>
  </si>
  <si>
    <t>Kung Fu Panda 2Â </t>
  </si>
  <si>
    <t>M. Night Shyamalan</t>
  </si>
  <si>
    <t>The Last AirbenderÂ </t>
  </si>
  <si>
    <t>Mission: Impossible IIIÂ </t>
  </si>
  <si>
    <t>White House DownÂ </t>
  </si>
  <si>
    <t>Simon Wells</t>
  </si>
  <si>
    <t>Mars Needs MomsÂ </t>
  </si>
  <si>
    <t>David Bowers</t>
  </si>
  <si>
    <t>Flushed AwayÂ </t>
  </si>
  <si>
    <t>Joe Wright</t>
  </si>
  <si>
    <t>PanÂ </t>
  </si>
  <si>
    <t>Rob Minkoff</t>
  </si>
  <si>
    <t>Mr. Peabody &amp; ShermanÂ </t>
  </si>
  <si>
    <t>TroyÂ </t>
  </si>
  <si>
    <t>Madagascar 3: Europe's Most WantedÂ </t>
  </si>
  <si>
    <t>Lee Tamahori</t>
  </si>
  <si>
    <t>Die Another DayÂ </t>
  </si>
  <si>
    <t>Paul Feig</t>
  </si>
  <si>
    <t>GhostbustersÂ </t>
  </si>
  <si>
    <t>ArmageddonÂ </t>
  </si>
  <si>
    <t>Men in Black IIÂ 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</si>
  <si>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</si>
  <si>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</si>
  <si>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</si>
  <si>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</si>
  <si>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</si>
  <si>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</si>
  <si>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</si>
  <si>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Fun with Dick and JaneÂ </t>
  </si>
  <si>
    <t>Edward Zwick</t>
  </si>
  <si>
    <t>The Last SamuraiÂ </t>
  </si>
  <si>
    <t>Exodus: Gods and KingsÂ </t>
  </si>
  <si>
    <t>Star TrekÂ </t>
  </si>
  <si>
    <t>Spider-ManÂ </t>
  </si>
  <si>
    <t>How to Train Your Dragon 2Â </t>
  </si>
  <si>
    <t>Alex Proyas</t>
  </si>
  <si>
    <t>Gods of EgyptÂ </t>
  </si>
  <si>
    <t>StealthÂ </t>
  </si>
  <si>
    <t>WatchmenÂ </t>
  </si>
  <si>
    <t>Richard Donner</t>
  </si>
  <si>
    <t>Lethal Weapon 4Â </t>
  </si>
  <si>
    <t>Ang Lee</t>
  </si>
  <si>
    <t>HulkÂ </t>
  </si>
  <si>
    <t>Jon M. Chu</t>
  </si>
  <si>
    <t>G.I. Joe: RetaliationÂ </t>
  </si>
  <si>
    <t>Breck Eisner</t>
  </si>
  <si>
    <t>SaharaÂ </t>
  </si>
  <si>
    <t>Hironobu Sakaguchi</t>
  </si>
  <si>
    <t>Final Fantasy: The Spirits WithinÂ </t>
  </si>
  <si>
    <t>Captain America: The First AvengerÂ </t>
  </si>
  <si>
    <t>The World Is Not EnoughÂ </t>
  </si>
  <si>
    <t>Peter Weir</t>
  </si>
  <si>
    <t>Master and Commander: The Far Side of the WorldÂ </t>
  </si>
  <si>
    <t>Bill Condon</t>
  </si>
  <si>
    <t>The Twilight Saga: Breaking Dawn - Part 2Â </t>
  </si>
  <si>
    <t>Happy Feet 2Â </t>
  </si>
  <si>
    <t>Louis Leterrier</t>
  </si>
  <si>
    <t>The Incredible HulkÂ </t>
  </si>
  <si>
    <t>The BFGÂ </t>
  </si>
  <si>
    <t>Alejandro G. IÃ±Ã¡rritu</t>
  </si>
  <si>
    <t>The RevenantÂ </t>
  </si>
  <si>
    <t>David Soren</t>
  </si>
  <si>
    <t>TurboÂ </t>
  </si>
  <si>
    <t>RangoÂ </t>
  </si>
  <si>
    <t>Penguins of MadagascarÂ </t>
  </si>
  <si>
    <t>Paul Greengrass</t>
  </si>
  <si>
    <t>The Bourne UltimatumÂ </t>
  </si>
  <si>
    <t>Mark Osborne</t>
  </si>
  <si>
    <t>Kung Fu PandaÂ </t>
  </si>
  <si>
    <t>Peyton Reed</t>
  </si>
  <si>
    <t>Ant-ManÂ </t>
  </si>
  <si>
    <t>The Hunger Games: Catching FireÂ </t>
  </si>
  <si>
    <t>Tim Johnson</t>
  </si>
  <si>
    <t>HomeÂ </t>
  </si>
  <si>
    <t>War of the WorldsÂ </t>
  </si>
  <si>
    <t>Bad Boys IIÂ </t>
  </si>
  <si>
    <t>Puss in BootsÂ </t>
  </si>
  <si>
    <t>Phillip Noyce</t>
  </si>
  <si>
    <t>SaltÂ </t>
  </si>
  <si>
    <t>Darren Aronofsky</t>
  </si>
  <si>
    <t>NoahÂ </t>
  </si>
  <si>
    <t>The Adventures of TintinÂ </t>
  </si>
  <si>
    <t>Alfonso CuarÃ³n</t>
  </si>
  <si>
    <t>Harry Potter and the Prisoner of AzkabanÂ </t>
  </si>
  <si>
    <t>AustraliaÂ </t>
  </si>
  <si>
    <t>After EarthÂ </t>
  </si>
  <si>
    <t>Eric Leighton</t>
  </si>
  <si>
    <t>DinosaurÂ </t>
  </si>
  <si>
    <t>Night at the Museum: Secret of the TombÂ </t>
  </si>
  <si>
    <t>Tom McGrath</t>
  </si>
  <si>
    <t>MegamindÂ </t>
  </si>
  <si>
    <t>Chris Columbus</t>
  </si>
  <si>
    <t>Harry Potter and the Sorcerer's StoneÂ </t>
  </si>
  <si>
    <t>Robert Schwentke</t>
  </si>
  <si>
    <t>R.I.P.D.Â </t>
  </si>
  <si>
    <t>Pirates of the Caribbean: The Curse of the Black PearlÂ </t>
  </si>
  <si>
    <t>The Hunger Games: Mockingjay - Part 1Â </t>
  </si>
  <si>
    <t>The Da Vinci CodeÂ </t>
  </si>
  <si>
    <t>Carlos Saldanha</t>
  </si>
  <si>
    <t>Rio 2Â </t>
  </si>
  <si>
    <t>X-Men 2Â </t>
  </si>
  <si>
    <t>Fast FiveÂ </t>
  </si>
  <si>
    <t>Guy Ritchie</t>
  </si>
  <si>
    <t>Sherlock Holmes: A Game of ShadowsÂ </t>
  </si>
  <si>
    <t>Clash of the TitansÂ </t>
  </si>
  <si>
    <t>Paul Verhoeven</t>
  </si>
  <si>
    <t>Total RecallÂ </t>
  </si>
  <si>
    <t>John McTiernan</t>
  </si>
  <si>
    <t>The 13th WarriorÂ </t>
  </si>
  <si>
    <t>Tony Gilroy</t>
  </si>
  <si>
    <t>The Bourne LegacyÂ </t>
  </si>
  <si>
    <t>Joel Schumacher</t>
  </si>
  <si>
    <t>Action</t>
  </si>
  <si>
    <t>Batman &amp; RobinÂ </t>
  </si>
  <si>
    <t>How the Grinch Stole ChristmasÂ </t>
  </si>
  <si>
    <t>The Day After TomorrowÂ </t>
  </si>
  <si>
    <t>John Woo</t>
  </si>
  <si>
    <t>Mission: Impossible IIÂ </t>
  </si>
  <si>
    <t>The Perfect StormÂ </t>
  </si>
  <si>
    <t>Tim Story</t>
  </si>
  <si>
    <t>Fantastic 4: Rise of the Silver SurferÂ </t>
  </si>
  <si>
    <t>Life of PiÂ </t>
  </si>
  <si>
    <t>Mark Steven Johnson</t>
  </si>
  <si>
    <t>Ghost RiderÂ </t>
  </si>
  <si>
    <t>Jason BourneÂ </t>
  </si>
  <si>
    <t>Charlie's Angels: Full ThrottleÂ </t>
  </si>
  <si>
    <t>PrometheusÂ </t>
  </si>
  <si>
    <t>Stuart Little 2Â </t>
  </si>
  <si>
    <t>Neill Blomkamp</t>
  </si>
  <si>
    <t>ElysiumÂ </t>
  </si>
  <si>
    <t>David Twohy</t>
  </si>
  <si>
    <t>The Chronicles of RiddickÂ </t>
  </si>
  <si>
    <t>JosÃ© Padilha</t>
  </si>
  <si>
    <t>RoboCopÂ </t>
  </si>
  <si>
    <t>Speed RacerÂ </t>
  </si>
  <si>
    <t>James L. Brooks</t>
  </si>
  <si>
    <t>How Do You KnowÂ </t>
  </si>
  <si>
    <t>James Mangold</t>
  </si>
  <si>
    <t>Knight and DayÂ </t>
  </si>
  <si>
    <t>OblivionÂ </t>
  </si>
  <si>
    <t>George Lucas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</si>
  <si>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</si>
  <si>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</si>
  <si>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</si>
  <si>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</si>
  <si>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</si>
  <si>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</si>
  <si>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</si>
  <si>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WindtalkersÂ </t>
  </si>
  <si>
    <t>Cedric Nicolas-Troyan</t>
  </si>
  <si>
    <t>The Huntsman: Winter's WarÂ </t>
  </si>
  <si>
    <t>Teenage Mutant Ninja TurtlesÂ </t>
  </si>
  <si>
    <t>GravityÂ </t>
  </si>
  <si>
    <t>Roger Donaldson</t>
  </si>
  <si>
    <t>Dante's PeakÂ </t>
  </si>
  <si>
    <t>Dave Green</t>
  </si>
  <si>
    <t>Teenage Mutant Ninja Turtles: Out of the ShadowsÂ </t>
  </si>
  <si>
    <t>Josh Trank</t>
  </si>
  <si>
    <t>Fantastic FourÂ </t>
  </si>
  <si>
    <t>Night at the MuseumÂ </t>
  </si>
  <si>
    <t>Brad Peyton</t>
  </si>
  <si>
    <t>San AndreasÂ </t>
  </si>
  <si>
    <t>Roger Spottiswoode</t>
  </si>
  <si>
    <t>Tomorrow Never DiesÂ </t>
  </si>
  <si>
    <t>The PatriotÂ </t>
  </si>
  <si>
    <t>Steven Soderbergh</t>
  </si>
  <si>
    <t>Ocean's TwelveÂ </t>
  </si>
  <si>
    <t>Mr. &amp; Mrs. SmithÂ </t>
  </si>
  <si>
    <t>InsurgentÂ </t>
  </si>
  <si>
    <t>The AviatorÂ </t>
  </si>
  <si>
    <t>Gulliver's TravelsÂ </t>
  </si>
  <si>
    <t>Michel Gondry</t>
  </si>
  <si>
    <t>The Green HornetÂ </t>
  </si>
  <si>
    <t>Noam Murro</t>
  </si>
  <si>
    <t>300: Rise of an EmpireÂ </t>
  </si>
  <si>
    <t>Raja Gosnell</t>
  </si>
  <si>
    <t>The SmurfsÂ </t>
  </si>
  <si>
    <t>Will Finn</t>
  </si>
  <si>
    <t>Home on the RangeÂ </t>
  </si>
  <si>
    <t>AllegiantÂ </t>
  </si>
  <si>
    <t>Real SteelÂ </t>
  </si>
  <si>
    <t>The Smurfs 2Â </t>
  </si>
  <si>
    <t>Jan de Bont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</si>
  <si>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</si>
  <si>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</si>
  <si>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</si>
  <si>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</si>
  <si>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</si>
  <si>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</si>
  <si>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Around the World in 80 DaysÂ </t>
  </si>
  <si>
    <t>Michael Mann</t>
  </si>
  <si>
    <t>AliÂ </t>
  </si>
  <si>
    <t>Bo Welch</t>
  </si>
  <si>
    <t>The Cat in the HatÂ </t>
  </si>
  <si>
    <t>I, RobotÂ </t>
  </si>
  <si>
    <t>Kingdom of HeavenÂ </t>
  </si>
  <si>
    <t>Stuart LittleÂ </t>
  </si>
  <si>
    <t>Ron Clements</t>
  </si>
  <si>
    <t>The Princess and the FrogÂ </t>
  </si>
  <si>
    <t>The MartianÂ </t>
  </si>
  <si>
    <t>The IslandÂ </t>
  </si>
  <si>
    <t>Peter Chelsom</t>
  </si>
  <si>
    <t>Town &amp; CountryÂ </t>
  </si>
  <si>
    <t>New Line</t>
  </si>
  <si>
    <t>Dominic Sena</t>
  </si>
  <si>
    <t>Gone in Sixty SecondsÂ </t>
  </si>
  <si>
    <t>GladiatorÂ </t>
  </si>
  <si>
    <t>Minority ReportÂ </t>
  </si>
  <si>
    <t>Harry Potter and the Chamber of SecretsÂ </t>
  </si>
  <si>
    <t>Casino RoyaleÂ </t>
  </si>
  <si>
    <t>Planet of the ApesÂ </t>
  </si>
  <si>
    <t>Terminator 2: Judgment DayÂ </t>
  </si>
  <si>
    <t>Public EnemiesÂ </t>
  </si>
  <si>
    <t>American GangsterÂ </t>
  </si>
  <si>
    <t>True LiesÂ </t>
  </si>
  <si>
    <t>Tony Scott</t>
  </si>
  <si>
    <t>The Taking of Pelham 1 2 3Â </t>
  </si>
  <si>
    <t>Paul Weitz</t>
  </si>
  <si>
    <t>Little FockersÂ </t>
  </si>
  <si>
    <t>Adam McKay</t>
  </si>
  <si>
    <t>The Other GuysÂ </t>
  </si>
  <si>
    <t>Chuck Russell</t>
  </si>
  <si>
    <t>EraserÂ </t>
  </si>
  <si>
    <t>Quentin Tarantino</t>
  </si>
  <si>
    <t>Django UnchainedÂ </t>
  </si>
  <si>
    <t>Gary Trousdale</t>
  </si>
  <si>
    <t>The Hunchback of Notre DameÂ </t>
  </si>
  <si>
    <t>Mark Dindal</t>
  </si>
  <si>
    <t>The Emperor's New GrooveÂ </t>
  </si>
  <si>
    <t>Simon West</t>
  </si>
  <si>
    <t>The Expendables 2Â </t>
  </si>
  <si>
    <t>National TreasureÂ </t>
  </si>
  <si>
    <t>Stefen Fangmeier</t>
  </si>
  <si>
    <t>EragonÂ </t>
  </si>
  <si>
    <t>Spike Jonze</t>
  </si>
  <si>
    <t>Where the Wild Things AreÂ </t>
  </si>
  <si>
    <t>Chris Wedge</t>
  </si>
  <si>
    <t>EpicÂ </t>
  </si>
  <si>
    <t>Florian Henckel von Donnersmarck</t>
  </si>
  <si>
    <t>The TouristÂ </t>
  </si>
  <si>
    <t>Peter Hyams</t>
  </si>
  <si>
    <t>End of DaysÂ </t>
  </si>
  <si>
    <t>Blood DiamondÂ </t>
  </si>
  <si>
    <t>The Wolf of Wall StreetÂ </t>
  </si>
  <si>
    <t>Batman ForeverÂ </t>
  </si>
  <si>
    <t>Starship TroopersÂ </t>
  </si>
  <si>
    <t>Tom Tykwer</t>
  </si>
  <si>
    <t>Cloud AtlasÂ </t>
  </si>
  <si>
    <t>Legend of the Guardians: The Owls of Ga'HooleÂ </t>
  </si>
  <si>
    <t>Pitof</t>
  </si>
  <si>
    <t>CatwomanÂ </t>
  </si>
  <si>
    <t>HerculesÂ </t>
  </si>
  <si>
    <t>Treasure PlanetÂ </t>
  </si>
  <si>
    <t>Brad Silberling</t>
  </si>
  <si>
    <t>Land of the LostÂ </t>
  </si>
  <si>
    <t>Patrick Hughes</t>
  </si>
  <si>
    <t>The Expendables 3Â </t>
  </si>
  <si>
    <t>Ericson Core</t>
  </si>
  <si>
    <t>Point BreakÂ </t>
  </si>
  <si>
    <t>Lawrence Guterman</t>
  </si>
  <si>
    <t>Son of the MaskÂ </t>
  </si>
  <si>
    <t>In the Heart of the SeaÂ </t>
  </si>
  <si>
    <t>Ron Underwood</t>
  </si>
  <si>
    <t>The Adventures of Pluto NashÂ </t>
  </si>
  <si>
    <t>Green ZoneÂ </t>
  </si>
  <si>
    <t>France</t>
  </si>
  <si>
    <t>Steve Martino</t>
  </si>
  <si>
    <t>The Peanuts MovieÂ </t>
  </si>
  <si>
    <t>David Mamet</t>
  </si>
  <si>
    <t>The Spanish PrisonerÂ </t>
  </si>
  <si>
    <t>The Mummy ReturnsÂ </t>
  </si>
  <si>
    <t>Gangs of New YorkÂ </t>
  </si>
  <si>
    <t>Yimou Zhang</t>
  </si>
  <si>
    <t>The Flowers of WarÂ </t>
  </si>
  <si>
    <t>Mandarin</t>
  </si>
  <si>
    <t>Ash Brannon</t>
  </si>
  <si>
    <t>Surf's UpÂ </t>
  </si>
  <si>
    <t>Frank Oz</t>
  </si>
  <si>
    <t>The Stepford WivesÂ </t>
  </si>
  <si>
    <t>Black Hawk DownÂ </t>
  </si>
  <si>
    <t>Jay Roach</t>
  </si>
  <si>
    <t>Comedy</t>
  </si>
  <si>
    <t>The CampaignÂ </t>
  </si>
  <si>
    <t>Luc Besson</t>
  </si>
  <si>
    <t>The Fifth ElementÂ </t>
  </si>
  <si>
    <t>Michael Patrick King</t>
  </si>
  <si>
    <t>Sex and the City 2Â </t>
  </si>
  <si>
    <t>Bibo Bergeron</t>
  </si>
  <si>
    <t>The Road to El DoradoÂ </t>
  </si>
  <si>
    <t>Ice Age: Continental DriftÂ </t>
  </si>
  <si>
    <t>CinderellaÂ </t>
  </si>
  <si>
    <t>The Lovely BonesÂ </t>
  </si>
  <si>
    <t>Finding NemoÂ 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</si>
  <si>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</si>
  <si>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</si>
  <si>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</si>
  <si>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</si>
  <si>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</si>
  <si>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</si>
  <si>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TranscendenceÂ </t>
  </si>
  <si>
    <t>Jurassic Park IIIÂ </t>
  </si>
  <si>
    <t>Rupert Wyatt</t>
  </si>
  <si>
    <t>Rise of the Planet of the ApesÂ </t>
  </si>
  <si>
    <t>Mark Waters</t>
  </si>
  <si>
    <t>The Spiderwick ChroniclesÂ </t>
  </si>
  <si>
    <t>John Moore</t>
  </si>
  <si>
    <t>A Good Day to Die HardÂ </t>
  </si>
  <si>
    <t>John Lee Hancock</t>
  </si>
  <si>
    <t>The AlamoÂ </t>
  </si>
  <si>
    <t>The IncrediblesÂ </t>
  </si>
  <si>
    <t>Renny Harlin</t>
  </si>
  <si>
    <t>Cutthroat IslandÂ </t>
  </si>
  <si>
    <t>Percy Jackson &amp; the Olympians: The Lightning ThiefÂ </t>
  </si>
  <si>
    <t>Men in BlackÂ </t>
  </si>
  <si>
    <t>Toy Story 2Â </t>
  </si>
  <si>
    <t>UnstoppableÂ </t>
  </si>
  <si>
    <t>Rush Hour 2Â </t>
  </si>
  <si>
    <t>What Lies BeneathÂ </t>
  </si>
  <si>
    <t>Phil Lord</t>
  </si>
  <si>
    <t>Cloudy with a Chance of MeatballsÂ </t>
  </si>
  <si>
    <t>Ice Age: Dawn of the DinosaursÂ </t>
  </si>
  <si>
    <t>Ben Stiller</t>
  </si>
  <si>
    <t>The Secret Life of Walter MittyÂ </t>
  </si>
  <si>
    <t>Charlie's AngelsÂ </t>
  </si>
  <si>
    <t>The DepartedÂ </t>
  </si>
  <si>
    <t>Tony Bancroft</t>
  </si>
  <si>
    <t>MulanÂ </t>
  </si>
  <si>
    <t>Tropic ThunderÂ </t>
  </si>
  <si>
    <t>The Girl with the Dragon TattooÂ </t>
  </si>
  <si>
    <t>Die Hard with a VengeanceÂ </t>
  </si>
  <si>
    <t>Sherlock HolmesÂ </t>
  </si>
  <si>
    <t>Atlantis: The Lost EmpireÂ </t>
  </si>
  <si>
    <t>Walt Becker</t>
  </si>
  <si>
    <t>Alvin and the Chipmunks: The Road ChipÂ </t>
  </si>
  <si>
    <t>ValkyrieÂ </t>
  </si>
  <si>
    <t>Dennis Dugan</t>
  </si>
  <si>
    <t>You Don't Mess with the ZohanÂ </t>
  </si>
  <si>
    <t>PixelsÂ </t>
  </si>
  <si>
    <t>A.I. Artificial IntelligenceÂ </t>
  </si>
  <si>
    <t>The Haunted MansionÂ </t>
  </si>
  <si>
    <t>ContactÂ </t>
  </si>
  <si>
    <t>Hollow ManÂ </t>
  </si>
  <si>
    <t>Sydney Pollack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</si>
  <si>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</si>
  <si>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</si>
  <si>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</si>
  <si>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</si>
  <si>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</si>
  <si>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Now You See Me 2Â </t>
  </si>
  <si>
    <t>The SaintÂ </t>
  </si>
  <si>
    <t>Spy GameÂ </t>
  </si>
  <si>
    <t>Brian De Palma</t>
  </si>
  <si>
    <t>Mission to MarsÂ </t>
  </si>
  <si>
    <t>RioÂ 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</si>
  <si>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</si>
  <si>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</si>
  <si>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</si>
  <si>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</si>
  <si>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</si>
  <si>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</si>
  <si>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</si>
  <si>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</si>
  <si>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Conan the BarbarianÂ </t>
  </si>
  <si>
    <t>Cinderella ManÂ </t>
  </si>
  <si>
    <t>Andrey Konchalovskiy</t>
  </si>
  <si>
    <t>The Nutcracker in 3DÂ </t>
  </si>
  <si>
    <t>Gary Ross</t>
  </si>
  <si>
    <t>SeabiscuitÂ </t>
  </si>
  <si>
    <t>TwisterÂ </t>
  </si>
  <si>
    <t>Cast AwayÂ 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</si>
  <si>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</si>
  <si>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</si>
  <si>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</si>
  <si>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</si>
  <si>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</si>
  <si>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</si>
  <si>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</si>
  <si>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</si>
  <si>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</si>
  <si>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EnchantedÂ </t>
  </si>
  <si>
    <t>Daniel Espinosa</t>
  </si>
  <si>
    <t>Safe HouseÂ </t>
  </si>
  <si>
    <t>102 DalmatiansÂ </t>
  </si>
  <si>
    <t>Tower HeistÂ </t>
  </si>
  <si>
    <t>Nancy Meyers</t>
  </si>
  <si>
    <t>The HolidayÂ </t>
  </si>
  <si>
    <t>Enemy of the StateÂ </t>
  </si>
  <si>
    <t>It's ComplicatedÂ </t>
  </si>
  <si>
    <t>Ocean's ThirteenÂ </t>
  </si>
  <si>
    <t>Roger Allers</t>
  </si>
  <si>
    <t>Open SeasonÂ </t>
  </si>
  <si>
    <t>Neil Burger</t>
  </si>
  <si>
    <t>DivergentÂ </t>
  </si>
  <si>
    <t>Jean-Jacques Annaud</t>
  </si>
  <si>
    <t>Enemy at the GatesÂ </t>
  </si>
  <si>
    <t>The RundownÂ </t>
  </si>
  <si>
    <t>Last Action HeroÂ </t>
  </si>
  <si>
    <t>Memoirs of a GeishaÂ 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</si>
  <si>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</si>
  <si>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</si>
  <si>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</si>
  <si>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</si>
  <si>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</si>
  <si>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</si>
  <si>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Collateral DamageÂ </t>
  </si>
  <si>
    <t>Tarsem Singh</t>
  </si>
  <si>
    <t>Mirror MirrorÂ </t>
  </si>
  <si>
    <t>Edgar Wright</t>
  </si>
  <si>
    <t>Scott Pilgrim vs. the WorldÂ </t>
  </si>
  <si>
    <t>Jon Amiel</t>
  </si>
  <si>
    <t>The CoreÂ </t>
  </si>
  <si>
    <t>Peter Segal</t>
  </si>
  <si>
    <t>Nutty Professor II: The KlumpsÂ </t>
  </si>
  <si>
    <t>Scooby-DooÂ </t>
  </si>
  <si>
    <t>Pete Travis</t>
  </si>
  <si>
    <t>DreddÂ </t>
  </si>
  <si>
    <t>ClickÂ </t>
  </si>
  <si>
    <t>Cats &amp; Dogs: The Revenge of Kitty GaloreÂ </t>
  </si>
  <si>
    <t>JumperÂ </t>
  </si>
  <si>
    <t>Hellboy II: The Golden ArmyÂ </t>
  </si>
  <si>
    <t>ZodiacÂ </t>
  </si>
  <si>
    <t>The 6th DayÂ 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</si>
  <si>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</si>
  <si>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</si>
  <si>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</si>
  <si>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</si>
  <si>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</si>
  <si>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</si>
  <si>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</si>
  <si>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</si>
  <si>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</si>
  <si>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Lilo &amp; StitchÂ </t>
  </si>
  <si>
    <t>Mimi Leder</t>
  </si>
  <si>
    <t>Deep ImpactÂ </t>
  </si>
  <si>
    <t>RED 2Â 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</si>
  <si>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</si>
  <si>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</si>
  <si>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</si>
  <si>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</si>
  <si>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</si>
  <si>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</si>
  <si>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</si>
  <si>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</si>
  <si>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</si>
  <si>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</si>
  <si>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</si>
  <si>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</si>
  <si>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</si>
  <si>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</si>
  <si>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</si>
  <si>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</si>
  <si>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</si>
  <si>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</si>
  <si>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Cold MountainÂ </t>
  </si>
  <si>
    <t>Albert Hughes</t>
  </si>
  <si>
    <t>The Book of EliÂ </t>
  </si>
  <si>
    <t>Les Mayfield</t>
  </si>
  <si>
    <t>FlubberÂ </t>
  </si>
  <si>
    <t>The HauntingÂ </t>
  </si>
  <si>
    <t>Joe Pytka</t>
  </si>
  <si>
    <t>Space JamÂ </t>
  </si>
  <si>
    <t>The Pink PantherÂ </t>
  </si>
  <si>
    <t>Scott Derrickson</t>
  </si>
  <si>
    <t>The Day the Earth Stood StillÂ </t>
  </si>
  <si>
    <t>Conspiracy TheoryÂ </t>
  </si>
  <si>
    <t>FuryÂ </t>
  </si>
  <si>
    <t>Ivan Reitman</t>
  </si>
  <si>
    <t>Six Days Seven NightsÂ </t>
  </si>
  <si>
    <t>Eric Brevig</t>
  </si>
  <si>
    <t>Yogi BearÂ </t>
  </si>
  <si>
    <t>Kelly Asbury</t>
  </si>
  <si>
    <t>Spirit: Stallion of the CimarronÂ </t>
  </si>
  <si>
    <t>ZookeeperÂ </t>
  </si>
  <si>
    <t>Stephen Hopkins</t>
  </si>
  <si>
    <t>Lost in SpaceÂ </t>
  </si>
  <si>
    <t>Jonathan Demme</t>
  </si>
  <si>
    <t>The Manchurian CandidateÂ </t>
  </si>
  <si>
    <t>Hotel Transylvania 2Â </t>
  </si>
  <si>
    <t>James Algar</t>
  </si>
  <si>
    <t>Fantasia 2000Â </t>
  </si>
  <si>
    <t>The Time MachineÂ </t>
  </si>
  <si>
    <t>Mighty Joe YoungÂ </t>
  </si>
  <si>
    <t>SwordfishÂ </t>
  </si>
  <si>
    <t>The Legend of ZorroÂ </t>
  </si>
  <si>
    <t>Spanish</t>
  </si>
  <si>
    <t>Vincent Ward</t>
  </si>
  <si>
    <t>What Dreams May ComeÂ </t>
  </si>
  <si>
    <t>Steven Brill</t>
  </si>
  <si>
    <t>Little NickyÂ </t>
  </si>
  <si>
    <t>Terry Gilliam</t>
  </si>
  <si>
    <t>The Brothers GrimmÂ </t>
  </si>
  <si>
    <t>Mars Attacks!Â </t>
  </si>
  <si>
    <t>SurrogatesÂ </t>
  </si>
  <si>
    <t>Thirteen DaysÂ </t>
  </si>
  <si>
    <t>DaylightÂ </t>
  </si>
  <si>
    <t>Barry Cook</t>
  </si>
  <si>
    <t>Walking with Dinosaurs 3DÂ </t>
  </si>
  <si>
    <t>Roger Christian</t>
  </si>
  <si>
    <t>Battlefield EarthÂ </t>
  </si>
  <si>
    <t>Joe Dante</t>
  </si>
  <si>
    <t>Looney Tunes: Back in ActionÂ </t>
  </si>
  <si>
    <t>NineÂ </t>
  </si>
  <si>
    <t>TimelineÂ </t>
  </si>
  <si>
    <t>Kevin Costner</t>
  </si>
  <si>
    <t>The PostmanÂ </t>
  </si>
  <si>
    <t>Babe: Pig in the CityÂ </t>
  </si>
  <si>
    <t>The Last Witch HunterÂ </t>
  </si>
  <si>
    <t>Antony Hoffman</t>
  </si>
  <si>
    <t>Red PlanetÂ </t>
  </si>
  <si>
    <t>Arthur and the InvisiblesÂ </t>
  </si>
  <si>
    <t>Jacques Perrin</t>
  </si>
  <si>
    <t>OceansÂ </t>
  </si>
  <si>
    <t>French</t>
  </si>
  <si>
    <t>A Sound of ThunderÂ </t>
  </si>
  <si>
    <t>PompeiiÂ </t>
  </si>
  <si>
    <t>A Beautiful MindÂ </t>
  </si>
  <si>
    <t>The Lion KingÂ </t>
  </si>
  <si>
    <t>Journey 2: The Mysterious IslandÂ </t>
  </si>
  <si>
    <t>Cody Cameron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</si>
  <si>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</si>
  <si>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</si>
  <si>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</si>
  <si>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</si>
  <si>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</si>
  <si>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</si>
  <si>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The Little PrinceÂ </t>
  </si>
  <si>
    <t>Oliver Hirschbiegel</t>
  </si>
  <si>
    <t>The InvasionÂ </t>
  </si>
  <si>
    <t>Des McAnuff</t>
  </si>
  <si>
    <t>The Adventures of Rocky &amp; BullwinkleÂ </t>
  </si>
  <si>
    <t>Yarrow Cheney</t>
  </si>
  <si>
    <t>The Secret Life of PetsÂ </t>
  </si>
  <si>
    <t>Japan</t>
  </si>
  <si>
    <t>Stephen Norrington</t>
  </si>
  <si>
    <t>The League of Extraordinary GentlemenÂ </t>
  </si>
  <si>
    <t>Pierre Coffin</t>
  </si>
  <si>
    <t>Despicable Me 2Â </t>
  </si>
  <si>
    <t>Independence DayÂ </t>
  </si>
  <si>
    <t>The Lost World: Jurassic ParkÂ </t>
  </si>
  <si>
    <t>MadagascarÂ </t>
  </si>
  <si>
    <t>Children of MenÂ </t>
  </si>
  <si>
    <t>X-MenÂ </t>
  </si>
  <si>
    <t>Timur Bekmambetov</t>
  </si>
  <si>
    <t>WantedÂ </t>
  </si>
  <si>
    <t>The RockÂ </t>
  </si>
  <si>
    <t>Ice Age: The MeltdownÂ </t>
  </si>
  <si>
    <t>50 First DatesÂ </t>
  </si>
  <si>
    <t>HairsprayÂ </t>
  </si>
  <si>
    <t>Exorcist: The BeginningÂ </t>
  </si>
  <si>
    <t>David Kellogg</t>
  </si>
  <si>
    <t>Inspector GadgetÂ </t>
  </si>
  <si>
    <t>Now You See MeÂ </t>
  </si>
  <si>
    <t>Grown UpsÂ </t>
  </si>
  <si>
    <t>The TerminalÂ </t>
  </si>
  <si>
    <t>Hotel for DogsÂ </t>
  </si>
  <si>
    <t>Vertical LimitÂ </t>
  </si>
  <si>
    <t>Mike Nichols</t>
  </si>
  <si>
    <t>Charlie Wilson's WarÂ </t>
  </si>
  <si>
    <t>Shark TaleÂ </t>
  </si>
  <si>
    <t>DreamgirlsÂ </t>
  </si>
  <si>
    <t>F. Gary Gray</t>
  </si>
  <si>
    <t>Be CoolÂ </t>
  </si>
  <si>
    <t>MunichÂ </t>
  </si>
  <si>
    <t>Antoine Fuqua</t>
  </si>
  <si>
    <t>Tears of the SunÂ </t>
  </si>
  <si>
    <t>Robert Luketic</t>
  </si>
  <si>
    <t>KillersÂ </t>
  </si>
  <si>
    <t>The Man from U.N.C.L.E.Â </t>
  </si>
  <si>
    <t>SpanglishÂ </t>
  </si>
  <si>
    <t>Gil Kenan</t>
  </si>
  <si>
    <t>Monster HouseÂ </t>
  </si>
  <si>
    <t>Barry Levinson</t>
  </si>
  <si>
    <t>BanditsÂ </t>
  </si>
  <si>
    <t>Jerry Zucker</t>
  </si>
  <si>
    <t>First KnightÂ </t>
  </si>
  <si>
    <t>Andy Tennant</t>
  </si>
  <si>
    <t>Anna and the KingÂ </t>
  </si>
  <si>
    <t>ImmortalsÂ </t>
  </si>
  <si>
    <t>Florent-Emilio Siri</t>
  </si>
  <si>
    <t>HostageÂ </t>
  </si>
  <si>
    <t>Don Bluth</t>
  </si>
  <si>
    <t>Titan A.E.Â </t>
  </si>
  <si>
    <t>Ron Shelton</t>
  </si>
  <si>
    <t>Hollywood HomicideÂ </t>
  </si>
  <si>
    <t>SoldierÂ </t>
  </si>
  <si>
    <t>Henry Selick</t>
  </si>
  <si>
    <t>MonkeyboneÂ </t>
  </si>
  <si>
    <t>Flight of the PhoenixÂ </t>
  </si>
  <si>
    <t>UnbreakableÂ </t>
  </si>
  <si>
    <t>Kyle Balda</t>
  </si>
  <si>
    <t>MinionsÂ </t>
  </si>
  <si>
    <t>Sucker PunchÂ </t>
  </si>
  <si>
    <t>Snake EyesÂ </t>
  </si>
  <si>
    <t>SphereÂ </t>
  </si>
  <si>
    <t>Clay Kaytis</t>
  </si>
  <si>
    <t>The Angry Birds MovieÂ </t>
  </si>
  <si>
    <t>Fool's GoldÂ </t>
  </si>
  <si>
    <t>Judd Apatow</t>
  </si>
  <si>
    <t>Funny PeopleÂ </t>
  </si>
  <si>
    <t>The KingdomÂ </t>
  </si>
  <si>
    <t>Talladega Nights: The Ballad of Ricky BobbyÂ </t>
  </si>
  <si>
    <t>Steve Carr</t>
  </si>
  <si>
    <t>Dr. Dolittle 2Â </t>
  </si>
  <si>
    <t>Mel Gibson</t>
  </si>
  <si>
    <t>BraveheartÂ </t>
  </si>
  <si>
    <t>JarheadÂ </t>
  </si>
  <si>
    <t>David Silverman</t>
  </si>
  <si>
    <t>The Simpsons MovieÂ </t>
  </si>
  <si>
    <t>Frank Darabont</t>
  </si>
  <si>
    <t>The MajesticÂ </t>
  </si>
  <si>
    <t>DrivenÂ </t>
  </si>
  <si>
    <t>Two BrothersÂ </t>
  </si>
  <si>
    <t>The VillageÂ </t>
  </si>
  <si>
    <t>Betty Thomas</t>
  </si>
  <si>
    <t>Doctor DolittleÂ </t>
  </si>
  <si>
    <t>SignsÂ </t>
  </si>
  <si>
    <t>Shrek 2Â </t>
  </si>
  <si>
    <t>CarsÂ </t>
  </si>
  <si>
    <t>Garry Marshall</t>
  </si>
  <si>
    <t>Runaway BrideÂ </t>
  </si>
  <si>
    <t>xXxÂ </t>
  </si>
  <si>
    <t>Paul Tibbitt</t>
  </si>
  <si>
    <t>The SpongeBob Movie: Sponge Out of WaterÂ </t>
  </si>
  <si>
    <t>RansomÂ </t>
  </si>
  <si>
    <t>Inglourious BasterdsÂ </t>
  </si>
  <si>
    <t>HookÂ </t>
  </si>
  <si>
    <t>Die Hard 2Â </t>
  </si>
  <si>
    <t>Clark Johnson</t>
  </si>
  <si>
    <t>S.W.A.T.Â </t>
  </si>
  <si>
    <t>Cameron Crowe</t>
  </si>
  <si>
    <t>Vanilla SkyÂ </t>
  </si>
  <si>
    <t>Lady in the WaterÂ </t>
  </si>
  <si>
    <t>AVP: Alien vs. PredatorÂ </t>
  </si>
  <si>
    <t>Alvin and the Chipmunks: The SqueakquelÂ </t>
  </si>
  <si>
    <t>Randall Wallace</t>
  </si>
  <si>
    <t>We Were SoldiersÂ </t>
  </si>
  <si>
    <t>Olympus Has FallenÂ </t>
  </si>
  <si>
    <t>Jonathan Frakes</t>
  </si>
  <si>
    <t>Star Trek: InsurrectionÂ </t>
  </si>
  <si>
    <t>Battle Los AngelesÂ </t>
  </si>
  <si>
    <t>Big FishÂ </t>
  </si>
  <si>
    <t>WolfÂ </t>
  </si>
  <si>
    <t>War HorseÂ </t>
  </si>
  <si>
    <t>George Clooney</t>
  </si>
  <si>
    <t>The Monuments MenÂ </t>
  </si>
  <si>
    <t>The AbyssÂ </t>
  </si>
  <si>
    <t>Drama</t>
  </si>
  <si>
    <t>Wall Street: Money Never SleepsÂ </t>
  </si>
  <si>
    <t>Gary Shore</t>
  </si>
  <si>
    <t>Dracula UntoldÂ </t>
  </si>
  <si>
    <t>The SiegeÂ </t>
  </si>
  <si>
    <t>StardustÂ </t>
  </si>
  <si>
    <t>Seven Years in TibetÂ </t>
  </si>
  <si>
    <t>The DilemmaÂ </t>
  </si>
  <si>
    <t>Bad CompanyÂ </t>
  </si>
  <si>
    <t>Andrzej Bartkowiak</t>
  </si>
  <si>
    <t>DoomÂ </t>
  </si>
  <si>
    <t>I SpyÂ </t>
  </si>
  <si>
    <t>MÃ¥ns MÃ¥rlind</t>
  </si>
  <si>
    <t>Underworld: AwakeningÂ </t>
  </si>
  <si>
    <t>Rock of AgesÂ </t>
  </si>
  <si>
    <t>Gregory Hoblit</t>
  </si>
  <si>
    <t>Hart's WarÂ </t>
  </si>
  <si>
    <t>Gary McKendry</t>
  </si>
  <si>
    <t>Killer EliteÂ </t>
  </si>
  <si>
    <t>RollerballÂ </t>
  </si>
  <si>
    <t>Wych Kaosayananda</t>
  </si>
  <si>
    <t>Ballistic: Ecks vs. SeverÂ </t>
  </si>
  <si>
    <t>Mikael Salomon</t>
  </si>
  <si>
    <t>Hard RainÂ </t>
  </si>
  <si>
    <t>Bobby Farrelly</t>
  </si>
  <si>
    <t>Osmosis JonesÂ </t>
  </si>
  <si>
    <t>Legends of Oz: Dorothy's ReturnÂ </t>
  </si>
  <si>
    <t>BlackhatÂ </t>
  </si>
  <si>
    <t>Kerry Conran</t>
  </si>
  <si>
    <t>Sky Captain and the World of TomorrowÂ </t>
  </si>
  <si>
    <t>Michael Caton-Jones</t>
  </si>
  <si>
    <t>Basic Instinct 2Â </t>
  </si>
  <si>
    <t>Mikael HÃ¥fstrÃ¶m</t>
  </si>
  <si>
    <t>Escape PlanÂ 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</si>
  <si>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</si>
  <si>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</si>
  <si>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</si>
  <si>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</si>
  <si>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</si>
  <si>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</si>
  <si>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</si>
  <si>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</si>
  <si>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Money TrainÂ </t>
  </si>
  <si>
    <t>Seth MacFarlane</t>
  </si>
  <si>
    <t>Ted 2Â </t>
  </si>
  <si>
    <t>Alejandro AmenÃ¡bar</t>
  </si>
  <si>
    <t>AgoraÂ </t>
  </si>
  <si>
    <t>Spain</t>
  </si>
  <si>
    <t>Kinka Usher</t>
  </si>
  <si>
    <t>Mystery MenÂ </t>
  </si>
  <si>
    <t>Hall PassÂ </t>
  </si>
  <si>
    <t>The InsiderÂ </t>
  </si>
  <si>
    <t>Body of LiesÂ </t>
  </si>
  <si>
    <t>Abraham Lincoln: Vampire HunterÂ </t>
  </si>
  <si>
    <t>EntrapmentÂ </t>
  </si>
  <si>
    <t>Rob Bowman</t>
  </si>
  <si>
    <t>The X FilesÂ </t>
  </si>
  <si>
    <t>Doug Lefler</t>
  </si>
  <si>
    <t>The Last LegionÂ </t>
  </si>
  <si>
    <t>Saving Private RyanÂ </t>
  </si>
  <si>
    <t>Scott Waugh</t>
  </si>
  <si>
    <t>Need for SpeedÂ </t>
  </si>
  <si>
    <t>What Women WantÂ </t>
  </si>
  <si>
    <t>Ice AgeÂ </t>
  </si>
  <si>
    <t>Lawrence Kasdan</t>
  </si>
  <si>
    <t>DreamcatcherÂ </t>
  </si>
  <si>
    <t>LincolnÂ </t>
  </si>
  <si>
    <t>The MatrixÂ </t>
  </si>
  <si>
    <t>Apollo 13Â </t>
  </si>
  <si>
    <t>Michael Lembeck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</si>
  <si>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</si>
  <si>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</si>
  <si>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</si>
  <si>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</si>
  <si>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</si>
  <si>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</si>
  <si>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The Mask of ZorroÂ </t>
  </si>
  <si>
    <t>Due DateÂ </t>
  </si>
  <si>
    <t>Angelina Jolie Pitt</t>
  </si>
  <si>
    <t>UnbrokenÂ </t>
  </si>
  <si>
    <t>Clint Eastwood</t>
  </si>
  <si>
    <t>Space CowboysÂ </t>
  </si>
  <si>
    <t>CliffhangerÂ </t>
  </si>
  <si>
    <t>Broken ArrowÂ </t>
  </si>
  <si>
    <t>The KidÂ </t>
  </si>
  <si>
    <t>World Trade CenterÂ </t>
  </si>
  <si>
    <t>Mona Lisa SmileÂ </t>
  </si>
  <si>
    <t>Larry Charles</t>
  </si>
  <si>
    <t>The DictatorÂ </t>
  </si>
  <si>
    <t>Stanley Kubrick</t>
  </si>
  <si>
    <t>Eyes Wide ShutÂ </t>
  </si>
  <si>
    <t>Will Gluck</t>
  </si>
  <si>
    <t>AnnieÂ </t>
  </si>
  <si>
    <t>Glenn Ficarra</t>
  </si>
  <si>
    <t>FocusÂ </t>
  </si>
  <si>
    <t>This Means WarÂ </t>
  </si>
  <si>
    <t>David S. Goyer</t>
  </si>
  <si>
    <t>Blade: TrinityÂ </t>
  </si>
  <si>
    <t>Primary ColorsÂ </t>
  </si>
  <si>
    <t>Resident Evil: RetributionÂ </t>
  </si>
  <si>
    <t>Death RaceÂ </t>
  </si>
  <si>
    <t>The Long Kiss GoodnightÂ </t>
  </si>
  <si>
    <t>Taylor Hackford</t>
  </si>
  <si>
    <t>Proof of LifeÂ </t>
  </si>
  <si>
    <t>Zathura: A Space AdventureÂ </t>
  </si>
  <si>
    <t>Fight ClubÂ </t>
  </si>
  <si>
    <t>We Are MarshallÂ </t>
  </si>
  <si>
    <t>Michael Lehmann</t>
  </si>
  <si>
    <t>Hudson HawkÂ </t>
  </si>
  <si>
    <t>Lucky NumbersÂ </t>
  </si>
  <si>
    <t>Stuart Beattie</t>
  </si>
  <si>
    <t>I, FrankensteinÂ </t>
  </si>
  <si>
    <t>Roman Polanski</t>
  </si>
  <si>
    <t>Oliver TwistÂ </t>
  </si>
  <si>
    <t>ElektraÂ </t>
  </si>
  <si>
    <t>Frank Miller</t>
  </si>
  <si>
    <t>Sin City: A Dame to Kill ForÂ </t>
  </si>
  <si>
    <t>Random HeartsÂ </t>
  </si>
  <si>
    <t>Baltasar KormÃ¡kur</t>
  </si>
  <si>
    <t>EverestÂ </t>
  </si>
  <si>
    <t>Perfume: The Story of a MurdererÂ </t>
  </si>
  <si>
    <t>Austin Powers in GoldmemberÂ </t>
  </si>
  <si>
    <t>Astro BoyÂ </t>
  </si>
  <si>
    <t>Hong Kong</t>
  </si>
  <si>
    <t>Jurassic ParkÂ </t>
  </si>
  <si>
    <t>Wyatt EarpÂ </t>
  </si>
  <si>
    <t>Clear and Present DangerÂ </t>
  </si>
  <si>
    <t>Daniel Lee</t>
  </si>
  <si>
    <t>Dragon BladeÂ </t>
  </si>
  <si>
    <t>Keenen Ivory Wayans</t>
  </si>
  <si>
    <t>LittlemanÂ </t>
  </si>
  <si>
    <t>U-571Â </t>
  </si>
  <si>
    <t>Rob Reiner</t>
  </si>
  <si>
    <t>The American PresidentÂ </t>
  </si>
  <si>
    <t>Marco Schnabel</t>
  </si>
  <si>
    <t>The Love GuruÂ </t>
  </si>
  <si>
    <t>Demian Lichtenstein</t>
  </si>
  <si>
    <t>3000 Miles to GracelandÂ </t>
  </si>
  <si>
    <t>The Hateful EightÂ </t>
  </si>
  <si>
    <t>Josh Gordon</t>
  </si>
  <si>
    <t>Blades of GloryÂ </t>
  </si>
  <si>
    <t>Tim Hill</t>
  </si>
  <si>
    <t>HopÂ </t>
  </si>
  <si>
    <t>300Â </t>
  </si>
  <si>
    <t>Meet the FockersÂ </t>
  </si>
  <si>
    <t>David Frankel</t>
  </si>
  <si>
    <t>Marley &amp; MeÂ </t>
  </si>
  <si>
    <t>The Green MileÂ </t>
  </si>
  <si>
    <t>Chicken LittleÂ </t>
  </si>
  <si>
    <t>Gone GirlÂ </t>
  </si>
  <si>
    <t>The Bourne IdentityÂ </t>
  </si>
  <si>
    <t>GoldenEyeÂ </t>
  </si>
  <si>
    <t>The General's DaughterÂ </t>
  </si>
  <si>
    <t>The Truman ShowÂ </t>
  </si>
  <si>
    <t>Brenda Chapman</t>
  </si>
  <si>
    <t>The Prince of EgyptÂ </t>
  </si>
  <si>
    <t>Daddy Day CareÂ </t>
  </si>
  <si>
    <t>2 GunsÂ </t>
  </si>
  <si>
    <t>Cats &amp; DogsÂ </t>
  </si>
  <si>
    <t>The Italian JobÂ </t>
  </si>
  <si>
    <t>Marc Lawrence</t>
  </si>
  <si>
    <t>Two Weeks NoticeÂ </t>
  </si>
  <si>
    <t>AntzÂ </t>
  </si>
  <si>
    <t>Peter Billingsley</t>
  </si>
  <si>
    <t>Couples RetreatÂ </t>
  </si>
  <si>
    <t>Days of ThunderÂ </t>
  </si>
  <si>
    <t>Cheaper by the Dozen 2Â </t>
  </si>
  <si>
    <t>Wes Ball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</si>
  <si>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</si>
  <si>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</si>
  <si>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</si>
  <si>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</si>
  <si>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</si>
  <si>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</si>
  <si>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</si>
  <si>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The Horse WhispererÂ </t>
  </si>
  <si>
    <t>CollateralÂ </t>
  </si>
  <si>
    <t>The Scorpion KingÂ </t>
  </si>
  <si>
    <t>Jay Russell</t>
  </si>
  <si>
    <t>Ladder 49Â </t>
  </si>
  <si>
    <t>Jack ReacherÂ </t>
  </si>
  <si>
    <t>Deep Blue SeaÂ </t>
  </si>
  <si>
    <t>Kenny Ortega</t>
  </si>
  <si>
    <t>This Is ItÂ </t>
  </si>
  <si>
    <t>ContagionÂ </t>
  </si>
  <si>
    <t>David McNally</t>
  </si>
  <si>
    <t>Kangaroo JackÂ </t>
  </si>
  <si>
    <t>CoralineÂ </t>
  </si>
  <si>
    <t>The HappeningÂ </t>
  </si>
  <si>
    <t>Man on FireÂ </t>
  </si>
  <si>
    <t>Brian Robbins</t>
  </si>
  <si>
    <t>The Shaggy DogÂ </t>
  </si>
  <si>
    <t>Starsky &amp; HutchÂ </t>
  </si>
  <si>
    <t>Brian Levant</t>
  </si>
  <si>
    <t>Jingle All the WayÂ </t>
  </si>
  <si>
    <t>HellboyÂ </t>
  </si>
  <si>
    <t>Steven Zaillian</t>
  </si>
  <si>
    <t>A Civil ActionÂ </t>
  </si>
  <si>
    <t>Chris Butler</t>
  </si>
  <si>
    <t>ParaNormanÂ </t>
  </si>
  <si>
    <t>The JackalÂ </t>
  </si>
  <si>
    <t>PaycheckÂ </t>
  </si>
  <si>
    <t>Jon Avnet</t>
  </si>
  <si>
    <t>Up Close &amp; PersonalÂ </t>
  </si>
  <si>
    <t>Sam Fell</t>
  </si>
  <si>
    <t>The Tale of DespereauxÂ </t>
  </si>
  <si>
    <t>Kevin Donovan</t>
  </si>
  <si>
    <t>The TuxedoÂ </t>
  </si>
  <si>
    <t>Geoff Murphy</t>
  </si>
  <si>
    <t>Under Siege 2: Dark TerritoryÂ </t>
  </si>
  <si>
    <t>Jack Ryan: Shadow RecruitÂ </t>
  </si>
  <si>
    <t>David O. Russell</t>
  </si>
  <si>
    <t>JoyÂ </t>
  </si>
  <si>
    <t>Babak Najafi</t>
  </si>
  <si>
    <t>London Has FallenÂ </t>
  </si>
  <si>
    <t>Jean-Pierre Jeunet</t>
  </si>
  <si>
    <t>Alien: ResurrectionÂ </t>
  </si>
  <si>
    <t>ShooterÂ </t>
  </si>
  <si>
    <t>Graham Annable</t>
  </si>
  <si>
    <t>The BoxtrollsÂ </t>
  </si>
  <si>
    <t>Griffin Dunne</t>
  </si>
  <si>
    <t>Practical MagicÂ </t>
  </si>
  <si>
    <t>The Lego MovieÂ </t>
  </si>
  <si>
    <t>John Pasquin</t>
  </si>
  <si>
    <t>Miss Congeniality 2: Armed and FabulousÂ </t>
  </si>
  <si>
    <t>Reign of FireÂ </t>
  </si>
  <si>
    <t>Ruben Fleischer</t>
  </si>
  <si>
    <t>Gangster SquadÂ </t>
  </si>
  <si>
    <t>Harold Ramis</t>
  </si>
  <si>
    <t>Year OneÂ </t>
  </si>
  <si>
    <t>InvictusÂ </t>
  </si>
  <si>
    <t>DuplicityÂ </t>
  </si>
  <si>
    <t>Donald Petrie</t>
  </si>
  <si>
    <t>My Favorite MartianÂ </t>
  </si>
  <si>
    <t>The SentinelÂ </t>
  </si>
  <si>
    <t>Jorge Blanco</t>
  </si>
  <si>
    <t>Planet 51Â </t>
  </si>
  <si>
    <t>Stuart Baird</t>
  </si>
  <si>
    <t>Star Trek: NemesisÂ </t>
  </si>
  <si>
    <t>Joel Coen</t>
  </si>
  <si>
    <t>Intolerable CrueltyÂ </t>
  </si>
  <si>
    <t>Edge of DarknessÂ </t>
  </si>
  <si>
    <t>The RelicÂ </t>
  </si>
  <si>
    <t>Analyze ThatÂ </t>
  </si>
  <si>
    <t>Righteous KillÂ </t>
  </si>
  <si>
    <t>Harold Becker</t>
  </si>
  <si>
    <t>Mercury RisingÂ </t>
  </si>
  <si>
    <t>The SoloistÂ </t>
  </si>
  <si>
    <t>The Legend of Bagger VanceÂ </t>
  </si>
  <si>
    <t>Almost FamousÂ </t>
  </si>
  <si>
    <t>xXx: State of the UnionÂ </t>
  </si>
  <si>
    <t>Scott Stewart</t>
  </si>
  <si>
    <t>PriestÂ </t>
  </si>
  <si>
    <t>Patrick Gilmore</t>
  </si>
  <si>
    <t>Sinbad: Legend of the Seven SeasÂ </t>
  </si>
  <si>
    <t>Event HorizonÂ </t>
  </si>
  <si>
    <t>DragonflyÂ </t>
  </si>
  <si>
    <t>The Black DahliaÂ </t>
  </si>
  <si>
    <t>Tony Bill</t>
  </si>
  <si>
    <t>FlyboysÂ </t>
  </si>
  <si>
    <t>Rod Lurie</t>
  </si>
  <si>
    <t>The Last CastleÂ </t>
  </si>
  <si>
    <t>Walter Hill</t>
  </si>
  <si>
    <t>SupernovaÂ </t>
  </si>
  <si>
    <t>Akiva Goldsman</t>
  </si>
  <si>
    <t>Winter's TaleÂ </t>
  </si>
  <si>
    <t>Harald Zwart</t>
  </si>
  <si>
    <t>The Mortal Instruments: City of BonesÂ </t>
  </si>
  <si>
    <t>Meet DaveÂ </t>
  </si>
  <si>
    <t>Walter Salles</t>
  </si>
  <si>
    <t>Dark WaterÂ </t>
  </si>
  <si>
    <t>EdtvÂ </t>
  </si>
  <si>
    <t>Iain Softley</t>
  </si>
  <si>
    <t>InkheartÂ </t>
  </si>
  <si>
    <t>The SpiritÂ </t>
  </si>
  <si>
    <t>David Koepp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</si>
  <si>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</si>
  <si>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</si>
  <si>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</si>
  <si>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</si>
  <si>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</si>
  <si>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</si>
  <si>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</si>
  <si>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</si>
  <si>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DeadpoolÂ </t>
  </si>
  <si>
    <t>Stephen Herek</t>
  </si>
  <si>
    <t>Holy ManÂ </t>
  </si>
  <si>
    <t>American SniperÂ </t>
  </si>
  <si>
    <t>GoosebumpsÂ </t>
  </si>
  <si>
    <t>Just Like HeavenÂ </t>
  </si>
  <si>
    <t>The Flintstones in Viva Rock VegasÂ </t>
  </si>
  <si>
    <t>Peter MacDonald</t>
  </si>
  <si>
    <t>Rambo IIIÂ 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</si>
  <si>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</si>
  <si>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</si>
  <si>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</si>
  <si>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</si>
  <si>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</si>
  <si>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</si>
  <si>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</si>
  <si>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</si>
  <si>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</si>
  <si>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</si>
  <si>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After the SunsetÂ </t>
  </si>
  <si>
    <t>Mark Neveldine</t>
  </si>
  <si>
    <t>Ghost Rider: Spirit of VengeanceÂ </t>
  </si>
  <si>
    <t>John Madden</t>
  </si>
  <si>
    <t>Captain Corelli's MandolinÂ </t>
  </si>
  <si>
    <t>The PacifierÂ </t>
  </si>
  <si>
    <t>Kevin Bray</t>
  </si>
  <si>
    <t>Walking TallÂ </t>
  </si>
  <si>
    <t>Forrest GumpÂ </t>
  </si>
  <si>
    <t>Alvin and the ChipmunksÂ </t>
  </si>
  <si>
    <t>Meet the ParentsÂ </t>
  </si>
  <si>
    <t>Mike Gabriel</t>
  </si>
  <si>
    <t>PocahontasÂ </t>
  </si>
  <si>
    <t>SupermanÂ </t>
  </si>
  <si>
    <t>The Nutty ProfessorÂ </t>
  </si>
  <si>
    <t>HitchÂ </t>
  </si>
  <si>
    <t>Sam Weisman</t>
  </si>
  <si>
    <t>George of the JungleÂ </t>
  </si>
  <si>
    <t>Jesse Dylan</t>
  </si>
  <si>
    <t>American WeddingÂ </t>
  </si>
  <si>
    <t>Captain PhillipsÂ </t>
  </si>
  <si>
    <t>Date NightÂ 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</si>
  <si>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</si>
  <si>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</si>
  <si>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</si>
  <si>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</si>
  <si>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</si>
  <si>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</si>
  <si>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</si>
  <si>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FlightplanÂ </t>
  </si>
  <si>
    <t>DisclosureÂ </t>
  </si>
  <si>
    <t>City of AngelsÂ 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</si>
  <si>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</si>
  <si>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</si>
  <si>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</si>
  <si>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</si>
  <si>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</si>
  <si>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</si>
  <si>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Shanghai NoonÂ </t>
  </si>
  <si>
    <t>Executive DecisionÂ </t>
  </si>
  <si>
    <t>Mr. Popper's PenguinsÂ </t>
  </si>
  <si>
    <t>The Forbidden KingdomÂ </t>
  </si>
  <si>
    <t>Jimmy Hayward</t>
  </si>
  <si>
    <t>Free BirdsÂ </t>
  </si>
  <si>
    <t>Alien 3Â </t>
  </si>
  <si>
    <t>Alan Parker</t>
  </si>
  <si>
    <t>EvitaÂ </t>
  </si>
  <si>
    <t>John Frankenheimer</t>
  </si>
  <si>
    <t>RoninÂ </t>
  </si>
  <si>
    <t>The Ghost and the DarknessÂ </t>
  </si>
  <si>
    <t>Paul King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</si>
  <si>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</si>
  <si>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</si>
  <si>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</si>
  <si>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</si>
  <si>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</si>
  <si>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</si>
  <si>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</si>
  <si>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</si>
  <si>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</si>
  <si>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</si>
  <si>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</si>
  <si>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</si>
  <si>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</si>
  <si>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The FanÂ </t>
  </si>
  <si>
    <t>The Phantom of the OperaÂ </t>
  </si>
  <si>
    <t>Shekhar Kapur</t>
  </si>
  <si>
    <t>Elizabeth: The Golden AgeÂ </t>
  </si>
  <si>
    <t>Karyn Kusama</t>
  </si>
  <si>
    <t>Ã†on FluxÂ </t>
  </si>
  <si>
    <t>Ron Maxwell</t>
  </si>
  <si>
    <t>Gods and GeneralsÂ </t>
  </si>
  <si>
    <t>Robert Butler</t>
  </si>
  <si>
    <t>TurbulenceÂ </t>
  </si>
  <si>
    <t>Karey Kirkpatrick</t>
  </si>
  <si>
    <t>Imagine ThatÂ </t>
  </si>
  <si>
    <t>Muppets Most WantedÂ </t>
  </si>
  <si>
    <t>ThunderbirdsÂ </t>
  </si>
  <si>
    <t>Steve Antin</t>
  </si>
  <si>
    <t>BurlesqueÂ </t>
  </si>
  <si>
    <t>A Very Long EngagementÂ 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</si>
  <si>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</si>
  <si>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</si>
  <si>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</si>
  <si>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</si>
  <si>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</si>
  <si>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</si>
  <si>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You, Me and DupreeÂ </t>
  </si>
  <si>
    <t>Richard Lester</t>
  </si>
  <si>
    <t>Superman IIÂ </t>
  </si>
  <si>
    <t>GigliÂ </t>
  </si>
  <si>
    <t>All the King's MenÂ </t>
  </si>
  <si>
    <t>ShaftÂ 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</si>
  <si>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</si>
  <si>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</si>
  <si>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</si>
  <si>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</si>
  <si>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</si>
  <si>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</si>
  <si>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</si>
  <si>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</si>
  <si>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GrindhouseÂ </t>
  </si>
  <si>
    <t>BelovedÂ </t>
  </si>
  <si>
    <t>Curtis Hanson</t>
  </si>
  <si>
    <t>Lucky YouÂ </t>
  </si>
  <si>
    <t>Catch Me If You CanÂ </t>
  </si>
  <si>
    <t>Zero Dark ThirtyÂ </t>
  </si>
  <si>
    <t>The Break-UpÂ </t>
  </si>
  <si>
    <t>Phyllida Lloyd</t>
  </si>
  <si>
    <t>Mamma Mia!Â </t>
  </si>
  <si>
    <t>Valentine's DayÂ </t>
  </si>
  <si>
    <t>Jay Chandrasekhar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</si>
  <si>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</si>
  <si>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</si>
  <si>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</si>
  <si>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</si>
  <si>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</si>
  <si>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</si>
  <si>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Man on the MoonÂ </t>
  </si>
  <si>
    <t>CasinoÂ </t>
  </si>
  <si>
    <t>Pierre Morel</t>
  </si>
  <si>
    <t>From Paris with LoveÂ </t>
  </si>
  <si>
    <t>Paul Hunter</t>
  </si>
  <si>
    <t>Bulletproof MonkÂ </t>
  </si>
  <si>
    <t>Me, Myself &amp; IreneÂ </t>
  </si>
  <si>
    <t>Steve Oedekerk</t>
  </si>
  <si>
    <t>BarnyardÂ </t>
  </si>
  <si>
    <t>The Twilight Saga: New MoonÂ </t>
  </si>
  <si>
    <t>ShrekÂ </t>
  </si>
  <si>
    <t>George Nolfi</t>
  </si>
  <si>
    <t>The Adjustment BureauÂ </t>
  </si>
  <si>
    <t>Robin Hood: Prince of ThievesÂ </t>
  </si>
  <si>
    <t>Jerry MaguireÂ </t>
  </si>
  <si>
    <t>TedÂ </t>
  </si>
  <si>
    <t>As Good as It GetsÂ </t>
  </si>
  <si>
    <t>Patch AdamsÂ </t>
  </si>
  <si>
    <t>Anchorman 2: The Legend ContinuesÂ </t>
  </si>
  <si>
    <t>Mr. DeedsÂ </t>
  </si>
  <si>
    <t>Super 8Â </t>
  </si>
  <si>
    <t>Erin BrockovichÂ </t>
  </si>
  <si>
    <t>How to Lose a Guy in 10 DaysÂ </t>
  </si>
  <si>
    <t>22 Jump StreetÂ </t>
  </si>
  <si>
    <t>Neil Jordan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</si>
  <si>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</si>
  <si>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</si>
  <si>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</si>
  <si>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</si>
  <si>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</si>
  <si>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</si>
  <si>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Into the WoodsÂ </t>
  </si>
  <si>
    <t>Spike Lee</t>
  </si>
  <si>
    <t>Inside ManÂ </t>
  </si>
  <si>
    <t>Brian Helgeland</t>
  </si>
  <si>
    <t>PaybackÂ </t>
  </si>
  <si>
    <t>Frank Marshall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</si>
  <si>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</si>
  <si>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</si>
  <si>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</si>
  <si>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</si>
  <si>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</si>
  <si>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</si>
  <si>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</si>
  <si>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</si>
  <si>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</si>
  <si>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</si>
  <si>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</si>
  <si>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</si>
  <si>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</si>
  <si>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</si>
  <si>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Race to Witch MountainÂ </t>
  </si>
  <si>
    <t>James McTeigue</t>
  </si>
  <si>
    <t>V for VendettaÂ </t>
  </si>
  <si>
    <t>Shanghai KnightsÂ </t>
  </si>
  <si>
    <t>Matthew O'Callaghan</t>
  </si>
  <si>
    <t>Curious GeorgeÂ </t>
  </si>
  <si>
    <t>Angela Robinson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</si>
  <si>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</si>
  <si>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</si>
  <si>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</si>
  <si>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</si>
  <si>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</si>
  <si>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</si>
  <si>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UnfaithfulÂ 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</si>
  <si>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</si>
  <si>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</si>
  <si>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</si>
  <si>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</si>
  <si>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</si>
  <si>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</si>
  <si>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</si>
  <si>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</si>
  <si>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</si>
  <si>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G.I. JaneÂ </t>
  </si>
  <si>
    <t>The GameÂ </t>
  </si>
  <si>
    <t>Christophe Gans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</si>
  <si>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</si>
  <si>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</si>
  <si>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</si>
  <si>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</si>
  <si>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</si>
  <si>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</si>
  <si>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</si>
  <si>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Into the StormÂ </t>
  </si>
  <si>
    <t>John Landis</t>
  </si>
  <si>
    <t>Beverly Hills Cop IIIÂ </t>
  </si>
  <si>
    <t>Gremlins 2: The New BatchÂ </t>
  </si>
  <si>
    <t>The JudgeÂ 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</si>
  <si>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</si>
  <si>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</si>
  <si>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</si>
  <si>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</si>
  <si>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</si>
  <si>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</si>
  <si>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Out of TimeÂ </t>
  </si>
  <si>
    <t>Steven Seagal</t>
  </si>
  <si>
    <t>On Deadly GroundÂ </t>
  </si>
  <si>
    <t>The Adventures of Sharkboy and Lavagirl 3-DÂ </t>
  </si>
  <si>
    <t>Danny Boyle</t>
  </si>
  <si>
    <t>The BeachÂ </t>
  </si>
  <si>
    <t>Raising HelenÂ </t>
  </si>
  <si>
    <t>Ninja AssassinÂ </t>
  </si>
  <si>
    <t>For Love of the GameÂ </t>
  </si>
  <si>
    <t>Andrew Bergman</t>
  </si>
  <si>
    <t>StripteaseÂ </t>
  </si>
  <si>
    <t>MarmadukeÂ </t>
  </si>
  <si>
    <t>HereafterÂ </t>
  </si>
  <si>
    <t>Barbet Schroeder</t>
  </si>
  <si>
    <t>Murder by NumbersÂ </t>
  </si>
  <si>
    <t>AssassinsÂ </t>
  </si>
  <si>
    <t>Peter Webber</t>
  </si>
  <si>
    <t>Hannibal RisingÂ </t>
  </si>
  <si>
    <t>The Story of UsÂ </t>
  </si>
  <si>
    <t>Andrew Niccol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</si>
  <si>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</si>
  <si>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</si>
  <si>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</si>
  <si>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</si>
  <si>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</si>
  <si>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</si>
  <si>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</si>
  <si>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</si>
  <si>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The Life Aquatic with Steve ZissouÂ </t>
  </si>
  <si>
    <t>Free State of JonesÂ </t>
  </si>
  <si>
    <t>The Life of David GaleÂ 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</si>
  <si>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</si>
  <si>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</si>
  <si>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</si>
  <si>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</si>
  <si>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</si>
  <si>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</si>
  <si>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The Messenger: The Story of Joan of ArcÂ </t>
  </si>
  <si>
    <t>David Gordon Green</t>
  </si>
  <si>
    <t>Your HighnessÂ </t>
  </si>
  <si>
    <t>Jim Sheridan</t>
  </si>
  <si>
    <t>Dream HouseÂ </t>
  </si>
  <si>
    <t>Costa-Gavras</t>
  </si>
  <si>
    <t>Mad CityÂ </t>
  </si>
  <si>
    <t>Patrick Read Johnson</t>
  </si>
  <si>
    <t>Baby's Day OutÂ </t>
  </si>
  <si>
    <t>Roland JoffÃ©</t>
  </si>
  <si>
    <t>The Scarlet LetterÂ </t>
  </si>
  <si>
    <t>Fair GameÂ </t>
  </si>
  <si>
    <t>DominoÂ </t>
  </si>
  <si>
    <t>JadeÂ </t>
  </si>
  <si>
    <t>GamerÂ </t>
  </si>
  <si>
    <t>Richard LaGravenese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</si>
  <si>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</si>
  <si>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</si>
  <si>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</si>
  <si>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</si>
  <si>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</si>
  <si>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</si>
  <si>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What Planet Are You From?Â </t>
  </si>
  <si>
    <t>Patrick Lussier</t>
  </si>
  <si>
    <t>Drive AngryÂ </t>
  </si>
  <si>
    <t>Street Fighter: The Legend of Chun-LiÂ </t>
  </si>
  <si>
    <t>James Wong</t>
  </si>
  <si>
    <t>The OneÂ </t>
  </si>
  <si>
    <t>The Adventures of Ford FairlaneÂ </t>
  </si>
  <si>
    <t>TrafficÂ </t>
  </si>
  <si>
    <t>Indiana Jones and the Last CrusadeÂ </t>
  </si>
  <si>
    <t>ChappieÂ </t>
  </si>
  <si>
    <t>The Bone CollectorÂ </t>
  </si>
  <si>
    <t>Panic RoomÂ </t>
  </si>
  <si>
    <t>Three KingsÂ </t>
  </si>
  <si>
    <t>Child 44Â </t>
  </si>
  <si>
    <t>Czech Republic</t>
  </si>
  <si>
    <t>Rat RaceÂ </t>
  </si>
  <si>
    <t>K-PAXÂ </t>
  </si>
  <si>
    <t>Kate &amp; LeopoldÂ </t>
  </si>
  <si>
    <t>BedazzledÂ </t>
  </si>
  <si>
    <t>The Cotton ClubÂ </t>
  </si>
  <si>
    <t>3:10 to YumaÂ </t>
  </si>
  <si>
    <t>Olivier Megaton</t>
  </si>
  <si>
    <t>Taken 3Â </t>
  </si>
  <si>
    <t>Out of SightÂ </t>
  </si>
  <si>
    <t>The Cable GuyÂ </t>
  </si>
  <si>
    <t>Warren Beatty</t>
  </si>
  <si>
    <t>Dick TracyÂ </t>
  </si>
  <si>
    <t>The Thomas Crown AffairÂ </t>
  </si>
  <si>
    <t>Penny Marshall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</si>
  <si>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</si>
  <si>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</si>
  <si>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</si>
  <si>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</si>
  <si>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</si>
  <si>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</si>
  <si>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</si>
  <si>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</si>
  <si>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</si>
  <si>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Star Trek: First ContactÂ </t>
  </si>
  <si>
    <t>Jonah HexÂ </t>
  </si>
  <si>
    <t>Courage Under FireÂ </t>
  </si>
  <si>
    <t>Liar LiarÂ </t>
  </si>
  <si>
    <t>Brad Furman</t>
  </si>
  <si>
    <t>The InfiltratorÂ </t>
  </si>
  <si>
    <t>The FlintstonesÂ </t>
  </si>
  <si>
    <t>Taken 2Â </t>
  </si>
  <si>
    <t>David Zucker</t>
  </si>
  <si>
    <t>Scary Movie 3Â </t>
  </si>
  <si>
    <t>Miss CongenialityÂ </t>
  </si>
  <si>
    <t>Journey to the Center of the EarthÂ </t>
  </si>
  <si>
    <t>The Princess Diaries 2: Royal EngagementÂ </t>
  </si>
  <si>
    <t>The Pelican BriefÂ 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</si>
  <si>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</si>
  <si>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</si>
  <si>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</si>
  <si>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</si>
  <si>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</si>
  <si>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</si>
  <si>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</si>
  <si>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</si>
  <si>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Scary Movie 2Â </t>
  </si>
  <si>
    <t>The MuppetsÂ </t>
  </si>
  <si>
    <t>BladeÂ </t>
  </si>
  <si>
    <t>Thomas Carter</t>
  </si>
  <si>
    <t>Coach CarterÂ </t>
  </si>
  <si>
    <t>Roger Michell</t>
  </si>
  <si>
    <t>Changing LanesÂ </t>
  </si>
  <si>
    <t>Luis Llosa</t>
  </si>
  <si>
    <t>AnacondaÂ </t>
  </si>
  <si>
    <t>Coyote UglyÂ </t>
  </si>
  <si>
    <t>Richard Curtis</t>
  </si>
  <si>
    <t>Love ActuallyÂ </t>
  </si>
  <si>
    <t>A Bug's LifeÂ </t>
  </si>
  <si>
    <t>From HellÂ </t>
  </si>
  <si>
    <t>The SpecialistÂ </t>
  </si>
  <si>
    <t>Peru</t>
  </si>
  <si>
    <t>Tin CupÂ </t>
  </si>
  <si>
    <t>Kicking &amp; ScreamingÂ </t>
  </si>
  <si>
    <t>Garth Jennings</t>
  </si>
  <si>
    <t>The Hitchhiker's Guide to the GalaxyÂ </t>
  </si>
  <si>
    <t>Joel Zwick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</si>
  <si>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</si>
  <si>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</si>
  <si>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</si>
  <si>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</si>
  <si>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</si>
  <si>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</si>
  <si>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The Indian in the CupboardÂ </t>
  </si>
  <si>
    <t>SavagesÂ </t>
  </si>
  <si>
    <t>David R. Ellis</t>
  </si>
  <si>
    <t>CellularÂ </t>
  </si>
  <si>
    <t>Peter Howitt</t>
  </si>
  <si>
    <t>Johnny EnglishÂ </t>
  </si>
  <si>
    <t>John A. Davis</t>
  </si>
  <si>
    <t>The Ant BullyÂ </t>
  </si>
  <si>
    <t>David Lynch</t>
  </si>
  <si>
    <t>DuneÂ </t>
  </si>
  <si>
    <t>Julie Taymor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</si>
  <si>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</si>
  <si>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</si>
  <si>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</si>
  <si>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</si>
  <si>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</si>
  <si>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</si>
  <si>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The Glimmer ManÂ </t>
  </si>
  <si>
    <t>MultiplicityÂ </t>
  </si>
  <si>
    <t>John Schultz</t>
  </si>
  <si>
    <t>Aliens in the AtticÂ </t>
  </si>
  <si>
    <t>Sean Penn</t>
  </si>
  <si>
    <t>The PledgeÂ </t>
  </si>
  <si>
    <t>Susan Stroman</t>
  </si>
  <si>
    <t>The ProducersÂ </t>
  </si>
  <si>
    <t>Simon Wincer</t>
  </si>
  <si>
    <t>The PhantomÂ </t>
  </si>
  <si>
    <t>Billy Bob Thornton</t>
  </si>
  <si>
    <t>All the Pretty HorsesÂ </t>
  </si>
  <si>
    <t>NixonÂ </t>
  </si>
  <si>
    <t>The Ghost WriterÂ </t>
  </si>
  <si>
    <t>Deep RisingÂ </t>
  </si>
  <si>
    <t>Miracle at St. AnnaÂ </t>
  </si>
  <si>
    <t>Curse of the Golden FlowerÂ </t>
  </si>
  <si>
    <t>Danny Pang</t>
  </si>
  <si>
    <t>Bangkok DangerousÂ </t>
  </si>
  <si>
    <t>Big TroubleÂ </t>
  </si>
  <si>
    <t>Love in the Time of CholeraÂ </t>
  </si>
  <si>
    <t>George P. Cosmatos</t>
  </si>
  <si>
    <t>Shadow ConspiracyÂ </t>
  </si>
  <si>
    <t>Oliver Parker</t>
  </si>
  <si>
    <t>Johnny English RebornÂ </t>
  </si>
  <si>
    <t>Ben Affleck</t>
  </si>
  <si>
    <t>ArgoÂ 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</si>
  <si>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</si>
  <si>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</si>
  <si>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</si>
  <si>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</si>
  <si>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</si>
  <si>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</si>
  <si>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</si>
  <si>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PinocchioÂ </t>
  </si>
  <si>
    <t>Michael Cimino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</si>
  <si>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</si>
  <si>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</si>
  <si>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</si>
  <si>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</si>
  <si>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</si>
  <si>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</si>
  <si>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</si>
  <si>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</si>
  <si>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</si>
  <si>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The Sweetest ThingÂ </t>
  </si>
  <si>
    <t>The FirmÂ </t>
  </si>
  <si>
    <t>Burr Steers</t>
  </si>
  <si>
    <t>Charlie St. CloudÂ </t>
  </si>
  <si>
    <t>The MechanicÂ </t>
  </si>
  <si>
    <t>21 Jump StreetÂ </t>
  </si>
  <si>
    <t>Notting HillÂ </t>
  </si>
  <si>
    <t>Chicken RunÂ </t>
  </si>
  <si>
    <t>John Hamburg</t>
  </si>
  <si>
    <t>Along Came PollyÂ </t>
  </si>
  <si>
    <t>Reginald Hudlin</t>
  </si>
  <si>
    <t>BoomerangÂ </t>
  </si>
  <si>
    <t>The HeatÂ </t>
  </si>
  <si>
    <t>Joseph L. Mankiewicz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</si>
  <si>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</si>
  <si>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</si>
  <si>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</si>
  <si>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</si>
  <si>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</si>
  <si>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</si>
  <si>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The Mothman PropheciesÂ </t>
  </si>
  <si>
    <t>BrÃ¼noÂ </t>
  </si>
  <si>
    <t>John Glen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</si>
  <si>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</si>
  <si>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</si>
  <si>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</si>
  <si>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</si>
  <si>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</si>
  <si>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</si>
  <si>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</si>
  <si>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</si>
  <si>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</si>
  <si>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</si>
  <si>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One for the MoneyÂ </t>
  </si>
  <si>
    <t>Evan Goldberg</t>
  </si>
  <si>
    <t>The InterviewÂ </t>
  </si>
  <si>
    <t>Sngmoo Lee</t>
  </si>
  <si>
    <t>The Warrior's WayÂ </t>
  </si>
  <si>
    <t>MicmacsÂ </t>
  </si>
  <si>
    <t>8 MileÂ </t>
  </si>
  <si>
    <t>A Knight's TaleÂ </t>
  </si>
  <si>
    <t>Gordon Chan</t>
  </si>
  <si>
    <t>The MedallionÂ </t>
  </si>
  <si>
    <t>The Sixth SenseÂ </t>
  </si>
  <si>
    <t>Asger Leth</t>
  </si>
  <si>
    <t>Man on a LedgeÂ </t>
  </si>
  <si>
    <t>The Big YearÂ </t>
  </si>
  <si>
    <t>John G. Avildsen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</si>
  <si>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</si>
  <si>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</si>
  <si>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</si>
  <si>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</si>
  <si>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</si>
  <si>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</si>
  <si>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</si>
  <si>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</si>
  <si>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</si>
  <si>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</si>
  <si>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</si>
  <si>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</si>
  <si>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Cheaper by the DozenÂ </t>
  </si>
  <si>
    <t>Lone SurvivorÂ </t>
  </si>
  <si>
    <t>A League of Their OwnÂ </t>
  </si>
  <si>
    <t>The Conjuring 2Â </t>
  </si>
  <si>
    <t>The Social NetworkÂ </t>
  </si>
  <si>
    <t>Ken Kwapis</t>
  </si>
  <si>
    <t>He's Just Not That Into YouÂ </t>
  </si>
  <si>
    <t>Scary Movie 4Â </t>
  </si>
  <si>
    <t>Wes Craven</t>
  </si>
  <si>
    <t>Scream 3Â </t>
  </si>
  <si>
    <t>Back to the Future Part IIIÂ </t>
  </si>
  <si>
    <t>Etan Cohen</t>
  </si>
  <si>
    <t>Get HardÂ </t>
  </si>
  <si>
    <t>Bram Stoker's DraculaÂ 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</si>
  <si>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</si>
  <si>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</si>
  <si>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</si>
  <si>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</si>
  <si>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</si>
  <si>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</si>
  <si>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Ride Along 2Â </t>
  </si>
  <si>
    <t>The Last of the MohicansÂ </t>
  </si>
  <si>
    <t>RayÂ </t>
  </si>
  <si>
    <t>Sin CityÂ </t>
  </si>
  <si>
    <t>Vantage PointÂ </t>
  </si>
  <si>
    <t>I Love You, ManÂ </t>
  </si>
  <si>
    <t>Shallow HalÂ </t>
  </si>
  <si>
    <t>JFKÂ </t>
  </si>
  <si>
    <t>John Whitesell</t>
  </si>
  <si>
    <t>Big Momma's House 2Â </t>
  </si>
  <si>
    <t>The MexicanÂ </t>
  </si>
  <si>
    <t>17 AgainÂ </t>
  </si>
  <si>
    <t>Nick Cassavetes</t>
  </si>
  <si>
    <t>The Other WomanÂ </t>
  </si>
  <si>
    <t>Horror</t>
  </si>
  <si>
    <t>The Final DestinationÂ </t>
  </si>
  <si>
    <t>Bridge of SpiesÂ </t>
  </si>
  <si>
    <t>Behind Enemy LinesÂ </t>
  </si>
  <si>
    <t>Shall We DanceÂ </t>
  </si>
  <si>
    <t>Small SoldiersÂ </t>
  </si>
  <si>
    <t>Mark A.Z. DippÃ©</t>
  </si>
  <si>
    <t>SpawnÂ 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</si>
  <si>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</si>
  <si>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</si>
  <si>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</si>
  <si>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</si>
  <si>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</si>
  <si>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</si>
  <si>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</si>
  <si>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ApocalyptoÂ </t>
  </si>
  <si>
    <t>Maya</t>
  </si>
  <si>
    <t>The Living DaylightsÂ </t>
  </si>
  <si>
    <t>NimrÃ³d Antal</t>
  </si>
  <si>
    <t>PredatorsÂ </t>
  </si>
  <si>
    <t>Legal EaglesÂ </t>
  </si>
  <si>
    <t>Secret WindowÂ </t>
  </si>
  <si>
    <t>Alejandro Agresti</t>
  </si>
  <si>
    <t>The Lake HouseÂ </t>
  </si>
  <si>
    <t>The Skeleton KeyÂ </t>
  </si>
  <si>
    <t>Peter Hedges</t>
  </si>
  <si>
    <t>The Odd Life of Timothy GreenÂ </t>
  </si>
  <si>
    <t>Paul Weiland</t>
  </si>
  <si>
    <t>Made of HonorÂ </t>
  </si>
  <si>
    <t>Jersey BoysÂ </t>
  </si>
  <si>
    <t>The RainmakerÂ </t>
  </si>
  <si>
    <t>GothikaÂ </t>
  </si>
  <si>
    <t>AmistadÂ </t>
  </si>
  <si>
    <t>Medicine ManÂ </t>
  </si>
  <si>
    <t>Colin Strause</t>
  </si>
  <si>
    <t>Aliens vs. Predator: RequiemÂ </t>
  </si>
  <si>
    <t>RiÂ¢hie RiÂ¢hÂ </t>
  </si>
  <si>
    <t>Joan Chen</t>
  </si>
  <si>
    <t>Autumn in New YorkÂ </t>
  </si>
  <si>
    <t>Greg Mottola</t>
  </si>
  <si>
    <t>PaulÂ </t>
  </si>
  <si>
    <t>The Guilt TripÂ </t>
  </si>
  <si>
    <t>Scream 4Â </t>
  </si>
  <si>
    <t>8MMÂ </t>
  </si>
  <si>
    <t>The DoorsÂ </t>
  </si>
  <si>
    <t>Jake Kasdan</t>
  </si>
  <si>
    <t>Sex TapeÂ </t>
  </si>
  <si>
    <t>Diane Keaton</t>
  </si>
  <si>
    <t>Hanging UpÂ </t>
  </si>
  <si>
    <t>Final Destination 5Â </t>
  </si>
  <si>
    <t>Kelly Makin</t>
  </si>
  <si>
    <t>Mickey Blue EyesÂ </t>
  </si>
  <si>
    <t>Pay It ForwardÂ </t>
  </si>
  <si>
    <t>Fever PitchÂ </t>
  </si>
  <si>
    <t>Drillbit TaylorÂ </t>
  </si>
  <si>
    <t>A Million Ways to Die in the WestÂ </t>
  </si>
  <si>
    <t>The ShadowÂ </t>
  </si>
  <si>
    <t>Stephen Daldry</t>
  </si>
  <si>
    <t>Extremely Loud &amp; Incredibly CloseÂ </t>
  </si>
  <si>
    <t>Morning GloryÂ </t>
  </si>
  <si>
    <t>Get Rich or Die Tryin'Â </t>
  </si>
  <si>
    <t>Christian Duguay</t>
  </si>
  <si>
    <t>The Art of WarÂ </t>
  </si>
  <si>
    <t>RentÂ </t>
  </si>
  <si>
    <t>Bless the ChildÂ </t>
  </si>
  <si>
    <t>The Out-of-TownersÂ </t>
  </si>
  <si>
    <t>The Island of Dr. MoreauÂ </t>
  </si>
  <si>
    <t>The MusketeerÂ </t>
  </si>
  <si>
    <t>Justin Chadwick</t>
  </si>
  <si>
    <t>The Other Boleyn GirlÂ </t>
  </si>
  <si>
    <t>Pat O'Connor</t>
  </si>
  <si>
    <t>Sweet NovemberÂ </t>
  </si>
  <si>
    <t>The ReapingÂ </t>
  </si>
  <si>
    <t>Mean StreetsÂ </t>
  </si>
  <si>
    <t>Renaissance ManÂ </t>
  </si>
  <si>
    <t>ColombianaÂ </t>
  </si>
  <si>
    <t>Frederik Du Chau</t>
  </si>
  <si>
    <t>The Magic Sword: Quest for CamelotÂ </t>
  </si>
  <si>
    <t>City by the SeaÂ </t>
  </si>
  <si>
    <t>Irwin Winkler</t>
  </si>
  <si>
    <t>At First SightÂ </t>
  </si>
  <si>
    <t>Joseph Kahn</t>
  </si>
  <si>
    <t>TorqueÂ </t>
  </si>
  <si>
    <t>City HallÂ </t>
  </si>
  <si>
    <t>ShowgirlsÂ 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</si>
  <si>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</si>
  <si>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</si>
  <si>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</si>
  <si>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</si>
  <si>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</si>
  <si>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</si>
  <si>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</si>
  <si>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</si>
  <si>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IshtarÂ </t>
  </si>
  <si>
    <t>Fantastic Mr. FoxÂ </t>
  </si>
  <si>
    <t>Life or Something Like ItÂ </t>
  </si>
  <si>
    <t>Memoirs of an Invisible ManÂ </t>
  </si>
  <si>
    <t>AmÃ©lieÂ </t>
  </si>
  <si>
    <t>Dennie Gordon</t>
  </si>
  <si>
    <t>New York MinuteÂ </t>
  </si>
  <si>
    <t>Charles Shyer</t>
  </si>
  <si>
    <t>AlfieÂ </t>
  </si>
  <si>
    <t>Big MiracleÂ </t>
  </si>
  <si>
    <t>Ulu Grosbard</t>
  </si>
  <si>
    <t>The Deep End of the OceanÂ </t>
  </si>
  <si>
    <t>William Malone</t>
  </si>
  <si>
    <t>FeardotcomÂ </t>
  </si>
  <si>
    <t>Cirque du Freak: The Vampire's AssistantÂ </t>
  </si>
  <si>
    <t>DuplexÂ </t>
  </si>
  <si>
    <t>Jerry Jameson</t>
  </si>
  <si>
    <t>Raise the TitanicÂ </t>
  </si>
  <si>
    <t>Mic Rodgers</t>
  </si>
  <si>
    <t>Universal Soldier: The ReturnÂ </t>
  </si>
  <si>
    <t>Christian Alvart</t>
  </si>
  <si>
    <t>PandorumÂ </t>
  </si>
  <si>
    <t>ImpostorÂ </t>
  </si>
  <si>
    <t>Extreme OpsÂ </t>
  </si>
  <si>
    <t>Jean-Marie PoirÃ©</t>
  </si>
  <si>
    <t>Just VisitingÂ </t>
  </si>
  <si>
    <t>SunshineÂ </t>
  </si>
  <si>
    <t>A Thousand WordsÂ </t>
  </si>
  <si>
    <t>Marc F. Adler</t>
  </si>
  <si>
    <t>DelgoÂ </t>
  </si>
  <si>
    <t>The GunmanÂ </t>
  </si>
  <si>
    <t>Geoffrey Sax</t>
  </si>
  <si>
    <t>Alex Rider: Operation StormbreakerÂ </t>
  </si>
  <si>
    <t>DisturbiaÂ </t>
  </si>
  <si>
    <t>HackersÂ </t>
  </si>
  <si>
    <t>Richard Shepard</t>
  </si>
  <si>
    <t>The Hunting PartyÂ </t>
  </si>
  <si>
    <t>The Hudsucker ProxyÂ </t>
  </si>
  <si>
    <t>Peter Ho-Sun Chan</t>
  </si>
  <si>
    <t>The WarlordsÂ </t>
  </si>
  <si>
    <t>Nomad: The WarriorÂ </t>
  </si>
  <si>
    <t>Kazakh</t>
  </si>
  <si>
    <t>Joon-ho Bong</t>
  </si>
  <si>
    <t>SnowpiercerÂ </t>
  </si>
  <si>
    <t>South Korea</t>
  </si>
  <si>
    <t>The CrowÂ </t>
  </si>
  <si>
    <t>S.S. Rajamouli</t>
  </si>
  <si>
    <t>Baahubali: The BeginningÂ </t>
  </si>
  <si>
    <t>Telugu</t>
  </si>
  <si>
    <t>India</t>
  </si>
  <si>
    <t>The Time Traveler's WifeÂ </t>
  </si>
  <si>
    <t>FrankenweenieÂ </t>
  </si>
  <si>
    <t>SerenityÂ </t>
  </si>
  <si>
    <t>Charles S. Dutton</t>
  </si>
  <si>
    <t>Against the RopesÂ </t>
  </si>
  <si>
    <t>Superman IIIÂ </t>
  </si>
  <si>
    <t>Grudge MatchÂ </t>
  </si>
  <si>
    <t>Red CliffÂ </t>
  </si>
  <si>
    <t>Sweet Home AlabamaÂ </t>
  </si>
  <si>
    <t>The Ugly TruthÂ </t>
  </si>
  <si>
    <t>Jonathan Lynn</t>
  </si>
  <si>
    <t>Sgt. BilkoÂ </t>
  </si>
  <si>
    <t>Spy Kids 2: Island of Lost DreamsÂ </t>
  </si>
  <si>
    <t>David Carson</t>
  </si>
  <si>
    <t>Star Trek: GenerationsÂ </t>
  </si>
  <si>
    <t>Kar-Wai Wong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</si>
  <si>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</si>
  <si>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</si>
  <si>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</si>
  <si>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</si>
  <si>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</si>
  <si>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</si>
  <si>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HeartbreakersÂ </t>
  </si>
  <si>
    <t>Paul Blart: Mall Cop 2Â </t>
  </si>
  <si>
    <t>Luis Mandoki</t>
  </si>
  <si>
    <t>Angel EyesÂ </t>
  </si>
  <si>
    <t>Joe SomebodyÂ </t>
  </si>
  <si>
    <t>The Ninth GateÂ </t>
  </si>
  <si>
    <t>Extreme MeasuresÂ </t>
  </si>
  <si>
    <t>Rock StarÂ </t>
  </si>
  <si>
    <t>Lee Daniels</t>
  </si>
  <si>
    <t>PreciousÂ </t>
  </si>
  <si>
    <t>White SquallÂ </t>
  </si>
  <si>
    <t>The ThingÂ </t>
  </si>
  <si>
    <t>RiddickÂ </t>
  </si>
  <si>
    <t>Jeb Stuart</t>
  </si>
  <si>
    <t>SwitchbackÂ </t>
  </si>
  <si>
    <t>Steve Miner</t>
  </si>
  <si>
    <t>Texas RangersÂ </t>
  </si>
  <si>
    <t>City of EmberÂ </t>
  </si>
  <si>
    <t>Paul Thomas Anderson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</si>
  <si>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</si>
  <si>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</si>
  <si>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</si>
  <si>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</si>
  <si>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</si>
  <si>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</si>
  <si>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</si>
  <si>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</si>
  <si>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</si>
  <si>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</si>
  <si>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</si>
  <si>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</si>
  <si>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</si>
  <si>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RushÂ 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</si>
  <si>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</si>
  <si>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</si>
  <si>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</si>
  <si>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</si>
  <si>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</si>
  <si>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</si>
  <si>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Dolphin TaleÂ </t>
  </si>
  <si>
    <t>TwilightÂ </t>
  </si>
  <si>
    <t>John QÂ </t>
  </si>
  <si>
    <t>Blue StreakÂ </t>
  </si>
  <si>
    <t>We're the MillersÂ </t>
  </si>
  <si>
    <t>BreakdownÂ </t>
  </si>
  <si>
    <t>Irvin Kershner</t>
  </si>
  <si>
    <t>Never Say Never AgainÂ </t>
  </si>
  <si>
    <t>Steve Pink</t>
  </si>
  <si>
    <t>Hot Tub Time MachineÂ </t>
  </si>
  <si>
    <t>Dolphin Tale 2Â </t>
  </si>
  <si>
    <t>Reindeer GamesÂ </t>
  </si>
  <si>
    <t>A Man ApartÂ </t>
  </si>
  <si>
    <t>AlohaÂ </t>
  </si>
  <si>
    <t>Ghosts of MississippiÂ </t>
  </si>
  <si>
    <t>Scott Hicks</t>
  </si>
  <si>
    <t>Snow Falling on CedarsÂ </t>
  </si>
  <si>
    <t>The RiteÂ </t>
  </si>
  <si>
    <t>GattacaÂ </t>
  </si>
  <si>
    <t>Isn't She GreatÂ </t>
  </si>
  <si>
    <t>Space ChimpsÂ </t>
  </si>
  <si>
    <t>Chris Rock</t>
  </si>
  <si>
    <t>Head of StateÂ </t>
  </si>
  <si>
    <t>The HangoverÂ </t>
  </si>
  <si>
    <t>Wilson Yip</t>
  </si>
  <si>
    <t>Ip Man 3Â </t>
  </si>
  <si>
    <t>Cantonese</t>
  </si>
  <si>
    <t>Austin Powers: The Spy Who Shagged MeÂ </t>
  </si>
  <si>
    <t>BatmanÂ </t>
  </si>
  <si>
    <t>There Be DragonsÂ </t>
  </si>
  <si>
    <t>Lethal Weapon 3Â 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</si>
  <si>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</si>
  <si>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</si>
  <si>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</si>
  <si>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</si>
  <si>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</si>
  <si>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</si>
  <si>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</si>
  <si>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</si>
  <si>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</si>
  <si>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</si>
  <si>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TrainwreckÂ </t>
  </si>
  <si>
    <t>Kevin Rodney Sullivan</t>
  </si>
  <si>
    <t>Guess WhoÂ </t>
  </si>
  <si>
    <t>The English PatientÂ </t>
  </si>
  <si>
    <t>L.A. ConfidentialÂ </t>
  </si>
  <si>
    <t>Sky HighÂ </t>
  </si>
  <si>
    <t>In &amp; OutÂ </t>
  </si>
  <si>
    <t>SpeciesÂ </t>
  </si>
  <si>
    <t>A Nightmare on Elm StreetÂ </t>
  </si>
  <si>
    <t>The CellÂ </t>
  </si>
  <si>
    <t>The Man in the Iron MaskÂ 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</si>
  <si>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</si>
  <si>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</si>
  <si>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</si>
  <si>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</si>
  <si>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</si>
  <si>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</si>
  <si>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</si>
  <si>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</si>
  <si>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Saving Mr. BanksÂ </t>
  </si>
  <si>
    <t>Malcolm XÂ </t>
  </si>
  <si>
    <t>This Is 40Â </t>
  </si>
  <si>
    <t>Old DogsÂ </t>
  </si>
  <si>
    <t>Patrick Tatopoulos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</si>
  <si>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</si>
  <si>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</si>
  <si>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</si>
  <si>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</si>
  <si>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</si>
  <si>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</si>
  <si>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</si>
  <si>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</si>
  <si>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PoltergeistÂ </t>
  </si>
  <si>
    <t>The LadykillersÂ </t>
  </si>
  <si>
    <t>Max PayneÂ </t>
  </si>
  <si>
    <t>In TimeÂ </t>
  </si>
  <si>
    <t>Alan Poul</t>
  </si>
  <si>
    <t>The Back-up PlanÂ </t>
  </si>
  <si>
    <t>Luke Greenfield</t>
  </si>
  <si>
    <t>Something BorrowedÂ </t>
  </si>
  <si>
    <t>Gil Junger</t>
  </si>
  <si>
    <t>Black KnightÂ </t>
  </si>
  <si>
    <t>Steven E. de Souza</t>
  </si>
  <si>
    <t>Street FighterÂ </t>
  </si>
  <si>
    <t>The PianistÂ </t>
  </si>
  <si>
    <t>The Nativity StoryÂ </t>
  </si>
  <si>
    <t>House of WaxÂ </t>
  </si>
  <si>
    <t>CloserÂ </t>
  </si>
  <si>
    <t>J. EdgarÂ </t>
  </si>
  <si>
    <t>Alexandre Aja</t>
  </si>
  <si>
    <t>MirrorsÂ </t>
  </si>
  <si>
    <t>Michael Rymer</t>
  </si>
  <si>
    <t>Queen of the DamnedÂ </t>
  </si>
  <si>
    <t>Predator 2Â </t>
  </si>
  <si>
    <t>UntraceableÂ </t>
  </si>
  <si>
    <t>Hugh Wilson</t>
  </si>
  <si>
    <t>Blast from the PastÂ </t>
  </si>
  <si>
    <t>Jersey GirlÂ </t>
  </si>
  <si>
    <t>Alex CrossÂ </t>
  </si>
  <si>
    <t>Midnight in the Garden of Good and EvilÂ </t>
  </si>
  <si>
    <t>Susanna White</t>
  </si>
  <si>
    <t>Nanny McPhee ReturnsÂ </t>
  </si>
  <si>
    <t>HoffaÂ </t>
  </si>
  <si>
    <t>Chris Carter</t>
  </si>
  <si>
    <t>The X Files: I Want to BelieveÂ </t>
  </si>
  <si>
    <t>Tommy O'Haver</t>
  </si>
  <si>
    <t>Ella EnchantedÂ </t>
  </si>
  <si>
    <t>Peter Landesman</t>
  </si>
  <si>
    <t>ConcussionÂ </t>
  </si>
  <si>
    <t>AbductionÂ </t>
  </si>
  <si>
    <t>Gary Chapman</t>
  </si>
  <si>
    <t>ValiantÂ </t>
  </si>
  <si>
    <t>Wonder BoysÂ </t>
  </si>
  <si>
    <t>Craig Mazin</t>
  </si>
  <si>
    <t>Superhero MovieÂ </t>
  </si>
  <si>
    <t>Allen Hughes</t>
  </si>
  <si>
    <t>Broken CityÂ </t>
  </si>
  <si>
    <t>CursedÂ </t>
  </si>
  <si>
    <t>Premium RushÂ </t>
  </si>
  <si>
    <t>Hot PursuitÂ </t>
  </si>
  <si>
    <t>The Four FeathersÂ </t>
  </si>
  <si>
    <t>ParkerÂ </t>
  </si>
  <si>
    <t>WimbledonÂ </t>
  </si>
  <si>
    <t>Furry VengeanceÂ </t>
  </si>
  <si>
    <t>Lions for LambsÂ </t>
  </si>
  <si>
    <t>Flight of the IntruderÂ </t>
  </si>
  <si>
    <t>Walk Hard: The Dewey Cox StoryÂ </t>
  </si>
  <si>
    <t>Lasse HallstrÃ¶m</t>
  </si>
  <si>
    <t>The Shipping NewsÂ </t>
  </si>
  <si>
    <t>American OutlawsÂ </t>
  </si>
  <si>
    <t>Jean-Marc VallÃ©e</t>
  </si>
  <si>
    <t>The Young VictoriaÂ </t>
  </si>
  <si>
    <t>WhiteoutÂ </t>
  </si>
  <si>
    <t>The Tree of LifeÂ </t>
  </si>
  <si>
    <t>Hark Tsui</t>
  </si>
  <si>
    <t>Knock OffÂ </t>
  </si>
  <si>
    <t>Aruba</t>
  </si>
  <si>
    <t>SabotageÂ </t>
  </si>
  <si>
    <t>The OrderÂ </t>
  </si>
  <si>
    <t>Lexi Alexander</t>
  </si>
  <si>
    <t>Punisher: War ZoneÂ </t>
  </si>
  <si>
    <t>ZoomÂ </t>
  </si>
  <si>
    <t>The WalkÂ </t>
  </si>
  <si>
    <t>Ronny Yu</t>
  </si>
  <si>
    <t>Warriors of VirtueÂ 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</si>
  <si>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</si>
  <si>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</si>
  <si>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</si>
  <si>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</si>
  <si>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</si>
  <si>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</si>
  <si>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</si>
  <si>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Ride with the DevilÂ </t>
  </si>
  <si>
    <t>The Maze RunnerÂ </t>
  </si>
  <si>
    <t>Ken Scott</t>
  </si>
  <si>
    <t>Unfinished BusinessÂ </t>
  </si>
  <si>
    <t>The Age of InnocenceÂ </t>
  </si>
  <si>
    <t>The FountainÂ </t>
  </si>
  <si>
    <t>Hugh Johnson</t>
  </si>
  <si>
    <t>Chill FactorÂ </t>
  </si>
  <si>
    <t>StolenÂ </t>
  </si>
  <si>
    <t>Hayao Miyazaki</t>
  </si>
  <si>
    <t>PonyoÂ </t>
  </si>
  <si>
    <t>Japanese</t>
  </si>
  <si>
    <t>George Tillman Jr.</t>
  </si>
  <si>
    <t>The Longest RideÂ </t>
  </si>
  <si>
    <t>Rand Ravich</t>
  </si>
  <si>
    <t>The Astronaut's WifeÂ </t>
  </si>
  <si>
    <t>Hugh Hudson</t>
  </si>
  <si>
    <t>I Dreamed of AfricaÂ </t>
  </si>
  <si>
    <t>Playing for KeepsÂ </t>
  </si>
  <si>
    <t>Mandela: Long Walk to FreedomÂ </t>
  </si>
  <si>
    <t>A Few Good MenÂ </t>
  </si>
  <si>
    <t>Exit WoundsÂ </t>
  </si>
  <si>
    <t>Big Momma's HouseÂ </t>
  </si>
  <si>
    <t>Jeremy Degruson</t>
  </si>
  <si>
    <t>Thunder and the House of MagicÂ </t>
  </si>
  <si>
    <t>Belgium</t>
  </si>
  <si>
    <t>Chris Gorak</t>
  </si>
  <si>
    <t>The Darkest HourÂ </t>
  </si>
  <si>
    <t>Scott Speer</t>
  </si>
  <si>
    <t>Step Up RevolutionÂ </t>
  </si>
  <si>
    <t>Snakes on a PlaneÂ </t>
  </si>
  <si>
    <t>Joe Charbanic</t>
  </si>
  <si>
    <t>The WatcherÂ </t>
  </si>
  <si>
    <t>Jonathan Hensleigh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</si>
  <si>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</si>
  <si>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</si>
  <si>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</si>
  <si>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</si>
  <si>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</si>
  <si>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</si>
  <si>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</si>
  <si>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</si>
  <si>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</si>
  <si>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DoomsdayÂ </t>
  </si>
  <si>
    <t>The ReaderÂ </t>
  </si>
  <si>
    <t>ElfÂ </t>
  </si>
  <si>
    <t>PhenomenonÂ </t>
  </si>
  <si>
    <t>Snow DogsÂ </t>
  </si>
  <si>
    <t>ScroogedÂ </t>
  </si>
  <si>
    <t>Jared Hess</t>
  </si>
  <si>
    <t>Nacho LibreÂ 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</si>
  <si>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</si>
  <si>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</si>
  <si>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</si>
  <si>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</si>
  <si>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</si>
  <si>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</si>
  <si>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</si>
  <si>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</si>
  <si>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</si>
  <si>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Big Mommas: Like Father, Like SonÂ </t>
  </si>
  <si>
    <t>Source CodeÂ </t>
  </si>
  <si>
    <t>AliveÂ </t>
  </si>
  <si>
    <t>The Number 23Â </t>
  </si>
  <si>
    <t>The Young and Prodigious T.S. SpivetÂ </t>
  </si>
  <si>
    <t>John Gatins</t>
  </si>
  <si>
    <t>Dreamer: Inspired by a True StoryÂ </t>
  </si>
  <si>
    <t>A History of ViolenceÂ </t>
  </si>
  <si>
    <t>Transporter 2Â </t>
  </si>
  <si>
    <t>The Quick and the DeadÂ </t>
  </si>
  <si>
    <t>Laws of AttractionÂ </t>
  </si>
  <si>
    <t>Ireland</t>
  </si>
  <si>
    <t>Bringing Out the DeadÂ </t>
  </si>
  <si>
    <t>Miguel Sapochnik</t>
  </si>
  <si>
    <t>Repo MenÂ </t>
  </si>
  <si>
    <t>Hyung-rae Shim</t>
  </si>
  <si>
    <t>Dragon Wars: D-WarÂ </t>
  </si>
  <si>
    <t>BogusÂ </t>
  </si>
  <si>
    <t>Don Scardino</t>
  </si>
  <si>
    <t>The Incredible Burt WonderstoneÂ 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</si>
  <si>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</si>
  <si>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</si>
  <si>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</si>
  <si>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</si>
  <si>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</si>
  <si>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</si>
  <si>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Going the DistanceÂ </t>
  </si>
  <si>
    <t>Mr. Holland's OpusÂ </t>
  </si>
  <si>
    <t>Ariel Vromen</t>
  </si>
  <si>
    <t>CriminalÂ </t>
  </si>
  <si>
    <t>Out of AfricaÂ </t>
  </si>
  <si>
    <t>FlightÂ </t>
  </si>
  <si>
    <t>Lewis Gilbert</t>
  </si>
  <si>
    <t>MoonrakerÂ </t>
  </si>
  <si>
    <t>The Grand Budapest HotelÂ </t>
  </si>
  <si>
    <t>Hearts in AtlantisÂ </t>
  </si>
  <si>
    <t>ArachnophobiaÂ </t>
  </si>
  <si>
    <t>FrequencyÂ </t>
  </si>
  <si>
    <t>John Francis Daley</t>
  </si>
  <si>
    <t>VacationÂ </t>
  </si>
  <si>
    <t>Get ShortyÂ 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</si>
  <si>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</si>
  <si>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</si>
  <si>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</si>
  <si>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</si>
  <si>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</si>
  <si>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</si>
  <si>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</si>
  <si>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</si>
  <si>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</si>
  <si>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</si>
  <si>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</si>
  <si>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</si>
  <si>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</si>
  <si>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</si>
  <si>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</si>
  <si>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</si>
  <si>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</si>
  <si>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</si>
  <si>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</si>
  <si>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District 9Â </t>
  </si>
  <si>
    <t>South Africa</t>
  </si>
  <si>
    <t>Stephen Hillenburg</t>
  </si>
  <si>
    <t>The SpongeBob SquarePants MovieÂ </t>
  </si>
  <si>
    <t>Mystic RiverÂ </t>
  </si>
  <si>
    <t>Million Dollar BabyÂ </t>
  </si>
  <si>
    <t>Analyze ThisÂ </t>
  </si>
  <si>
    <t>The NotebookÂ </t>
  </si>
  <si>
    <t>27 DressesÂ </t>
  </si>
  <si>
    <t>Hannah Montana: The MovieÂ </t>
  </si>
  <si>
    <t>Stig Bergqvist</t>
  </si>
  <si>
    <t>Rugrats in Paris: The MovieÂ </t>
  </si>
  <si>
    <t>The Prince of TidesÂ </t>
  </si>
  <si>
    <t>Legends of the FallÂ </t>
  </si>
  <si>
    <t>Jason Reitman</t>
  </si>
  <si>
    <t>Up in the AirÂ </t>
  </si>
  <si>
    <t>Alexander Payne</t>
  </si>
  <si>
    <t>About SchmidtÂ </t>
  </si>
  <si>
    <t>Jonathan Levine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</si>
  <si>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</si>
  <si>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</si>
  <si>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</si>
  <si>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</si>
  <si>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</si>
  <si>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</si>
  <si>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</si>
  <si>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</si>
  <si>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Four BrothersÂ </t>
  </si>
  <si>
    <t>Michael McCullers</t>
  </si>
  <si>
    <t>Baby MamaÂ </t>
  </si>
  <si>
    <t>Forest Whitaker</t>
  </si>
  <si>
    <t>Hope FloatsÂ </t>
  </si>
  <si>
    <t>Gary Winick</t>
  </si>
  <si>
    <t>Bride WarsÂ </t>
  </si>
  <si>
    <t>Without a PaddleÂ </t>
  </si>
  <si>
    <t>13 Going on 30Â </t>
  </si>
  <si>
    <t>Woody Allen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</si>
  <si>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</si>
  <si>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</si>
  <si>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</si>
  <si>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</si>
  <si>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</si>
  <si>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</si>
  <si>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</si>
  <si>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</si>
  <si>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Like MikeÂ </t>
  </si>
  <si>
    <t>Naked Gun 33 1/3: The Final InsultÂ </t>
  </si>
  <si>
    <t>A View to a KillÂ </t>
  </si>
  <si>
    <t>Steve Box</t>
  </si>
  <si>
    <t>The Curse of the Were-RabbitÂ </t>
  </si>
  <si>
    <t>P.S. I Love YouÂ </t>
  </si>
  <si>
    <t>AtonementÂ </t>
  </si>
  <si>
    <t>Letters to JulietÂ </t>
  </si>
  <si>
    <t>Black RainÂ </t>
  </si>
  <si>
    <t>Corpse BrideÂ 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</si>
  <si>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</si>
  <si>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</si>
  <si>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</si>
  <si>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</si>
  <si>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</si>
  <si>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</si>
  <si>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</si>
  <si>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Step Up 3DÂ </t>
  </si>
  <si>
    <t>Blue CrushÂ </t>
  </si>
  <si>
    <t>Stranger Than FictionÂ </t>
  </si>
  <si>
    <t>30 Days of NightÂ </t>
  </si>
  <si>
    <t>Drew Goddard</t>
  </si>
  <si>
    <t>The Cabin in the WoodsÂ </t>
  </si>
  <si>
    <t>Jason Friedberg</t>
  </si>
  <si>
    <t>Meet the SpartansÂ </t>
  </si>
  <si>
    <t>Midnight RunÂ </t>
  </si>
  <si>
    <t>Paul Michael Glaser</t>
  </si>
  <si>
    <t>The Running ManÂ </t>
  </si>
  <si>
    <t>Little Shop of HorrorsÂ </t>
  </si>
  <si>
    <t>HannaÂ </t>
  </si>
  <si>
    <t>John R. Leonetti</t>
  </si>
  <si>
    <t>Mortal Kombat: AnnihilationÂ </t>
  </si>
  <si>
    <t>Tom Hanks</t>
  </si>
  <si>
    <t>Larry CrowneÂ </t>
  </si>
  <si>
    <t>Kimberly Peirce</t>
  </si>
  <si>
    <t>CarrieÂ </t>
  </si>
  <si>
    <t>Liz Friedlander</t>
  </si>
  <si>
    <t>Take the LeadÂ </t>
  </si>
  <si>
    <t>Phil Joanou</t>
  </si>
  <si>
    <t>Gridiron GangÂ </t>
  </si>
  <si>
    <t>What's the Worst That Could Happen?Â </t>
  </si>
  <si>
    <t>Shane Acker</t>
  </si>
  <si>
    <t>9Â </t>
  </si>
  <si>
    <t>Side EffectsÂ </t>
  </si>
  <si>
    <t>Stephen J. Anderson</t>
  </si>
  <si>
    <t>Winnie the PoohÂ </t>
  </si>
  <si>
    <t>Troy Miller</t>
  </si>
  <si>
    <t>Dumb and Dumberer: When Harry Met LloydÂ </t>
  </si>
  <si>
    <t>BulworthÂ </t>
  </si>
  <si>
    <t>Tate Taylor</t>
  </si>
  <si>
    <t>Get on UpÂ </t>
  </si>
  <si>
    <t>One True ThingÂ </t>
  </si>
  <si>
    <t>Brett Leonard</t>
  </si>
  <si>
    <t>VirtuosityÂ 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</si>
  <si>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</si>
  <si>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</si>
  <si>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</si>
  <si>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</si>
  <si>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</si>
  <si>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</si>
  <si>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</si>
  <si>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</si>
  <si>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</si>
  <si>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</si>
  <si>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</si>
  <si>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</si>
  <si>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</si>
  <si>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</si>
  <si>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</si>
  <si>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</si>
  <si>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</si>
  <si>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FledÂ </t>
  </si>
  <si>
    <t>Ellory Elkayem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</si>
  <si>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</si>
  <si>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</si>
  <si>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</si>
  <si>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</si>
  <si>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</si>
  <si>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</si>
  <si>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</si>
  <si>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SpliceÂ </t>
  </si>
  <si>
    <t>Willard Huyck</t>
  </si>
  <si>
    <t>Howard the DuckÂ </t>
  </si>
  <si>
    <t>Gavin O'Connor</t>
  </si>
  <si>
    <t>Pride and GloryÂ </t>
  </si>
  <si>
    <t>Bruce Hunt</t>
  </si>
  <si>
    <t>The CaveÂ </t>
  </si>
  <si>
    <t>Alex &amp; EmmaÂ </t>
  </si>
  <si>
    <t>Wicker ParkÂ </t>
  </si>
  <si>
    <t>Craig Gillespie</t>
  </si>
  <si>
    <t>Fright NightÂ </t>
  </si>
  <si>
    <t>The New WorldÂ </t>
  </si>
  <si>
    <t>Chris Roberts</t>
  </si>
  <si>
    <t>Wing CommanderÂ </t>
  </si>
  <si>
    <t>In DreamsÂ </t>
  </si>
  <si>
    <t>Dragonball: EvolutionÂ </t>
  </si>
  <si>
    <t>Jee-woon Kim</t>
  </si>
  <si>
    <t>The Last StandÂ </t>
  </si>
  <si>
    <t>Nick Hamm</t>
  </si>
  <si>
    <t>GodsendÂ </t>
  </si>
  <si>
    <t>Andy Cadiff</t>
  </si>
  <si>
    <t>Chasing LibertyÂ </t>
  </si>
  <si>
    <t>Mike Disa</t>
  </si>
  <si>
    <t>Hoodwinked Too! Hood vs. EvilÂ </t>
  </si>
  <si>
    <t>An Unfinished LifeÂ </t>
  </si>
  <si>
    <t>The Imaginarium of Doctor ParnassusÂ </t>
  </si>
  <si>
    <t>Runner RunnerÂ 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</si>
  <si>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</si>
  <si>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</si>
  <si>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</si>
  <si>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</si>
  <si>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</si>
  <si>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</si>
  <si>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</si>
  <si>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</si>
  <si>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</si>
  <si>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The Good ThiefÂ </t>
  </si>
  <si>
    <t>Miss PotterÂ </t>
  </si>
  <si>
    <t>Kaige Chen</t>
  </si>
  <si>
    <t>The PromiseÂ </t>
  </si>
  <si>
    <t>Corey Yuen</t>
  </si>
  <si>
    <t>DOA: Dead or AliveÂ </t>
  </si>
  <si>
    <t>Andrew Dominik</t>
  </si>
  <si>
    <t>The Assassination of Jesse James by the Coward Robert FordÂ </t>
  </si>
  <si>
    <t>Li Zhang</t>
  </si>
  <si>
    <t>1911Â </t>
  </si>
  <si>
    <t>Machine Gun PreacherÂ </t>
  </si>
  <si>
    <t>Elizabeth Banks</t>
  </si>
  <si>
    <t>Pitch Perfect 2Â </t>
  </si>
  <si>
    <t>Walk the LineÂ </t>
  </si>
  <si>
    <t>Edward Norton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</si>
  <si>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</si>
  <si>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</si>
  <si>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</si>
  <si>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</si>
  <si>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</si>
  <si>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</si>
  <si>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</si>
  <si>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</si>
  <si>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</si>
  <si>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</si>
  <si>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</si>
  <si>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</si>
  <si>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</si>
  <si>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</si>
  <si>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</si>
  <si>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Straight Outta ComptonÂ </t>
  </si>
  <si>
    <t>Indiana Jones and the Temple of DoomÂ </t>
  </si>
  <si>
    <t>Igor Kovalyov</t>
  </si>
  <si>
    <t>The Rugrats MovieÂ </t>
  </si>
  <si>
    <t>Along Came a SpiderÂ </t>
  </si>
  <si>
    <t>Once Upon a Time in MexicoÂ </t>
  </si>
  <si>
    <t>Die HardÂ </t>
  </si>
  <si>
    <t>David Wain</t>
  </si>
  <si>
    <t>Role ModelsÂ </t>
  </si>
  <si>
    <t>The Big ShortÂ </t>
  </si>
  <si>
    <t>Taking WoodstockÂ 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</si>
  <si>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</si>
  <si>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</si>
  <si>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</si>
  <si>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</si>
  <si>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</si>
  <si>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</si>
  <si>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For Your Eyes OnlyÂ </t>
  </si>
  <si>
    <t>SerendipityÂ </t>
  </si>
  <si>
    <t>TimecopÂ </t>
  </si>
  <si>
    <t>ZoolanderÂ </t>
  </si>
  <si>
    <t>Safe HavenÂ </t>
  </si>
  <si>
    <t>Hocus PocusÂ </t>
  </si>
  <si>
    <t>No ReservationsÂ </t>
  </si>
  <si>
    <t>Kick-AssÂ </t>
  </si>
  <si>
    <t>30 Minutes or LessÂ </t>
  </si>
  <si>
    <t>Dracula 2000Â </t>
  </si>
  <si>
    <t>Miguel Arteta</t>
  </si>
  <si>
    <t>Alexander and the Terrible, Horrible, No Good, Very Bad DayÂ </t>
  </si>
  <si>
    <t>Pride &amp; PrejudiceÂ </t>
  </si>
  <si>
    <t>Blade RunnerÂ </t>
  </si>
  <si>
    <t>Rob RoyÂ </t>
  </si>
  <si>
    <t>3 Days to KillÂ </t>
  </si>
  <si>
    <t>James Gray</t>
  </si>
  <si>
    <t>We Own the NightÂ </t>
  </si>
  <si>
    <t>Janusz Kaminski</t>
  </si>
  <si>
    <t>Lost SoulsÂ </t>
  </si>
  <si>
    <t>Winged MigrationÂ </t>
  </si>
  <si>
    <t>Just My LuckÂ </t>
  </si>
  <si>
    <t>Mystery, AlaskaÂ </t>
  </si>
  <si>
    <t>The Spy Next DoorÂ </t>
  </si>
  <si>
    <t>Michael Ritchie</t>
  </si>
  <si>
    <t>A Simple WishÂ </t>
  </si>
  <si>
    <t>Ghosts of MarsÂ </t>
  </si>
  <si>
    <t>Our Brand Is CrisisÂ </t>
  </si>
  <si>
    <t>Pride and Prejudice and ZombiesÂ 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</si>
  <si>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</si>
  <si>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</si>
  <si>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</si>
  <si>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</si>
  <si>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</si>
  <si>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</si>
  <si>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</si>
  <si>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</si>
  <si>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</si>
  <si>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</si>
  <si>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</si>
  <si>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</si>
  <si>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</si>
  <si>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A Passage to IndiaÂ </t>
  </si>
  <si>
    <t>Richard Eyre</t>
  </si>
  <si>
    <t>Notes on a ScandalÂ </t>
  </si>
  <si>
    <t>RenditionÂ </t>
  </si>
  <si>
    <t>Nicholas Meyer</t>
  </si>
  <si>
    <t>Star Trek VI: The Undiscovered CountryÂ </t>
  </si>
  <si>
    <t>Callie Khouri</t>
  </si>
  <si>
    <t>Divine Secrets of the Ya-Ya SisterhoodÂ </t>
  </si>
  <si>
    <t>Kiss the GirlsÂ </t>
  </si>
  <si>
    <t>The Blues BrothersÂ </t>
  </si>
  <si>
    <t>Todd Graff</t>
  </si>
  <si>
    <t>Joyful NoiseÂ 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</si>
  <si>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</si>
  <si>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</si>
  <si>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</si>
  <si>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</si>
  <si>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</si>
  <si>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</si>
  <si>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Dark CityÂ </t>
  </si>
  <si>
    <t>Saul Dibb</t>
  </si>
  <si>
    <t>The DuchessÂ </t>
  </si>
  <si>
    <t>Richard Linklater</t>
  </si>
  <si>
    <t>The Newton BoysÂ </t>
  </si>
  <si>
    <t>Case 39Â </t>
  </si>
  <si>
    <t>E. Elias Merhige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</si>
  <si>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</si>
  <si>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</si>
  <si>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</si>
  <si>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</si>
  <si>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</si>
  <si>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</si>
  <si>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Formula 51Â </t>
  </si>
  <si>
    <t>FlawlessÂ </t>
  </si>
  <si>
    <t>MindhuntersÂ </t>
  </si>
  <si>
    <t>What Just HappenedÂ </t>
  </si>
  <si>
    <t>The StatementÂ </t>
  </si>
  <si>
    <t>Paul Blart: Mall CopÂ 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</si>
  <si>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</si>
  <si>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</si>
  <si>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</si>
  <si>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</si>
  <si>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</si>
  <si>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</si>
  <si>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</si>
  <si>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</si>
  <si>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</si>
  <si>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</si>
  <si>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A Bridge Too FarÂ </t>
  </si>
  <si>
    <t>Red EyeÂ </t>
  </si>
  <si>
    <t>Final Destination 2Â </t>
  </si>
  <si>
    <t>O Brother, Where Art Thou?Â </t>
  </si>
  <si>
    <t>LegionÂ </t>
  </si>
  <si>
    <t>Pain &amp; GainÂ </t>
  </si>
  <si>
    <t>In Good CompanyÂ </t>
  </si>
  <si>
    <t>ClockstoppersÂ </t>
  </si>
  <si>
    <t>SilveradoÂ </t>
  </si>
  <si>
    <t>BrothersÂ </t>
  </si>
  <si>
    <t>Kevin Allen</t>
  </si>
  <si>
    <t>Agent Cody Banks 2: Destination LondonÂ </t>
  </si>
  <si>
    <t>New Year's EveÂ </t>
  </si>
  <si>
    <t>Michael Cristofer</t>
  </si>
  <si>
    <t>Original SinÂ </t>
  </si>
  <si>
    <t>The RavenÂ </t>
  </si>
  <si>
    <t>Welcome to MooseportÂ </t>
  </si>
  <si>
    <t>Andrew Morahan</t>
  </si>
  <si>
    <t>Highlander: The Final DimensionÂ </t>
  </si>
  <si>
    <t>Bob Rafelson</t>
  </si>
  <si>
    <t>Blood and WineÂ </t>
  </si>
  <si>
    <t>The Curse of the Jade ScorpionÂ </t>
  </si>
  <si>
    <t>Alan Shapiro</t>
  </si>
  <si>
    <t>FlipperÂ </t>
  </si>
  <si>
    <t>Self/lessÂ </t>
  </si>
  <si>
    <t>Fernando Meirelles</t>
  </si>
  <si>
    <t>The Constant GardenerÂ </t>
  </si>
  <si>
    <t>The Passion of the ChristÂ </t>
  </si>
  <si>
    <t>Aramaic</t>
  </si>
  <si>
    <t>Mrs. DoubtfireÂ </t>
  </si>
  <si>
    <t>Rain ManÂ </t>
  </si>
  <si>
    <t>Gran TorinoÂ </t>
  </si>
  <si>
    <t>W.Â </t>
  </si>
  <si>
    <t>TakenÂ </t>
  </si>
  <si>
    <t>Michael Hoffman</t>
  </si>
  <si>
    <t>The Best of MeÂ </t>
  </si>
  <si>
    <t>The BodyguardÂ </t>
  </si>
  <si>
    <t>Schindler's ListÂ </t>
  </si>
  <si>
    <t>The HelpÂ </t>
  </si>
  <si>
    <t>The Fifth EstateÂ </t>
  </si>
  <si>
    <t>Scooby-Doo 2: Monsters UnleashedÂ </t>
  </si>
  <si>
    <t>Freddy vs. JasonÂ </t>
  </si>
  <si>
    <t>Jimmy Neutron: Boy GeniusÂ </t>
  </si>
  <si>
    <t>CloverfieldÂ </t>
  </si>
  <si>
    <t>Michael Pressman</t>
  </si>
  <si>
    <t>Teenage Mutant Ninja Turtles II: The Secret of the OozeÂ </t>
  </si>
  <si>
    <t>The UntouchablesÂ </t>
  </si>
  <si>
    <t>No Country for Old MenÂ </t>
  </si>
  <si>
    <t>Ride AlongÂ </t>
  </si>
  <si>
    <t>Sharon Maguire</t>
  </si>
  <si>
    <t>Bridget Jones's DiaryÂ </t>
  </si>
  <si>
    <t>ChocolatÂ </t>
  </si>
  <si>
    <t>Charles Herman-Wurmfeld</t>
  </si>
  <si>
    <t>Legally Blonde 2: Red, White &amp; BlondeÂ </t>
  </si>
  <si>
    <t>Parental GuidanceÂ </t>
  </si>
  <si>
    <t>No Strings AttachedÂ </t>
  </si>
  <si>
    <t>TombstoneÂ </t>
  </si>
  <si>
    <t>Romeo Must DieÂ </t>
  </si>
  <si>
    <t>Final Destination 3Â </t>
  </si>
  <si>
    <t>The Lucky OneÂ </t>
  </si>
  <si>
    <t>Gabor Csupo</t>
  </si>
  <si>
    <t>Bridge to TerabithiaÂ 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</si>
  <si>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</si>
  <si>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</si>
  <si>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</si>
  <si>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</si>
  <si>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</si>
  <si>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</si>
  <si>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</si>
  <si>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Anchorman: The Legend of Ron BurgundyÂ </t>
  </si>
  <si>
    <t>GoodfellasÂ 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</si>
  <si>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</si>
  <si>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</si>
  <si>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</si>
  <si>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</si>
  <si>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</si>
  <si>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</si>
  <si>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</si>
  <si>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Money TalksÂ </t>
  </si>
  <si>
    <t>There Will Be BloodÂ </t>
  </si>
  <si>
    <t>Cathy Malkasian</t>
  </si>
  <si>
    <t>The Wild Thornberrys MovieÂ </t>
  </si>
  <si>
    <t>John Eng</t>
  </si>
  <si>
    <t>Rugrats Go WildÂ 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</si>
  <si>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</si>
  <si>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</si>
  <si>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</si>
  <si>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</si>
  <si>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</si>
  <si>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</si>
  <si>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</si>
  <si>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The GiverÂ </t>
  </si>
  <si>
    <t>What a Girl WantsÂ </t>
  </si>
  <si>
    <t>Victor Salva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</si>
  <si>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</si>
  <si>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</si>
  <si>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</si>
  <si>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</si>
  <si>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</si>
  <si>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</si>
  <si>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</si>
  <si>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Mr. Bean's HolidayÂ </t>
  </si>
  <si>
    <t>Dwight H. Little</t>
  </si>
  <si>
    <t>Anacondas: The Hunt for the Blood OrchidÂ </t>
  </si>
  <si>
    <t>Guillaume Canet</t>
  </si>
  <si>
    <t>Blood TiesÂ </t>
  </si>
  <si>
    <t>Kirsten Sheridan</t>
  </si>
  <si>
    <t>August RushÂ </t>
  </si>
  <si>
    <t>ElizabethÂ </t>
  </si>
  <si>
    <t>Bride of ChuckyÂ </t>
  </si>
  <si>
    <t>Richard Fleischer</t>
  </si>
  <si>
    <t>Tora! Tora! Tora!Â </t>
  </si>
  <si>
    <t>Bob Spiers</t>
  </si>
  <si>
    <t>Spice WorldÂ </t>
  </si>
  <si>
    <t>Damien Dante Wayans</t>
  </si>
  <si>
    <t>Dance FlickÂ </t>
  </si>
  <si>
    <t>The Shawshank RedemptionÂ 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</si>
  <si>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</si>
  <si>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</si>
  <si>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</si>
  <si>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</si>
  <si>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</si>
  <si>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</si>
  <si>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 Lot Like LoveÂ </t>
  </si>
  <si>
    <t>Dexter Fletcher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</si>
  <si>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</si>
  <si>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</si>
  <si>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</si>
  <si>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</si>
  <si>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</si>
  <si>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</si>
  <si>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</si>
  <si>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Troy Nixey</t>
  </si>
  <si>
    <t>Don't Be Afraid of the DarkÂ </t>
  </si>
  <si>
    <t>Philip G. Atwell</t>
  </si>
  <si>
    <t>WarÂ </t>
  </si>
  <si>
    <t>Punch-Drunk LoveÂ </t>
  </si>
  <si>
    <t>Jeff Schaffer</t>
  </si>
  <si>
    <t>EuroTripÂ </t>
  </si>
  <si>
    <t>Don Michael Paul</t>
  </si>
  <si>
    <t>Half Past DeadÂ </t>
  </si>
  <si>
    <t>Unaccompanied MinorsÂ </t>
  </si>
  <si>
    <t>James Bridges</t>
  </si>
  <si>
    <t>Bright Lights, Big CityÂ </t>
  </si>
  <si>
    <t>Steve Barron</t>
  </si>
  <si>
    <t>The Adventures of PinocchioÂ </t>
  </si>
  <si>
    <t>Italian</t>
  </si>
  <si>
    <t>Richard Kelly</t>
  </si>
  <si>
    <t>The BoxÂ </t>
  </si>
  <si>
    <t>Carter Smith</t>
  </si>
  <si>
    <t>The RuinsÂ </t>
  </si>
  <si>
    <t>John Schlesinger</t>
  </si>
  <si>
    <t>The Next Best ThingÂ </t>
  </si>
  <si>
    <t>My Soul to TakeÂ </t>
  </si>
  <si>
    <t>The Girl Next DoorÂ </t>
  </si>
  <si>
    <t>Ringo Lam</t>
  </si>
  <si>
    <t>Maximum RiskÂ </t>
  </si>
  <si>
    <t>Bruce McCulloch</t>
  </si>
  <si>
    <t>Stealing HarvardÂ </t>
  </si>
  <si>
    <t>LegendÂ </t>
  </si>
  <si>
    <t>Shark Night 3DÂ </t>
  </si>
  <si>
    <t>Angela's AshesÂ </t>
  </si>
  <si>
    <t>Draft DayÂ </t>
  </si>
  <si>
    <t>The ConspiratorÂ </t>
  </si>
  <si>
    <t>Lords of DogtownÂ </t>
  </si>
  <si>
    <t>Patricia Riggen</t>
  </si>
  <si>
    <t>The 33Â </t>
  </si>
  <si>
    <t>Chile</t>
  </si>
  <si>
    <t>Big Trouble in Little ChinaÂ </t>
  </si>
  <si>
    <t>WarriorÂ </t>
  </si>
  <si>
    <t>Michael CollinsÂ </t>
  </si>
  <si>
    <t>GettysburgÂ </t>
  </si>
  <si>
    <t>Stop-LossÂ </t>
  </si>
  <si>
    <t>AbandonÂ </t>
  </si>
  <si>
    <t>Jonathan Kaplan</t>
  </si>
  <si>
    <t>Brokedown PalaceÂ </t>
  </si>
  <si>
    <t>Ole Bornedal</t>
  </si>
  <si>
    <t>The PossessionÂ </t>
  </si>
  <si>
    <t>Richard Benjamin</t>
  </si>
  <si>
    <t>Mrs. WinterbourneÂ </t>
  </si>
  <si>
    <t>Straw DogsÂ </t>
  </si>
  <si>
    <t>The HoaxÂ </t>
  </si>
  <si>
    <t>Craig R. Baxley</t>
  </si>
  <si>
    <t>Stone ColdÂ </t>
  </si>
  <si>
    <t>John Hillcoat</t>
  </si>
  <si>
    <t>The RoadÂ </t>
  </si>
  <si>
    <t>Marcos Siega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</si>
  <si>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</si>
  <si>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</si>
  <si>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</si>
  <si>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</si>
  <si>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</si>
  <si>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</si>
  <si>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King's RansomÂ </t>
  </si>
  <si>
    <t>BlindnessÂ </t>
  </si>
  <si>
    <t>BloodRayneÂ </t>
  </si>
  <si>
    <t>Atom Egoyan</t>
  </si>
  <si>
    <t>Where the Truth LiesÂ </t>
  </si>
  <si>
    <t>Robert Towne</t>
  </si>
  <si>
    <t>Without LimitsÂ </t>
  </si>
  <si>
    <t>Me and Orson WellesÂ </t>
  </si>
  <si>
    <t>Giuseppe Tornatore</t>
  </si>
  <si>
    <t>The Best OfferÂ </t>
  </si>
  <si>
    <t>Werner Herzog</t>
  </si>
  <si>
    <t>Bad Lieutenant: Port of Call New OrleansÂ </t>
  </si>
  <si>
    <t>Little White LiesÂ </t>
  </si>
  <si>
    <t>Love RanchÂ </t>
  </si>
  <si>
    <t>The CounselorÂ </t>
  </si>
  <si>
    <t>Teddy Chan</t>
  </si>
  <si>
    <t>Kung Fu KillerÂ </t>
  </si>
  <si>
    <t>Dangerous LiaisonsÂ </t>
  </si>
  <si>
    <t>On the RoadÂ </t>
  </si>
  <si>
    <t>Leonard Nimoy</t>
  </si>
  <si>
    <t>Star Trek IV: The Voyage HomeÂ </t>
  </si>
  <si>
    <t>Rocky BalboaÂ </t>
  </si>
  <si>
    <t>Scream 2Â 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</si>
  <si>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</si>
  <si>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</si>
  <si>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</si>
  <si>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</si>
  <si>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</si>
  <si>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</si>
  <si>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</si>
  <si>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</si>
  <si>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</si>
  <si>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Return to MeÂ </t>
  </si>
  <si>
    <t>Zack and Miri Make a PornoÂ </t>
  </si>
  <si>
    <t>Neil LaBute</t>
  </si>
  <si>
    <t>Nurse BettyÂ </t>
  </si>
  <si>
    <t>Grant Heslov</t>
  </si>
  <si>
    <t>The Men Who Stare at GoatsÂ </t>
  </si>
  <si>
    <t>George Gallo</t>
  </si>
  <si>
    <t>Double TakeÂ </t>
  </si>
  <si>
    <t>Girl, InterruptedÂ </t>
  </si>
  <si>
    <t>Win a Date with Tad Hamilton!Â </t>
  </si>
  <si>
    <t>Muppets from SpaceÂ </t>
  </si>
  <si>
    <t>Sidney Lumet</t>
  </si>
  <si>
    <t>The WizÂ </t>
  </si>
  <si>
    <t>Ready to RumbleÂ </t>
  </si>
  <si>
    <t>Play It to the BoneÂ </t>
  </si>
  <si>
    <t>Douglas McGrath</t>
  </si>
  <si>
    <t>I Don't Know How She Does ItÂ </t>
  </si>
  <si>
    <t>Piranha 3DÂ </t>
  </si>
  <si>
    <t>Kevin Spacey</t>
  </si>
  <si>
    <t>Beyond the SeaÂ </t>
  </si>
  <si>
    <t>Steve Boyum</t>
  </si>
  <si>
    <t>Meet the DeedlesÂ </t>
  </si>
  <si>
    <t>Richard Williams</t>
  </si>
  <si>
    <t>The Princess and the CobblerÂ </t>
  </si>
  <si>
    <t>Mary McGuckian</t>
  </si>
  <si>
    <t>The Bridge of San Luis ReyÂ </t>
  </si>
  <si>
    <t>FasterÂ </t>
  </si>
  <si>
    <t>Howl's Moving CastleÂ 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</si>
  <si>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</si>
  <si>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</si>
  <si>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</si>
  <si>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</si>
  <si>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</si>
  <si>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</si>
  <si>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</si>
  <si>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</si>
  <si>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</si>
  <si>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</si>
  <si>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</si>
  <si>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</si>
  <si>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</si>
  <si>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</si>
  <si>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</si>
  <si>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</si>
  <si>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The CrewÂ </t>
  </si>
  <si>
    <t>HaywireÂ </t>
  </si>
  <si>
    <t>Joseph Sargent</t>
  </si>
  <si>
    <t>Jaws: The RevengeÂ </t>
  </si>
  <si>
    <t>Jerry Zaks</t>
  </si>
  <si>
    <t>Marvin's RoomÂ </t>
  </si>
  <si>
    <t>Fred Durst</t>
  </si>
  <si>
    <t>The LongshotsÂ </t>
  </si>
  <si>
    <t>The End of the AffairÂ </t>
  </si>
  <si>
    <t>Harley Davidson and the Marlboro ManÂ </t>
  </si>
  <si>
    <t>Anne Fontaine</t>
  </si>
  <si>
    <t>Coco Before ChanelÂ </t>
  </si>
  <si>
    <t>ChÃ©riÂ </t>
  </si>
  <si>
    <t>Mira Nair</t>
  </si>
  <si>
    <t>Vanity FairÂ </t>
  </si>
  <si>
    <t>1408Â </t>
  </si>
  <si>
    <t>Mel Brooks</t>
  </si>
  <si>
    <t>SpaceballsÂ </t>
  </si>
  <si>
    <t>Russell Crowe</t>
  </si>
  <si>
    <t>The Water DivinerÂ 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</si>
  <si>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</si>
  <si>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</si>
  <si>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</si>
  <si>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</si>
  <si>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</si>
  <si>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</si>
  <si>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</si>
  <si>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The Hundred-Foot JourneyÂ </t>
  </si>
  <si>
    <t>The NetÂ </t>
  </si>
  <si>
    <t>Jessie Nelson</t>
  </si>
  <si>
    <t>I Am SamÂ </t>
  </si>
  <si>
    <t>Christopher Spencer</t>
  </si>
  <si>
    <t>Son of GodÂ </t>
  </si>
  <si>
    <t>UnderworldÂ </t>
  </si>
  <si>
    <t>DerailedÂ </t>
  </si>
  <si>
    <t>The Informant!Â </t>
  </si>
  <si>
    <t>ShadowlandsÂ </t>
  </si>
  <si>
    <t>Mike Bigelow</t>
  </si>
  <si>
    <t>Deuce Bigalow: European GigoloÂ </t>
  </si>
  <si>
    <t>Delivery ManÂ </t>
  </si>
  <si>
    <t>Saving SilvermanÂ 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</si>
  <si>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</si>
  <si>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</si>
  <si>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</si>
  <si>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</si>
  <si>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</si>
  <si>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</si>
  <si>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</si>
  <si>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</si>
  <si>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</si>
  <si>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</si>
  <si>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</si>
  <si>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</si>
  <si>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</si>
  <si>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</si>
  <si>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</si>
  <si>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</si>
  <si>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</si>
  <si>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Darling LiliÂ </t>
  </si>
  <si>
    <t>Dudley Do-RightÂ </t>
  </si>
  <si>
    <t>The Transporter RefueledÂ </t>
  </si>
  <si>
    <t>Black BookÂ </t>
  </si>
  <si>
    <t>Dutch</t>
  </si>
  <si>
    <t>Netherlands</t>
  </si>
  <si>
    <t>Christian Carion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</si>
  <si>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</si>
  <si>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</si>
  <si>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</si>
  <si>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</si>
  <si>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</si>
  <si>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</si>
  <si>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</si>
  <si>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</si>
  <si>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</si>
  <si>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MoliÃ¨reÂ </t>
  </si>
  <si>
    <t>Out of the FurnaceÂ </t>
  </si>
  <si>
    <t>Michael ClaytonÂ </t>
  </si>
  <si>
    <t>My Fellow AmericansÂ </t>
  </si>
  <si>
    <t>Arlington RoadÂ </t>
  </si>
  <si>
    <t>To Rome with LoveÂ </t>
  </si>
  <si>
    <t>FirefoxÂ </t>
  </si>
  <si>
    <t>Trey Parker</t>
  </si>
  <si>
    <t>South Park: Bigger Longer &amp; UncutÂ </t>
  </si>
  <si>
    <t>Death at a FuneralÂ </t>
  </si>
  <si>
    <t>Stuart Gillard</t>
  </si>
  <si>
    <t>Teenage Mutant Ninja Turtles IIIÂ </t>
  </si>
  <si>
    <t>HardballÂ </t>
  </si>
  <si>
    <t>Silver Linings PlaybookÂ </t>
  </si>
  <si>
    <t>Freedom WritersÂ </t>
  </si>
  <si>
    <t>The TransporterÂ </t>
  </si>
  <si>
    <t>Never Back DownÂ </t>
  </si>
  <si>
    <t>Katt Shea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</si>
  <si>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</si>
  <si>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</si>
  <si>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</si>
  <si>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</si>
  <si>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</si>
  <si>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</si>
  <si>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</si>
  <si>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</si>
  <si>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</si>
  <si>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</si>
  <si>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</si>
  <si>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</si>
  <si>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</si>
  <si>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</si>
  <si>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</si>
  <si>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Close Encounters of the Third KindÂ </t>
  </si>
  <si>
    <t>Jim Sonzero</t>
  </si>
  <si>
    <t>PulseÂ </t>
  </si>
  <si>
    <t>Beverly Hills Cop IIÂ </t>
  </si>
  <si>
    <t>Bringing Down the HouseÂ </t>
  </si>
  <si>
    <t>The Silence of the LambsÂ </t>
  </si>
  <si>
    <t>Penelope Spheeris</t>
  </si>
  <si>
    <t>Wayne's WorldÂ </t>
  </si>
  <si>
    <t>Jeff Tremaine</t>
  </si>
  <si>
    <t>Jackass 3DÂ </t>
  </si>
  <si>
    <t>Jeannot Szwarc</t>
  </si>
  <si>
    <t>Jaws 2Â </t>
  </si>
  <si>
    <t>Beverly Hills ChihuahuaÂ </t>
  </si>
  <si>
    <t>The ConjuringÂ </t>
  </si>
  <si>
    <t>Are We There Yet?Â </t>
  </si>
  <si>
    <t>TammyÂ </t>
  </si>
  <si>
    <t>School of RockÂ </t>
  </si>
  <si>
    <t>Mortal KombatÂ </t>
  </si>
  <si>
    <t>White ChicksÂ </t>
  </si>
  <si>
    <t>The DescendantsÂ </t>
  </si>
  <si>
    <t>HolesÂ </t>
  </si>
  <si>
    <t>The Last SongÂ </t>
  </si>
  <si>
    <t>Steve McQueen</t>
  </si>
  <si>
    <t>12 Years a SlaveÂ </t>
  </si>
  <si>
    <t>DrumlineÂ </t>
  </si>
  <si>
    <t>Why Did I Get Married Too?Â </t>
  </si>
  <si>
    <t>Edward ScissorhandsÂ </t>
  </si>
  <si>
    <t>Thea Sharrock</t>
  </si>
  <si>
    <t>Me Before YouÂ 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</si>
  <si>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</si>
  <si>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</si>
  <si>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</si>
  <si>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</si>
  <si>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</si>
  <si>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</si>
  <si>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</si>
  <si>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</si>
  <si>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</si>
  <si>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</si>
  <si>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The Jungle Book 2Â </t>
  </si>
  <si>
    <t>BoogeymanÂ </t>
  </si>
  <si>
    <t>Mennan Yapo</t>
  </si>
  <si>
    <t>PremonitionÂ </t>
  </si>
  <si>
    <t>Jun Falkenstein</t>
  </si>
  <si>
    <t>The Tigger MovieÂ </t>
  </si>
  <si>
    <t>MaxÂ </t>
  </si>
  <si>
    <t>Epic MovieÂ </t>
  </si>
  <si>
    <t>Tom McCarthy</t>
  </si>
  <si>
    <t>SpotlightÂ </t>
  </si>
  <si>
    <t>Lakeview TerraceÂ </t>
  </si>
  <si>
    <t>Takashi Shimizu</t>
  </si>
  <si>
    <t>The Grudge 2Â </t>
  </si>
  <si>
    <t>How Stella Got Her Groove BackÂ </t>
  </si>
  <si>
    <t>Bill &amp; Ted's Bogus JourneyÂ </t>
  </si>
  <si>
    <t>Man of the YearÂ </t>
  </si>
  <si>
    <t>Anton Corbijn</t>
  </si>
  <si>
    <t>The AmericanÂ </t>
  </si>
  <si>
    <t>Gregory Nava</t>
  </si>
  <si>
    <t>SelenaÂ </t>
  </si>
  <si>
    <t>Vampires SuckÂ </t>
  </si>
  <si>
    <t>BabelÂ </t>
  </si>
  <si>
    <t>This Is Where I Leave YouÂ </t>
  </si>
  <si>
    <t>John Patrick Shanley</t>
  </si>
  <si>
    <t>DoubtÂ </t>
  </si>
  <si>
    <t>Team America: World PoliceÂ </t>
  </si>
  <si>
    <t>Texas Chainsaw 3DÂ </t>
  </si>
  <si>
    <t>CopycatÂ </t>
  </si>
  <si>
    <t>Scary Movie 5Â </t>
  </si>
  <si>
    <t>MilkÂ </t>
  </si>
  <si>
    <t>RisenÂ </t>
  </si>
  <si>
    <t>Steve Beck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</si>
  <si>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</si>
  <si>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</si>
  <si>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</si>
  <si>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</si>
  <si>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</si>
  <si>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</si>
  <si>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</si>
  <si>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</si>
  <si>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</si>
  <si>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</si>
  <si>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</si>
  <si>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</si>
  <si>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</si>
  <si>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</si>
  <si>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</si>
  <si>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</si>
  <si>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Nancy DrewÂ </t>
  </si>
  <si>
    <t>Michael Spierig</t>
  </si>
  <si>
    <t>DaybreakersÂ </t>
  </si>
  <si>
    <t>Jim Field Smith</t>
  </si>
  <si>
    <t>She's Out of My LeagueÂ </t>
  </si>
  <si>
    <t>Thomas Bezucha</t>
  </si>
  <si>
    <t>Monte CarloÂ </t>
  </si>
  <si>
    <t>Hungary</t>
  </si>
  <si>
    <t>William Brent Bell</t>
  </si>
  <si>
    <t>Stay AliveÂ </t>
  </si>
  <si>
    <t>Quigley Down UnderÂ </t>
  </si>
  <si>
    <t>Anthony Bell</t>
  </si>
  <si>
    <t>Alpha and OmegaÂ </t>
  </si>
  <si>
    <t>The CovenantÂ </t>
  </si>
  <si>
    <t>ShortsÂ </t>
  </si>
  <si>
    <t>To Die ForÂ </t>
  </si>
  <si>
    <t>Henry Joost</t>
  </si>
  <si>
    <t>NerveÂ </t>
  </si>
  <si>
    <t>VampiresÂ </t>
  </si>
  <si>
    <t>Alfred Hitchcock</t>
  </si>
  <si>
    <t>PsychoÂ </t>
  </si>
  <si>
    <t>My Best Friend's GirlÂ </t>
  </si>
  <si>
    <t>Shana Feste</t>
  </si>
  <si>
    <t>Endless LoveÂ </t>
  </si>
  <si>
    <t>Georgia RuleÂ </t>
  </si>
  <si>
    <t>Steve Rash</t>
  </si>
  <si>
    <t>Under the RainbowÂ </t>
  </si>
  <si>
    <t>Simon BirchÂ </t>
  </si>
  <si>
    <t>Mike Binder</t>
  </si>
  <si>
    <t>Reign Over MeÂ </t>
  </si>
  <si>
    <t>Into the WildÂ </t>
  </si>
  <si>
    <t>School for ScoundrelsÂ </t>
  </si>
  <si>
    <t>Michael J. Bassett</t>
  </si>
  <si>
    <t>Silent Hill: Revelation 3DÂ </t>
  </si>
  <si>
    <t>From Dusk Till DawnÂ </t>
  </si>
  <si>
    <t>Frank Nissen</t>
  </si>
  <si>
    <t>Pooh's Heffalump MovieÂ </t>
  </si>
  <si>
    <t>Home for the HolidaysÂ </t>
  </si>
  <si>
    <t>Stephen Chow</t>
  </si>
  <si>
    <t>Kung Fu HustleÂ </t>
  </si>
  <si>
    <t>Peter Hastings</t>
  </si>
  <si>
    <t>The Country BearsÂ </t>
  </si>
  <si>
    <t>The Kite RunnerÂ </t>
  </si>
  <si>
    <t>Dari</t>
  </si>
  <si>
    <t>21 GramsÂ </t>
  </si>
  <si>
    <t>Paul Abascal</t>
  </si>
  <si>
    <t>PaparazziÂ </t>
  </si>
  <si>
    <t>Chris Koch</t>
  </si>
  <si>
    <t>A Guy ThingÂ </t>
  </si>
  <si>
    <t>Amy Heckerling</t>
  </si>
  <si>
    <t>LoserÂ </t>
  </si>
  <si>
    <t>George Stevens</t>
  </si>
  <si>
    <t>The Greatest Story Ever ToldÂ </t>
  </si>
  <si>
    <t>Disaster MovieÂ 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</si>
  <si>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</si>
  <si>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</si>
  <si>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</si>
  <si>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</si>
  <si>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</si>
  <si>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</si>
  <si>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</si>
  <si>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</si>
  <si>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</si>
  <si>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</si>
  <si>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One Night with the KingÂ </t>
  </si>
  <si>
    <t>The Quiet AmericanÂ </t>
  </si>
  <si>
    <t>The Weather ManÂ </t>
  </si>
  <si>
    <t>UndisputedÂ </t>
  </si>
  <si>
    <t>Ghost TownÂ </t>
  </si>
  <si>
    <t>12 RoundsÂ </t>
  </si>
  <si>
    <t>Let Me InÂ </t>
  </si>
  <si>
    <t>Charles T. Kanganis</t>
  </si>
  <si>
    <t>3 Ninjas Kick BackÂ </t>
  </si>
  <si>
    <t>Be Kind RewindÂ 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</si>
  <si>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</si>
  <si>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</si>
  <si>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</si>
  <si>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</si>
  <si>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</si>
  <si>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</si>
  <si>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</si>
  <si>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Everyone Says I Love YouÂ </t>
  </si>
  <si>
    <t>Death SentenceÂ </t>
  </si>
  <si>
    <t>Everybody's FineÂ </t>
  </si>
  <si>
    <t>Bob Clark</t>
  </si>
  <si>
    <t>Superbabies: Baby Geniuses 2Â </t>
  </si>
  <si>
    <t>The ManÂ </t>
  </si>
  <si>
    <t>Code Name: The CleanerÂ </t>
  </si>
  <si>
    <t>Connie and CarlaÂ </t>
  </si>
  <si>
    <t>Inherent ViceÂ </t>
  </si>
  <si>
    <t>Dave Borthwick</t>
  </si>
  <si>
    <t>DoogalÂ </t>
  </si>
  <si>
    <t>Benson Lee</t>
  </si>
  <si>
    <t>Battle of the YearÂ </t>
  </si>
  <si>
    <t>An American CarolÂ </t>
  </si>
  <si>
    <t>Machete KillsÂ </t>
  </si>
  <si>
    <t>Russia</t>
  </si>
  <si>
    <t>Glen Morgan</t>
  </si>
  <si>
    <t>WillardÂ </t>
  </si>
  <si>
    <t>Strange WildernessÂ </t>
  </si>
  <si>
    <t>Mike Leigh</t>
  </si>
  <si>
    <t>Topsy-TurvyÂ </t>
  </si>
  <si>
    <t>Alejandro Monteverde</t>
  </si>
  <si>
    <t>Little BoyÂ </t>
  </si>
  <si>
    <t>Mexico</t>
  </si>
  <si>
    <t>A Dangerous MethodÂ </t>
  </si>
  <si>
    <t>A Scanner DarklyÂ </t>
  </si>
  <si>
    <t>Chasing MavericksÂ </t>
  </si>
  <si>
    <t>Alone in the DarkÂ </t>
  </si>
  <si>
    <t>BandslamÂ </t>
  </si>
  <si>
    <t>Jonathan Glazer</t>
  </si>
  <si>
    <t>BirthÂ </t>
  </si>
  <si>
    <t>J.C. Chandor</t>
  </si>
  <si>
    <t>A Most Violent YearÂ </t>
  </si>
  <si>
    <t>Marc Abraham</t>
  </si>
  <si>
    <t>Flash of GeniusÂ </t>
  </si>
  <si>
    <t>Todd Haynes</t>
  </si>
  <si>
    <t>I'm Not There.Â </t>
  </si>
  <si>
    <t>Mabrouk El Mechri</t>
  </si>
  <si>
    <t>The Cold Light of DayÂ </t>
  </si>
  <si>
    <t>The Brothers BloomÂ </t>
  </si>
  <si>
    <t>Charlie Kaufman</t>
  </si>
  <si>
    <t>Synecdoche, New YorkÂ </t>
  </si>
  <si>
    <t>Princess MononokeÂ </t>
  </si>
  <si>
    <t>Jean-Paul Rappeneau</t>
  </si>
  <si>
    <t>Bon voyageÂ </t>
  </si>
  <si>
    <t>Nancy Walker</t>
  </si>
  <si>
    <t>Can't Stop the MusicÂ </t>
  </si>
  <si>
    <t>The PropositionÂ </t>
  </si>
  <si>
    <t>Angelo Pizzo</t>
  </si>
  <si>
    <t>CourageÂ 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</si>
  <si>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</si>
  <si>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</si>
  <si>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</si>
  <si>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</si>
  <si>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</si>
  <si>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</si>
  <si>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</si>
  <si>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</si>
  <si>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SteamboyÂ </t>
  </si>
  <si>
    <t>David Anspaugh</t>
  </si>
  <si>
    <t>The Game of Their LivesÂ </t>
  </si>
  <si>
    <t>Rapa NuiÂ </t>
  </si>
  <si>
    <t>Les couloirs du temps: Les visiteurs IIÂ </t>
  </si>
  <si>
    <t>Dylan Dog: Dead of NightÂ </t>
  </si>
  <si>
    <t>Daniel Algrant</t>
  </si>
  <si>
    <t>People I KnowÂ </t>
  </si>
  <si>
    <t>The TempestÂ </t>
  </si>
  <si>
    <t>The Painted VeilÂ </t>
  </si>
  <si>
    <t>The Baader Meinhof ComplexÂ </t>
  </si>
  <si>
    <t>German</t>
  </si>
  <si>
    <t>Dances with WolvesÂ </t>
  </si>
  <si>
    <t>Bad TeacherÂ </t>
  </si>
  <si>
    <t>Sea of LoveÂ </t>
  </si>
  <si>
    <t>Mark Rosman</t>
  </si>
  <si>
    <t>A Cinderella StoryÂ </t>
  </si>
  <si>
    <t>ScreamÂ </t>
  </si>
  <si>
    <t>Thir13en GhostsÂ </t>
  </si>
  <si>
    <t>Back to the FutureÂ </t>
  </si>
  <si>
    <t>House on Haunted HillÂ </t>
  </si>
  <si>
    <t>I Can Do Bad All by MyselfÂ </t>
  </si>
  <si>
    <t>The SwitchÂ </t>
  </si>
  <si>
    <t>Just MarriedÂ </t>
  </si>
  <si>
    <t>The Devil's DoubleÂ </t>
  </si>
  <si>
    <t>Britt Allcroft</t>
  </si>
  <si>
    <t>Thomas and the Magic RailroadÂ </t>
  </si>
  <si>
    <t>The CraziesÂ </t>
  </si>
  <si>
    <t>Spirited AwayÂ </t>
  </si>
  <si>
    <t>The BountyÂ </t>
  </si>
  <si>
    <t>Brian Percival</t>
  </si>
  <si>
    <t>The Book ThiefÂ </t>
  </si>
  <si>
    <t>Sex DriveÂ </t>
  </si>
  <si>
    <t>Anand Tucker</t>
  </si>
  <si>
    <t>Leap YearÂ </t>
  </si>
  <si>
    <t>Michael Dowse</t>
  </si>
  <si>
    <t>Take Me Home TonightÂ </t>
  </si>
  <si>
    <t>Emile Ardolino</t>
  </si>
  <si>
    <t>The NutcrackerÂ </t>
  </si>
  <si>
    <t>Robert Altman</t>
  </si>
  <si>
    <t>Kansas CityÂ </t>
  </si>
  <si>
    <t>Andrew Douglas</t>
  </si>
  <si>
    <t>The Amityville HorrorÂ </t>
  </si>
  <si>
    <t>Adaptation.Â </t>
  </si>
  <si>
    <t>George A. Romero</t>
  </si>
  <si>
    <t>Land of the DeadÂ </t>
  </si>
  <si>
    <t>Fear and Loathing in Las VegasÂ </t>
  </si>
  <si>
    <t>Ricky Gervais</t>
  </si>
  <si>
    <t>The Invention of LyingÂ </t>
  </si>
  <si>
    <t>NeighborsÂ </t>
  </si>
  <si>
    <t>The MaskÂ </t>
  </si>
  <si>
    <t>BigÂ </t>
  </si>
  <si>
    <t>Borat: Cultural Learnings of America for Make Benefit Glorious Nation of KazakhstanÂ 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</si>
  <si>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</si>
  <si>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</si>
  <si>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</si>
  <si>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</si>
  <si>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</si>
  <si>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Left BehindÂ 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</si>
  <si>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</si>
  <si>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</si>
  <si>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</si>
  <si>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</si>
  <si>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</si>
  <si>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My Big Fat Greek Wedding 2Â </t>
  </si>
  <si>
    <t>Diary of a Wimpy Kid: Rodrick RulesÂ </t>
  </si>
  <si>
    <t>PredatorÂ </t>
  </si>
  <si>
    <t>AmadeusÂ </t>
  </si>
  <si>
    <t>Nelson McCormick</t>
  </si>
  <si>
    <t>Prom NightÂ </t>
  </si>
  <si>
    <t>Mean GirlsÂ </t>
  </si>
  <si>
    <t>Audrey Wells</t>
  </si>
  <si>
    <t>Under the Tuscan SunÂ </t>
  </si>
  <si>
    <t>Gosford ParkÂ </t>
  </si>
  <si>
    <t>Peggy Sue Got MarriedÂ </t>
  </si>
  <si>
    <t>Birdman or (The Unexpected Virtue of Ignorance)Â </t>
  </si>
  <si>
    <t>Blue JasmineÂ </t>
  </si>
  <si>
    <t>United 93Â </t>
  </si>
  <si>
    <t>Bille Woodruff</t>
  </si>
  <si>
    <t>HoneyÂ </t>
  </si>
  <si>
    <t>Rick Friedberg</t>
  </si>
  <si>
    <t>Spy HardÂ </t>
  </si>
  <si>
    <t>The FogÂ </t>
  </si>
  <si>
    <t>Sean McNamara</t>
  </si>
  <si>
    <t>Soul SurferÂ </t>
  </si>
  <si>
    <t>Jody Hill</t>
  </si>
  <si>
    <t>Observe and ReportÂ </t>
  </si>
  <si>
    <t>Conan the DestroyerÂ </t>
  </si>
  <si>
    <t>Raging BullÂ </t>
  </si>
  <si>
    <t>Brandon Camp</t>
  </si>
  <si>
    <t>Love HappensÂ </t>
  </si>
  <si>
    <t>Young Sherlock HolmesÂ </t>
  </si>
  <si>
    <t>Kevin Tancharoen</t>
  </si>
  <si>
    <t>FameÂ </t>
  </si>
  <si>
    <t>127 HoursÂ </t>
  </si>
  <si>
    <t>Small Time CrooksÂ </t>
  </si>
  <si>
    <t>Nicholas Hytner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</si>
  <si>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</si>
  <si>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</si>
  <si>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</si>
  <si>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</si>
  <si>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</si>
  <si>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</si>
  <si>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I Love You, Beth CooperÂ </t>
  </si>
  <si>
    <t>Youth in RevoltÂ </t>
  </si>
  <si>
    <t>William A. Fraker</t>
  </si>
  <si>
    <t>The Legend of the Lone RangerÂ </t>
  </si>
  <si>
    <t>John Boorman</t>
  </si>
  <si>
    <t>The Tailor of PanamaÂ </t>
  </si>
  <si>
    <t>Courtney Solomon</t>
  </si>
  <si>
    <t>GetawayÂ </t>
  </si>
  <si>
    <t>The Ice StormÂ </t>
  </si>
  <si>
    <t>And So It GoesÂ </t>
  </si>
  <si>
    <t>Jeff Kanew</t>
  </si>
  <si>
    <t>Troop Beverly HillsÂ </t>
  </si>
  <si>
    <t>IstvÃ¡n SzabÃ³</t>
  </si>
  <si>
    <t>Being JuliaÂ </t>
  </si>
  <si>
    <t>9Â½ WeeksÂ </t>
  </si>
  <si>
    <t>Matthew Robbins</t>
  </si>
  <si>
    <t>DragonslayerÂ </t>
  </si>
  <si>
    <t>The Last StationÂ </t>
  </si>
  <si>
    <t>Ed WoodÂ </t>
  </si>
  <si>
    <t>Labor DayÂ </t>
  </si>
  <si>
    <t>Mongol: The Rise of Genghis KhanÂ </t>
  </si>
  <si>
    <t>Mongolian</t>
  </si>
  <si>
    <t>RocknRollaÂ </t>
  </si>
  <si>
    <t>Hal Needham</t>
  </si>
  <si>
    <t>MegaforceÂ </t>
  </si>
  <si>
    <t>HamletÂ </t>
  </si>
  <si>
    <t>Jeff Nichols</t>
  </si>
  <si>
    <t>Midnight SpecialÂ </t>
  </si>
  <si>
    <t>Greece</t>
  </si>
  <si>
    <t>Anything ElseÂ </t>
  </si>
  <si>
    <t>Jonathan Teplitzky</t>
  </si>
  <si>
    <t>The Railway ManÂ </t>
  </si>
  <si>
    <t>Michael Haneke</t>
  </si>
  <si>
    <t>The White RibbonÂ </t>
  </si>
  <si>
    <t>Mike Marvin</t>
  </si>
  <si>
    <t>The WraithÂ </t>
  </si>
  <si>
    <t>The Salton SeaÂ </t>
  </si>
  <si>
    <t>Lance Hool</t>
  </si>
  <si>
    <t>One Man's HeroÂ </t>
  </si>
  <si>
    <t>Christian Volckman</t>
  </si>
  <si>
    <t>RenaissanceÂ </t>
  </si>
  <si>
    <t>SuperbadÂ </t>
  </si>
  <si>
    <t>Step Up 2: The StreetsÂ </t>
  </si>
  <si>
    <t>Cory Edwards</t>
  </si>
  <si>
    <t>Hoodwinked!Â </t>
  </si>
  <si>
    <t>Terry George</t>
  </si>
  <si>
    <t>Hotel RwandaÂ </t>
  </si>
  <si>
    <t>Xavier Gens</t>
  </si>
  <si>
    <t>HitmanÂ </t>
  </si>
  <si>
    <t>Kasi Lemmons</t>
  </si>
  <si>
    <t>Black NativityÂ </t>
  </si>
  <si>
    <t>Matt Dillon</t>
  </si>
  <si>
    <t>City of GhostsÂ </t>
  </si>
  <si>
    <t>The OthersÂ </t>
  </si>
  <si>
    <t>AliensÂ </t>
  </si>
  <si>
    <t>George Cukor</t>
  </si>
  <si>
    <t>My Fair LadyÂ </t>
  </si>
  <si>
    <t>Jim Gillespie</t>
  </si>
  <si>
    <t>I Know What You Did Last SummerÂ </t>
  </si>
  <si>
    <t>Let's Be CopsÂ </t>
  </si>
  <si>
    <t>SidewaysÂ </t>
  </si>
  <si>
    <t>BeerfestÂ </t>
  </si>
  <si>
    <t>HalloweenÂ </t>
  </si>
  <si>
    <t>John Hoffman</t>
  </si>
  <si>
    <t>Good Boy!Â </t>
  </si>
  <si>
    <t>The Best Man HolidayÂ </t>
  </si>
  <si>
    <t>Smokin' AcesÂ </t>
  </si>
  <si>
    <t>Kevin Greutert</t>
  </si>
  <si>
    <t>Saw 3D: The Final ChapterÂ </t>
  </si>
  <si>
    <t>40 Days and 40 NightsÂ </t>
  </si>
  <si>
    <t>John Fortenberry</t>
  </si>
  <si>
    <t>A Night at the RoxburyÂ </t>
  </si>
  <si>
    <t>Daniel Barnz</t>
  </si>
  <si>
    <t>BeastlyÂ </t>
  </si>
  <si>
    <t>The Hills Have EyesÂ </t>
  </si>
  <si>
    <t>Dickie Roberts: Former Child StarÂ 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</si>
  <si>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</si>
  <si>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</si>
  <si>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</si>
  <si>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</si>
  <si>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</si>
  <si>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</si>
  <si>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</si>
  <si>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</si>
  <si>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Larry the Cable Guy: Health InspectorÂ </t>
  </si>
  <si>
    <t>Gary Halvorson</t>
  </si>
  <si>
    <t>The Adventures of Elmo in GrouchlandÂ </t>
  </si>
  <si>
    <t>Brooklyn's FinestÂ </t>
  </si>
  <si>
    <t>Fede Alvarez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</si>
  <si>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</si>
  <si>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</si>
  <si>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</si>
  <si>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</si>
  <si>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</si>
  <si>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</si>
  <si>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</si>
  <si>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</si>
  <si>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Shanghai SurpriseÂ </t>
  </si>
  <si>
    <t>The IllusionistÂ </t>
  </si>
  <si>
    <t>Noel Marshall</t>
  </si>
  <si>
    <t>RoarÂ </t>
  </si>
  <si>
    <t>Veronica GuerinÂ </t>
  </si>
  <si>
    <t>Andrea Di Stefano</t>
  </si>
  <si>
    <t>Escobar: Paradise LostÂ </t>
  </si>
  <si>
    <t>Southland TalesÂ </t>
  </si>
  <si>
    <t>Todd Lincoln</t>
  </si>
  <si>
    <t>The ApparitionÂ </t>
  </si>
  <si>
    <t>Howard Zieff</t>
  </si>
  <si>
    <t>My GirlÂ </t>
  </si>
  <si>
    <t>Steven Shainberg</t>
  </si>
  <si>
    <t>Fur: An Imaginary Portrait of Diane ArbusÂ </t>
  </si>
  <si>
    <t>Wall StreetÂ </t>
  </si>
  <si>
    <t>Sense and SensibilityÂ </t>
  </si>
  <si>
    <t>Julian Jarrold</t>
  </si>
  <si>
    <t>Becoming JaneÂ </t>
  </si>
  <si>
    <t>Joe Nussbaum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</si>
  <si>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</si>
  <si>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</si>
  <si>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</si>
  <si>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</si>
  <si>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</si>
  <si>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</si>
  <si>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When Harry Met Sally...Â </t>
  </si>
  <si>
    <t>The VerdictÂ </t>
  </si>
  <si>
    <t>Road TripÂ </t>
  </si>
  <si>
    <t>Varsity BluesÂ </t>
  </si>
  <si>
    <t>Michel Hazanavicius</t>
  </si>
  <si>
    <t>The ArtistÂ </t>
  </si>
  <si>
    <t>The UnbornÂ </t>
  </si>
  <si>
    <t>Moonrise KingdomÂ </t>
  </si>
  <si>
    <t>The Texas Chainsaw Massacre: The BeginningÂ </t>
  </si>
  <si>
    <t>Cyrus Nowrasteh</t>
  </si>
  <si>
    <t>The Young MessiahÂ </t>
  </si>
  <si>
    <t>Perry Andelin Blake</t>
  </si>
  <si>
    <t>The Master of DisguiseÂ </t>
  </si>
  <si>
    <t>Pan's LabyrinthÂ </t>
  </si>
  <si>
    <t>See Spot RunÂ </t>
  </si>
  <si>
    <t>Baby BoyÂ </t>
  </si>
  <si>
    <t>Christian E. Christiansen</t>
  </si>
  <si>
    <t>The RoommateÂ </t>
  </si>
  <si>
    <t>Joe DirtÂ </t>
  </si>
  <si>
    <t>Sheldon Lettich</t>
  </si>
  <si>
    <t>Double ImpactÂ 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</si>
  <si>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</si>
  <si>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</si>
  <si>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</si>
  <si>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</si>
  <si>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</si>
  <si>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</si>
  <si>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</si>
  <si>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</si>
  <si>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</si>
  <si>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</si>
  <si>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</si>
  <si>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</si>
  <si>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</si>
  <si>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</si>
  <si>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</si>
  <si>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</si>
  <si>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</si>
  <si>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</si>
  <si>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</si>
  <si>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The Thirteenth FloorÂ </t>
  </si>
  <si>
    <t>Bruce Paltrow</t>
  </si>
  <si>
    <t>DuetsÂ </t>
  </si>
  <si>
    <t>Hollywood EndingÂ </t>
  </si>
  <si>
    <t>Adam Rifkin</t>
  </si>
  <si>
    <t>Detroit Rock CityÂ </t>
  </si>
  <si>
    <t>HighlanderÂ </t>
  </si>
  <si>
    <t>Susanne Bier</t>
  </si>
  <si>
    <t>Things We Lost in the FireÂ </t>
  </si>
  <si>
    <t>Kenneth Johnson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</si>
  <si>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</si>
  <si>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</si>
  <si>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</si>
  <si>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</si>
  <si>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</si>
  <si>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</si>
  <si>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</si>
  <si>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</si>
  <si>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</si>
  <si>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</si>
  <si>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Enter the VoidÂ </t>
  </si>
  <si>
    <t>VampsÂ </t>
  </si>
  <si>
    <t>Tommy Lee Jones</t>
  </si>
  <si>
    <t>The HomesmanÂ </t>
  </si>
  <si>
    <t>Jesse Vaughan</t>
  </si>
  <si>
    <t>Juwanna MannÂ </t>
  </si>
  <si>
    <t>Wayne Beach</t>
  </si>
  <si>
    <t>Slow BurnÂ </t>
  </si>
  <si>
    <t>GÃ©rard Krawczyk</t>
  </si>
  <si>
    <t>WasabiÂ </t>
  </si>
  <si>
    <t>SlitherÂ </t>
  </si>
  <si>
    <t>Beverly Hills CopÂ </t>
  </si>
  <si>
    <t>Home AloneÂ </t>
  </si>
  <si>
    <t>3 Men and a BabyÂ </t>
  </si>
  <si>
    <t>TootsieÂ </t>
  </si>
  <si>
    <t>Top GunÂ 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</si>
  <si>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</si>
  <si>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</si>
  <si>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</si>
  <si>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</si>
  <si>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</si>
  <si>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</si>
  <si>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</si>
  <si>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</si>
  <si>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</si>
  <si>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</si>
  <si>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</si>
  <si>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</si>
  <si>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</si>
  <si>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</si>
  <si>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National Lampoon's VacationÂ </t>
  </si>
  <si>
    <t>Bad GrandpaÂ </t>
  </si>
  <si>
    <t>The QueenÂ </t>
  </si>
  <si>
    <t>BeetlejuiceÂ </t>
  </si>
  <si>
    <t>Why Did I Get Married?Â </t>
  </si>
  <si>
    <t>Gillian Armstrong</t>
  </si>
  <si>
    <t>Little WomenÂ </t>
  </si>
  <si>
    <t>James Watkins</t>
  </si>
  <si>
    <t>The Woman in BlackÂ </t>
  </si>
  <si>
    <t>When a Stranger CallsÂ </t>
  </si>
  <si>
    <t>Big Fat LiarÂ </t>
  </si>
  <si>
    <t>Wag the DogÂ </t>
  </si>
  <si>
    <t>Jim Fall</t>
  </si>
  <si>
    <t>The Lizzie McGuire MovieÂ </t>
  </si>
  <si>
    <t>Ric Roman Waugh</t>
  </si>
  <si>
    <t>SnitchÂ </t>
  </si>
  <si>
    <t>Michael Dougherty</t>
  </si>
  <si>
    <t>KrampusÂ 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</si>
  <si>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</si>
  <si>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</si>
  <si>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</si>
  <si>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</si>
  <si>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</si>
  <si>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</si>
  <si>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</si>
  <si>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</si>
  <si>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</si>
  <si>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</si>
  <si>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</si>
  <si>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</si>
  <si>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</si>
  <si>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</si>
  <si>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</si>
  <si>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</si>
  <si>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</si>
  <si>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The Wedding DateÂ </t>
  </si>
  <si>
    <t>Rick Rosenthal</t>
  </si>
  <si>
    <t>Halloween: ResurrectionÂ </t>
  </si>
  <si>
    <t>The Princess BrideÂ </t>
  </si>
  <si>
    <t>Denzel Washington</t>
  </si>
  <si>
    <t>The Great DebatersÂ </t>
  </si>
  <si>
    <t>Nicolas Winding Refn</t>
  </si>
  <si>
    <t>DriveÂ </t>
  </si>
  <si>
    <t>Sara Sugarman</t>
  </si>
  <si>
    <t>Confessions of a Teenage Drama QueenÂ </t>
  </si>
  <si>
    <t>The Object of My AffectionÂ </t>
  </si>
  <si>
    <t>Juan Carlos Fresnadillo</t>
  </si>
  <si>
    <t>28 Weeks LaterÂ 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</si>
  <si>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</si>
  <si>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</si>
  <si>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</si>
  <si>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</si>
  <si>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</si>
  <si>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</si>
  <si>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</si>
  <si>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</si>
  <si>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Book of Shadows: Blair Witch 2Â </t>
  </si>
  <si>
    <t>The CraftÂ </t>
  </si>
  <si>
    <t>Match PointÂ </t>
  </si>
  <si>
    <t>Elizabeth Allen Rosenbaum</t>
  </si>
  <si>
    <t>Ramona and BeezusÂ </t>
  </si>
  <si>
    <t>The Remains of the DayÂ </t>
  </si>
  <si>
    <t>Boogie NightsÂ </t>
  </si>
  <si>
    <t>Nowhere to RunÂ </t>
  </si>
  <si>
    <t>Michael Mayer</t>
  </si>
  <si>
    <t>FlickaÂ </t>
  </si>
  <si>
    <t>Martin Weisz</t>
  </si>
  <si>
    <t>The Hills Have Eyes IIÂ </t>
  </si>
  <si>
    <t>John Ottman</t>
  </si>
  <si>
    <t>Urban Legends: Final CutÂ </t>
  </si>
  <si>
    <t>Tuck EverlastingÂ </t>
  </si>
  <si>
    <t>John Bonito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</si>
  <si>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</si>
  <si>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</si>
  <si>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</si>
  <si>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</si>
  <si>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</si>
  <si>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</si>
  <si>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</si>
  <si>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</si>
  <si>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</si>
  <si>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</si>
  <si>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</si>
  <si>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</si>
  <si>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</si>
  <si>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</si>
  <si>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</si>
  <si>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</si>
  <si>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</si>
  <si>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</si>
  <si>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</si>
  <si>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</si>
  <si>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The Pirates Who Don't Do Anything: A VeggieTales MovieÂ </t>
  </si>
  <si>
    <t>Douglas Aarniokoski</t>
  </si>
  <si>
    <t>Highlander: EndgameÂ </t>
  </si>
  <si>
    <t>Bryan Barber</t>
  </si>
  <si>
    <t>IdlewildÂ </t>
  </si>
  <si>
    <t>Lone Scherfig</t>
  </si>
  <si>
    <t>One DayÂ </t>
  </si>
  <si>
    <t>Drew Barrymore</t>
  </si>
  <si>
    <t>Whip ItÂ </t>
  </si>
  <si>
    <t>James Foley</t>
  </si>
  <si>
    <t>ConfidenceÂ </t>
  </si>
  <si>
    <t>Albert Brooks</t>
  </si>
  <si>
    <t>The MuseÂ </t>
  </si>
  <si>
    <t>De-LovelyÂ </t>
  </si>
  <si>
    <t>New York StoriesÂ </t>
  </si>
  <si>
    <t>Steve Gomer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</si>
  <si>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</si>
  <si>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</si>
  <si>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</si>
  <si>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</si>
  <si>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</si>
  <si>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</si>
  <si>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</si>
  <si>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Raise Your VoiceÂ </t>
  </si>
  <si>
    <t>The Big LebowskiÂ </t>
  </si>
  <si>
    <t>Craig Brewer</t>
  </si>
  <si>
    <t>Black Snake MoanÂ </t>
  </si>
  <si>
    <t>Dark BlueÂ </t>
  </si>
  <si>
    <t>Michael Winterbottom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</si>
  <si>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</si>
  <si>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</si>
  <si>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</si>
  <si>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</si>
  <si>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</si>
  <si>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</si>
  <si>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</si>
  <si>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</si>
  <si>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</si>
  <si>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</si>
  <si>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</si>
  <si>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</si>
  <si>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</si>
  <si>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</si>
  <si>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</si>
  <si>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</si>
  <si>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</si>
  <si>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Whatever WorksÂ </t>
  </si>
  <si>
    <t>Mary Lambert</t>
  </si>
  <si>
    <t>The In CrowdÂ 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</si>
  <si>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</si>
  <si>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</si>
  <si>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</si>
  <si>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</si>
  <si>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</si>
  <si>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</si>
  <si>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</si>
  <si>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</si>
  <si>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</si>
  <si>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</si>
  <si>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</si>
  <si>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TranssiberianÂ </t>
  </si>
  <si>
    <t>Michael Chapman</t>
  </si>
  <si>
    <t>The Clan of the Cave BearÂ </t>
  </si>
  <si>
    <t>Antonio Banderas</t>
  </si>
  <si>
    <t>Crazy in AlabamaÂ </t>
  </si>
  <si>
    <t>Funny GamesÂ </t>
  </si>
  <si>
    <t>Fritz Lang</t>
  </si>
  <si>
    <t>MetropolisÂ </t>
  </si>
  <si>
    <t>District B13Â </t>
  </si>
  <si>
    <t>Things to Do in Denver When You're DeadÂ </t>
  </si>
  <si>
    <t>Hsiao-Hsien Hou</t>
  </si>
  <si>
    <t>The AssassinÂ </t>
  </si>
  <si>
    <t>Gregor Jordan</t>
  </si>
  <si>
    <t>Buffalo SoldiersÂ </t>
  </si>
  <si>
    <t>Tony Jaa</t>
  </si>
  <si>
    <t>Ong-bak 2Â </t>
  </si>
  <si>
    <t>Thai</t>
  </si>
  <si>
    <t>Thailand</t>
  </si>
  <si>
    <t>RyÃ»hei Kitamura</t>
  </si>
  <si>
    <t>The Midnight Meat TrainÂ </t>
  </si>
  <si>
    <t>Dito Montiel</t>
  </si>
  <si>
    <t>The Son of No OneÂ </t>
  </si>
  <si>
    <t>Stefan Ruzowitzky</t>
  </si>
  <si>
    <t>All the Queen's MenÂ </t>
  </si>
  <si>
    <t>Jake Paltrow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</si>
  <si>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</si>
  <si>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</si>
  <si>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</si>
  <si>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</si>
  <si>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</si>
  <si>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</si>
  <si>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</si>
  <si>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</si>
  <si>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</si>
  <si>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</si>
  <si>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Slumdog MillionaireÂ </t>
  </si>
  <si>
    <t>Fatal AttractionÂ </t>
  </si>
  <si>
    <t>Pretty WomanÂ </t>
  </si>
  <si>
    <t>John Cornell</t>
  </si>
  <si>
    <t>Crocodile Dundee IIÂ </t>
  </si>
  <si>
    <t>Born on the Fourth of JulyÂ </t>
  </si>
  <si>
    <t>Cool RunningsÂ </t>
  </si>
  <si>
    <t>My Bloody ValentineÂ </t>
  </si>
  <si>
    <t>Stomp the YardÂ 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</si>
  <si>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</si>
  <si>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</si>
  <si>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</si>
  <si>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</si>
  <si>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</si>
  <si>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</si>
  <si>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</si>
  <si>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Jonah: A VeggieTales MovieÂ </t>
  </si>
  <si>
    <t>Poetic JusticeÂ </t>
  </si>
  <si>
    <t>All About the BenjaminsÂ </t>
  </si>
  <si>
    <t>Vampire in BrooklynÂ </t>
  </si>
  <si>
    <t>An American HauntingÂ </t>
  </si>
  <si>
    <t>My Boss's DaughterÂ </t>
  </si>
  <si>
    <t>A Perfect GetawayÂ </t>
  </si>
  <si>
    <t>Rick Famuyiwa</t>
  </si>
  <si>
    <t>Our Family WeddingÂ </t>
  </si>
  <si>
    <t>Alan Cohn</t>
  </si>
  <si>
    <t>Dead Man on CampusÂ </t>
  </si>
  <si>
    <t>Franco Zeffirelli</t>
  </si>
  <si>
    <t>Tea with MussoliniÂ </t>
  </si>
  <si>
    <t>Tom Holland</t>
  </si>
  <si>
    <t>ThinnerÂ </t>
  </si>
  <si>
    <t>CrooklynÂ </t>
  </si>
  <si>
    <t>James Isaac</t>
  </si>
  <si>
    <t>Jason XÂ </t>
  </si>
  <si>
    <t>Emilio Estevez</t>
  </si>
  <si>
    <t>BobbyÂ </t>
  </si>
  <si>
    <t>Head Over HeelsÂ </t>
  </si>
  <si>
    <t>Josh Schwartz</t>
  </si>
  <si>
    <t>Fun SizeÂ </t>
  </si>
  <si>
    <t>Todd Field</t>
  </si>
  <si>
    <t>Little ChildrenÂ </t>
  </si>
  <si>
    <t>Davis Guggenheim</t>
  </si>
  <si>
    <t>GossipÂ </t>
  </si>
  <si>
    <t>A Walk on the MoonÂ </t>
  </si>
  <si>
    <t>Catch a FireÂ </t>
  </si>
  <si>
    <t>Stephen Carpenter</t>
  </si>
  <si>
    <t>Soul SurvivorsÂ </t>
  </si>
  <si>
    <t>Jefferson in ParisÂ </t>
  </si>
  <si>
    <t>James Fargo</t>
  </si>
  <si>
    <t>CaravansÂ </t>
  </si>
  <si>
    <t>Iran</t>
  </si>
  <si>
    <t>Mr. TurnerÂ </t>
  </si>
  <si>
    <t>Amen.Â 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</si>
  <si>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</si>
  <si>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</si>
  <si>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</si>
  <si>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</si>
  <si>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</si>
  <si>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</si>
  <si>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</si>
  <si>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</si>
  <si>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</si>
  <si>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</si>
  <si>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</si>
  <si>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The Sea InsideÂ </t>
  </si>
  <si>
    <t>Good Morning, VietnamÂ </t>
  </si>
  <si>
    <t>The Last GodfatherÂ </t>
  </si>
  <si>
    <t>Justin Bieber: Never Say NeverÂ </t>
  </si>
  <si>
    <t>Black SwanÂ </t>
  </si>
  <si>
    <t>The Godfather: Part IIÂ </t>
  </si>
  <si>
    <t>Save the Last DanceÂ 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</si>
  <si>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</si>
  <si>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</si>
  <si>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</si>
  <si>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</si>
  <si>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</si>
  <si>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</si>
  <si>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</si>
  <si>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</si>
  <si>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</si>
  <si>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</si>
  <si>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</si>
  <si>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</si>
  <si>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</si>
  <si>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</si>
  <si>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The ShallowsÂ </t>
  </si>
  <si>
    <t>Eric Bress</t>
  </si>
  <si>
    <t>The Butterfly EffectÂ </t>
  </si>
  <si>
    <t>Snow DayÂ </t>
  </si>
  <si>
    <t>Preston A. Whitmore II</t>
  </si>
  <si>
    <t>This ChristmasÂ </t>
  </si>
  <si>
    <t>Baby GeniusesÂ </t>
  </si>
  <si>
    <t>Kirk Wong</t>
  </si>
  <si>
    <t>The Big HitÂ </t>
  </si>
  <si>
    <t>Bronwen Hughes</t>
  </si>
  <si>
    <t>Harriet the SpyÂ </t>
  </si>
  <si>
    <t>John Lafia</t>
  </si>
  <si>
    <t>Child's Play 2Â </t>
  </si>
  <si>
    <t>Sam Miller</t>
  </si>
  <si>
    <t>No Good DeedÂ </t>
  </si>
  <si>
    <t>The MistÂ </t>
  </si>
  <si>
    <t>Alex Garland</t>
  </si>
  <si>
    <t>Ex MachinaÂ </t>
  </si>
  <si>
    <t>Being John MalkovichÂ </t>
  </si>
  <si>
    <t>Mark Brown</t>
  </si>
  <si>
    <t>Two Can Play That GameÂ </t>
  </si>
  <si>
    <t>Earth to EchoÂ </t>
  </si>
  <si>
    <t>Crazy/BeautifulÂ 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</si>
  <si>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</si>
  <si>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</si>
  <si>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</si>
  <si>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</si>
  <si>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</si>
  <si>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</si>
  <si>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</si>
  <si>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</si>
  <si>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</si>
  <si>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</si>
  <si>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</si>
  <si>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</si>
  <si>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</si>
  <si>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</si>
  <si>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</si>
  <si>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</si>
  <si>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</si>
  <si>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Bubble BoyÂ </t>
  </si>
  <si>
    <t>Jez Butterworth</t>
  </si>
  <si>
    <t>Birthday GirlÂ 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</si>
  <si>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</si>
  <si>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</si>
  <si>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</si>
  <si>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</si>
  <si>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</si>
  <si>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</si>
  <si>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</si>
  <si>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</si>
  <si>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</si>
  <si>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</si>
  <si>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</si>
  <si>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</si>
  <si>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</si>
  <si>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</si>
  <si>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Excessive ForceÂ </t>
  </si>
  <si>
    <t>InfamousÂ </t>
  </si>
  <si>
    <t>The ClaimÂ </t>
  </si>
  <si>
    <t>The Vatican TapesÂ </t>
  </si>
  <si>
    <t>Joe Cornish</t>
  </si>
  <si>
    <t>Attack the BlockÂ 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</si>
  <si>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</si>
  <si>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</si>
  <si>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</si>
  <si>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</si>
  <si>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</si>
  <si>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</si>
  <si>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The Crocodile Hunter: Collision CourseÂ </t>
  </si>
  <si>
    <t>I Love You Phillip MorrisÂ </t>
  </si>
  <si>
    <t>Antwone FisherÂ </t>
  </si>
  <si>
    <t>The Emperor's ClubÂ </t>
  </si>
  <si>
    <t>True RomanceÂ </t>
  </si>
  <si>
    <t>Glengarry Glen RossÂ </t>
  </si>
  <si>
    <t>The Killer Inside MeÂ </t>
  </si>
  <si>
    <t>Stewart Hendler</t>
  </si>
  <si>
    <t>Sorority RowÂ </t>
  </si>
  <si>
    <t>Lars and the Real GirlÂ </t>
  </si>
  <si>
    <t>Mark Herman</t>
  </si>
  <si>
    <t>The Boy in the Striped PajamasÂ </t>
  </si>
  <si>
    <t>Dancer in the DarkÂ </t>
  </si>
  <si>
    <t>Oscar and LucindaÂ </t>
  </si>
  <si>
    <t>Abel Ferrara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</si>
  <si>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</si>
  <si>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</si>
  <si>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</si>
  <si>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</si>
  <si>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</si>
  <si>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</si>
  <si>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</si>
  <si>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</si>
  <si>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</si>
  <si>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Tae Guk Gi: The Brotherhood of WarÂ </t>
  </si>
  <si>
    <t>Korean</t>
  </si>
  <si>
    <t>William Dear</t>
  </si>
  <si>
    <t>The Perfect GameÂ </t>
  </si>
  <si>
    <t>The ExorcistÂ </t>
  </si>
  <si>
    <t>JawsÂ </t>
  </si>
  <si>
    <t>American PieÂ </t>
  </si>
  <si>
    <t>StÃ©phane Aubier</t>
  </si>
  <si>
    <t>Ernest &amp; CelestineÂ </t>
  </si>
  <si>
    <t>The Golden ChildÂ </t>
  </si>
  <si>
    <t>Think Like a ManÂ </t>
  </si>
  <si>
    <t>BarbershopÂ </t>
  </si>
  <si>
    <t>Star Trek II: The Wrath of KhanÂ </t>
  </si>
  <si>
    <t>Ace Ventura: Pet DetectiveÂ </t>
  </si>
  <si>
    <t>John Badham</t>
  </si>
  <si>
    <t>WarGamesÂ </t>
  </si>
  <si>
    <t>WitnessÂ </t>
  </si>
  <si>
    <t>Mike McCoy</t>
  </si>
  <si>
    <t>Act of ValorÂ </t>
  </si>
  <si>
    <t>Step UpÂ </t>
  </si>
  <si>
    <t>Mike Judge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</si>
  <si>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</si>
  <si>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</si>
  <si>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</si>
  <si>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</si>
  <si>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</si>
  <si>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Time BanditsÂ </t>
  </si>
  <si>
    <t>Tamra Davis</t>
  </si>
  <si>
    <t>CrossroadsÂ </t>
  </si>
  <si>
    <t>Nima Nourizadeh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</si>
  <si>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</si>
  <si>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</si>
  <si>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</si>
  <si>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</si>
  <si>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</si>
  <si>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</si>
  <si>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</si>
  <si>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</si>
  <si>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</si>
  <si>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</si>
  <si>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The Muppet Christmas CarolÂ </t>
  </si>
  <si>
    <t>FridaÂ </t>
  </si>
  <si>
    <t>Dan Cutforth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</si>
  <si>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</si>
  <si>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</si>
  <si>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</si>
  <si>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</si>
  <si>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</si>
  <si>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</si>
  <si>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</si>
  <si>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</si>
  <si>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AquamarineÂ </t>
  </si>
  <si>
    <t>Jake Schreier</t>
  </si>
  <si>
    <t>Paper TownsÂ </t>
  </si>
  <si>
    <t>NebraskaÂ </t>
  </si>
  <si>
    <t>Ernest R. Dickerson</t>
  </si>
  <si>
    <t>Tales from the Crypt: Demon KnightÂ </t>
  </si>
  <si>
    <t>Max Keeble's Big MoveÂ </t>
  </si>
  <si>
    <t>Young AdultÂ </t>
  </si>
  <si>
    <t>CrankÂ </t>
  </si>
  <si>
    <t>Living Out LoudÂ </t>
  </si>
  <si>
    <t>Das BootÂ </t>
  </si>
  <si>
    <t>West Germany</t>
  </si>
  <si>
    <t>Wallace Wolodarsky</t>
  </si>
  <si>
    <t>Sorority BoysÂ </t>
  </si>
  <si>
    <t>About TimeÂ </t>
  </si>
  <si>
    <t>House of Flying DaggersÂ </t>
  </si>
  <si>
    <t>Nicholas Jarecki</t>
  </si>
  <si>
    <t>ArbitrageÂ </t>
  </si>
  <si>
    <t>Dean Israelite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</si>
  <si>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</si>
  <si>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</si>
  <si>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</si>
  <si>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</si>
  <si>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</si>
  <si>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</si>
  <si>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</si>
  <si>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</si>
  <si>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</si>
  <si>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CelebrityÂ </t>
  </si>
  <si>
    <t>Running with ScissorsÂ 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</si>
  <si>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</si>
  <si>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</si>
  <si>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</si>
  <si>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</si>
  <si>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</si>
  <si>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</si>
  <si>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</si>
  <si>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Antonia Bird</t>
  </si>
  <si>
    <t>RavenousÂ </t>
  </si>
  <si>
    <t>Jon Poll</t>
  </si>
  <si>
    <t>Charlie BartlettÂ </t>
  </si>
  <si>
    <t>Paolo Sorrentino</t>
  </si>
  <si>
    <t>The Great BeautyÂ </t>
  </si>
  <si>
    <t>Peter Care</t>
  </si>
  <si>
    <t>The Dangerous Lives of Altar BoysÂ </t>
  </si>
  <si>
    <t>Chan-wook Park</t>
  </si>
  <si>
    <t>StokerÂ </t>
  </si>
  <si>
    <t>2046Â </t>
  </si>
  <si>
    <t>Ira Sachs</t>
  </si>
  <si>
    <t>Married LifeÂ </t>
  </si>
  <si>
    <t>Carroll Ballard</t>
  </si>
  <si>
    <t>DumaÂ </t>
  </si>
  <si>
    <t>OndineÂ </t>
  </si>
  <si>
    <t>Takeshi Kitano</t>
  </si>
  <si>
    <t>BrotherÂ </t>
  </si>
  <si>
    <t>Welcome to CollinwoodÂ </t>
  </si>
  <si>
    <t>Critical CareÂ </t>
  </si>
  <si>
    <t>The Life Before Her EyesÂ </t>
  </si>
  <si>
    <t>Marco Kreuzpaintner</t>
  </si>
  <si>
    <t>TradeÂ </t>
  </si>
  <si>
    <t>Lajos Koltai</t>
  </si>
  <si>
    <t>FatelessÂ </t>
  </si>
  <si>
    <t>Hungarian</t>
  </si>
  <si>
    <t>Alan Rudolph</t>
  </si>
  <si>
    <t>Breakfast of ChampionsÂ </t>
  </si>
  <si>
    <t>Chuan Lu</t>
  </si>
  <si>
    <t>City of Life and DeathÂ </t>
  </si>
  <si>
    <t>5 Days of WarÂ </t>
  </si>
  <si>
    <t>Georgia</t>
  </si>
  <si>
    <t>Timothy Hines</t>
  </si>
  <si>
    <t>10 Days in a MadhouseÂ </t>
  </si>
  <si>
    <t>Heaven Is for RealÂ </t>
  </si>
  <si>
    <t>SnatchÂ </t>
  </si>
  <si>
    <t>Pet SemataryÂ </t>
  </si>
  <si>
    <t>Akira Kurosawa</t>
  </si>
  <si>
    <t>MadadayoÂ </t>
  </si>
  <si>
    <t>GremlinsÂ </t>
  </si>
  <si>
    <t>Star Wars: Episode IV - A New HopeÂ </t>
  </si>
  <si>
    <t>Dan Mazer</t>
  </si>
  <si>
    <t>Dirty GrandpaÂ </t>
  </si>
  <si>
    <t>Doctor ZhivagoÂ </t>
  </si>
  <si>
    <t>High School Musical 3: Senior YearÂ </t>
  </si>
  <si>
    <t>The FighterÂ </t>
  </si>
  <si>
    <t>My Cousin VinnyÂ </t>
  </si>
  <si>
    <t>R.J. Cutler</t>
  </si>
  <si>
    <t>If I StayÂ </t>
  </si>
  <si>
    <t>David S. Ward</t>
  </si>
  <si>
    <t>Major LeagueÂ </t>
  </si>
  <si>
    <t>Phone BoothÂ </t>
  </si>
  <si>
    <t>A Walk to RememberÂ 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</si>
  <si>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</si>
  <si>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</si>
  <si>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</si>
  <si>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</si>
  <si>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</si>
  <si>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</si>
  <si>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Raising CainÂ </t>
  </si>
  <si>
    <t>Invaders from MarsÂ </t>
  </si>
  <si>
    <t>John Crowley</t>
  </si>
  <si>
    <t>BrooklynÂ </t>
  </si>
  <si>
    <t>Brendan Malloy</t>
  </si>
  <si>
    <t>Out ColdÂ </t>
  </si>
  <si>
    <t>The Ladies ManÂ </t>
  </si>
  <si>
    <t>Dustin Hoffman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</si>
  <si>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</si>
  <si>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</si>
  <si>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</si>
  <si>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</si>
  <si>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</si>
  <si>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</si>
  <si>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</si>
  <si>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</si>
  <si>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</si>
  <si>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</si>
  <si>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</si>
  <si>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</si>
  <si>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</si>
  <si>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</si>
  <si>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</si>
  <si>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The GuruÂ </t>
  </si>
  <si>
    <t>The Perez FamilyÂ </t>
  </si>
  <si>
    <t>Inside Llewyn DavisÂ </t>
  </si>
  <si>
    <t>Tim Blake Nelson</t>
  </si>
  <si>
    <t>OÂ </t>
  </si>
  <si>
    <t>William A. Graham</t>
  </si>
  <si>
    <t>Return to the Blue LagoonÂ </t>
  </si>
  <si>
    <t>Agnieszka Holland</t>
  </si>
  <si>
    <t>Copying BeethovenÂ </t>
  </si>
  <si>
    <t>David Hackl</t>
  </si>
  <si>
    <t>Saw VÂ </t>
  </si>
  <si>
    <t>Ray Lawrence</t>
  </si>
  <si>
    <t>JindabyneÂ </t>
  </si>
  <si>
    <t>Karan Johar</t>
  </si>
  <si>
    <t>Kabhi Alvida Naa KehnaÂ </t>
  </si>
  <si>
    <t>Hindi</t>
  </si>
  <si>
    <t>An Ideal HusbandÂ </t>
  </si>
  <si>
    <t>Ruairi Robinson</t>
  </si>
  <si>
    <t>The Last Days on MarsÂ </t>
  </si>
  <si>
    <t>Jaume BalaguerÃ³</t>
  </si>
  <si>
    <t>DarknessÂ </t>
  </si>
  <si>
    <t>2001: A Space OdysseyÂ </t>
  </si>
  <si>
    <t>E.T. the Extra-TerrestrialÂ </t>
  </si>
  <si>
    <t>Jon Kasdan</t>
  </si>
  <si>
    <t>In the Land of WomenÂ </t>
  </si>
  <si>
    <t>Floyd Mutrux</t>
  </si>
  <si>
    <t>There Goes My BabyÂ </t>
  </si>
  <si>
    <t>Dean Wright</t>
  </si>
  <si>
    <t>For Greater Glory: The True Story of CristiadaÂ </t>
  </si>
  <si>
    <t>Good Will HuntingÂ </t>
  </si>
  <si>
    <t>Darren Lynn Bousman</t>
  </si>
  <si>
    <t>Saw IIIÂ 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</si>
  <si>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</si>
  <si>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</si>
  <si>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</si>
  <si>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</si>
  <si>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</si>
  <si>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</si>
  <si>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</si>
  <si>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Madea's Family ReunionÂ </t>
  </si>
  <si>
    <t>The Color of MoneyÂ </t>
  </si>
  <si>
    <t>The Mighty DucksÂ </t>
  </si>
  <si>
    <t>The GrudgeÂ </t>
  </si>
  <si>
    <t>Happy GilmoreÂ </t>
  </si>
  <si>
    <t>Jeepers CreepersÂ </t>
  </si>
  <si>
    <t>Bill &amp; Ted's Excellent AdventureÂ </t>
  </si>
  <si>
    <t>Carol Reed</t>
  </si>
  <si>
    <t>Oliver!Â </t>
  </si>
  <si>
    <t>The Best Exotic Marigold HotelÂ </t>
  </si>
  <si>
    <t>Chuck Sheetz</t>
  </si>
  <si>
    <t>Recess: School's OutÂ </t>
  </si>
  <si>
    <t>Mad Max Beyond ThunderdomeÂ 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</si>
  <si>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</si>
  <si>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</si>
  <si>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</si>
  <si>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</si>
  <si>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</si>
  <si>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</si>
  <si>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</si>
  <si>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The Last DragonÂ </t>
  </si>
  <si>
    <t>The Lawnmower ManÂ </t>
  </si>
  <si>
    <t>Peter Sollett</t>
  </si>
  <si>
    <t>Nick and Norah's Infinite PlaylistÂ </t>
  </si>
  <si>
    <t>DogmaÂ </t>
  </si>
  <si>
    <t>Bob Dolman</t>
  </si>
  <si>
    <t>The Banger SistersÂ 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</si>
  <si>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</si>
  <si>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</si>
  <si>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</si>
  <si>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</si>
  <si>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</si>
  <si>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</si>
  <si>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</si>
  <si>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</si>
  <si>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</si>
  <si>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</si>
  <si>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Sinister 2Â </t>
  </si>
  <si>
    <t>Salim Akil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</si>
  <si>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</si>
  <si>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</si>
  <si>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</si>
  <si>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</si>
  <si>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</si>
  <si>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</si>
  <si>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</si>
  <si>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</si>
  <si>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SkylineÂ </t>
  </si>
  <si>
    <t>The Second Best Exotic Marigold HotelÂ </t>
  </si>
  <si>
    <t>Patricia Rozema</t>
  </si>
  <si>
    <t>Kit Kittredge: An American GirlÂ </t>
  </si>
  <si>
    <t>The Perfect ManÂ </t>
  </si>
  <si>
    <t>Mo' Better BluesÂ </t>
  </si>
  <si>
    <t>Kung Pow: Enter the FistÂ </t>
  </si>
  <si>
    <t>TremorsÂ </t>
  </si>
  <si>
    <t>Rob Schmidt</t>
  </si>
  <si>
    <t>Wrong TurnÂ </t>
  </si>
  <si>
    <t>The CorruptorÂ </t>
  </si>
  <si>
    <t>MudÂ </t>
  </si>
  <si>
    <t>Robert Ben Garant</t>
  </si>
  <si>
    <t>Reno 911!: MiamiÂ </t>
  </si>
  <si>
    <t>Morgan Spurlock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</si>
  <si>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</si>
  <si>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</si>
  <si>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</si>
  <si>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</si>
  <si>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</si>
  <si>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</si>
  <si>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</si>
  <si>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</si>
  <si>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</si>
  <si>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</si>
  <si>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End of the SpearÂ </t>
  </si>
  <si>
    <t>Get Over ItÂ </t>
  </si>
  <si>
    <t>Office SpaceÂ </t>
  </si>
  <si>
    <t>Michael Patrick Jann</t>
  </si>
  <si>
    <t>Drop Dead GorgeousÂ </t>
  </si>
  <si>
    <t>Big EyesÂ </t>
  </si>
  <si>
    <t>Very Bad ThingsÂ </t>
  </si>
  <si>
    <t>SleepoverÂ </t>
  </si>
  <si>
    <t>Jorma Taccone</t>
  </si>
  <si>
    <t>MacGruberÂ </t>
  </si>
  <si>
    <t>Dirty Pretty ThingsÂ </t>
  </si>
  <si>
    <t>Movie 43Â </t>
  </si>
  <si>
    <t>Jeff Lowell</t>
  </si>
  <si>
    <t>Over Her Dead BodyÂ </t>
  </si>
  <si>
    <t>Lorene Scafaria</t>
  </si>
  <si>
    <t>Seeking a Friend for the End of the WorldÂ </t>
  </si>
  <si>
    <t>Tony Kaye</t>
  </si>
  <si>
    <t>American History XÂ </t>
  </si>
  <si>
    <t>Marcus Dunstan</t>
  </si>
  <si>
    <t>The CollectionÂ </t>
  </si>
  <si>
    <t>Timothy BjÃ¶rklund</t>
  </si>
  <si>
    <t>Teacher's PetÂ </t>
  </si>
  <si>
    <t>FranÃ§ois Girard</t>
  </si>
  <si>
    <t>The Red ViolinÂ </t>
  </si>
  <si>
    <t>The Straight StoryÂ </t>
  </si>
  <si>
    <t>Scott Kalvert</t>
  </si>
  <si>
    <t>Deuces WildÂ </t>
  </si>
  <si>
    <t>Jason Bateman</t>
  </si>
  <si>
    <t>Bad WordsÂ </t>
  </si>
  <si>
    <t>Black or WhiteÂ </t>
  </si>
  <si>
    <t>Eric Bross</t>
  </si>
  <si>
    <t>On the LineÂ 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</si>
  <si>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</si>
  <si>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</si>
  <si>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</si>
  <si>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</si>
  <si>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</si>
  <si>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</si>
  <si>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I Am LoveÂ </t>
  </si>
  <si>
    <t>John Putch</t>
  </si>
  <si>
    <t>Atlas Shrugged II: The StrikeÂ </t>
  </si>
  <si>
    <t>Peter Medak</t>
  </si>
  <si>
    <t>Romeo Is BleedingÂ </t>
  </si>
  <si>
    <t>The LimeyÂ </t>
  </si>
  <si>
    <t>CrashÂ </t>
  </si>
  <si>
    <t>Terence Davies</t>
  </si>
  <si>
    <t>The House of MirthÂ </t>
  </si>
  <si>
    <t>Harley Cokeliss</t>
  </si>
  <si>
    <t>MaloneÂ </t>
  </si>
  <si>
    <t>Peaceful WarriorÂ </t>
  </si>
  <si>
    <t>Tom Brady</t>
  </si>
  <si>
    <t>Bucky Larson: Born to Be a StarÂ </t>
  </si>
  <si>
    <t>BamboozledÂ </t>
  </si>
  <si>
    <t>Jason Zada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</si>
  <si>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</si>
  <si>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</si>
  <si>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</si>
  <si>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</si>
  <si>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</si>
  <si>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</si>
  <si>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</si>
  <si>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</si>
  <si>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</si>
  <si>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</si>
  <si>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</si>
  <si>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</si>
  <si>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</si>
  <si>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</si>
  <si>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</si>
  <si>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</si>
  <si>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</si>
  <si>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</si>
  <si>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</si>
  <si>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</si>
  <si>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</si>
  <si>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</si>
  <si>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War, Inc.Â </t>
  </si>
  <si>
    <t>Shaolin SoccerÂ </t>
  </si>
  <si>
    <t>Vincent Gallo</t>
  </si>
  <si>
    <t>The Brown BunnyÂ </t>
  </si>
  <si>
    <t>Claude Chabrol</t>
  </si>
  <si>
    <t>The SwindleÂ </t>
  </si>
  <si>
    <t>Jon Stewart</t>
  </si>
  <si>
    <t>RosewaterÂ </t>
  </si>
  <si>
    <t>Dan Harris</t>
  </si>
  <si>
    <t>Imaginary HeroesÂ </t>
  </si>
  <si>
    <t>Mel Smith</t>
  </si>
  <si>
    <t>High Heels and Low LifesÂ </t>
  </si>
  <si>
    <t>Christopher Smith</t>
  </si>
  <si>
    <t>SeveranceÂ </t>
  </si>
  <si>
    <t>EdmondÂ </t>
  </si>
  <si>
    <t>Alan Metter</t>
  </si>
  <si>
    <t>Police Academy: Mission to MoscowÂ </t>
  </si>
  <si>
    <t>Rafa Lara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</si>
  <si>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</si>
  <si>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</si>
  <si>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</si>
  <si>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</si>
  <si>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</si>
  <si>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</si>
  <si>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The Good GuyÂ </t>
  </si>
  <si>
    <t>Katherine Dieckmann</t>
  </si>
  <si>
    <t>MotherhoodÂ </t>
  </si>
  <si>
    <t>Scott Marshall</t>
  </si>
  <si>
    <t>Blonde AmbitionÂ </t>
  </si>
  <si>
    <t>Ãlex de la Iglesia</t>
  </si>
  <si>
    <t>The Oxford MurdersÂ </t>
  </si>
  <si>
    <t>Michael Clancy</t>
  </si>
  <si>
    <t>EulogyÂ </t>
  </si>
  <si>
    <t>Benedikt Erlingsson</t>
  </si>
  <si>
    <t>Of Horses and MenÂ </t>
  </si>
  <si>
    <t>Icelandic</t>
  </si>
  <si>
    <t>Iceland</t>
  </si>
  <si>
    <t>The Good, the Bad, the WeirdÂ </t>
  </si>
  <si>
    <t>Andy Garcia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</si>
  <si>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</si>
  <si>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</si>
  <si>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</si>
  <si>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</si>
  <si>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</si>
  <si>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</si>
  <si>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</si>
  <si>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</si>
  <si>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</si>
  <si>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</si>
  <si>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KitesÂ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</si>
  <si>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</si>
  <si>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</si>
  <si>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</si>
  <si>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</si>
  <si>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</si>
  <si>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</si>
  <si>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</si>
  <si>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Fiddler on the RoofÂ </t>
  </si>
  <si>
    <t>Terence Young</t>
  </si>
  <si>
    <t>ThunderballÂ </t>
  </si>
  <si>
    <t>Set It OffÂ </t>
  </si>
  <si>
    <t>The Best ManÂ </t>
  </si>
  <si>
    <t>Child's PlayÂ </t>
  </si>
  <si>
    <t>Michael Moore</t>
  </si>
  <si>
    <t>SickoÂ 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</si>
  <si>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</si>
  <si>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</si>
  <si>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</si>
  <si>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</si>
  <si>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</si>
  <si>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</si>
  <si>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</si>
  <si>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</si>
  <si>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Henry VÂ 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</si>
  <si>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</si>
  <si>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</si>
  <si>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</si>
  <si>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</si>
  <si>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</si>
  <si>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</si>
  <si>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</si>
  <si>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</si>
  <si>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</si>
  <si>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The Legend of SuriyothaiÂ </t>
  </si>
  <si>
    <t>Dario Argento</t>
  </si>
  <si>
    <t>Two Evil EyesÂ </t>
  </si>
  <si>
    <t>All or NothingÂ </t>
  </si>
  <si>
    <t>Marc Forby</t>
  </si>
  <si>
    <t>Princess KaiulaniÂ </t>
  </si>
  <si>
    <t>Opal DreamÂ </t>
  </si>
  <si>
    <t>Ole Christian Madsen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</si>
  <si>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</si>
  <si>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</si>
  <si>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</si>
  <si>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</si>
  <si>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</si>
  <si>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</si>
  <si>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</si>
  <si>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AwakeÂ </t>
  </si>
  <si>
    <t>Ekachai Uekrongtham</t>
  </si>
  <si>
    <t>Skin TradeÂ </t>
  </si>
  <si>
    <t>Crazy HeartÂ </t>
  </si>
  <si>
    <t>Mark Rydell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</si>
  <si>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</si>
  <si>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</si>
  <si>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</si>
  <si>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</si>
  <si>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</si>
  <si>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</si>
  <si>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</si>
  <si>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GlitterÂ </t>
  </si>
  <si>
    <t>Bright StarÂ </t>
  </si>
  <si>
    <t>My Name Is KhanÂ </t>
  </si>
  <si>
    <t>All Is LostÂ </t>
  </si>
  <si>
    <t>John Sayles</t>
  </si>
  <si>
    <t>LimboÂ </t>
  </si>
  <si>
    <t>Repo! The Genetic OperaÂ </t>
  </si>
  <si>
    <t>Pulp FictionÂ </t>
  </si>
  <si>
    <t>Dan Gilroy</t>
  </si>
  <si>
    <t>NightcrawlerÂ </t>
  </si>
  <si>
    <t>Club DreadÂ </t>
  </si>
  <si>
    <t>The Sound of MusicÂ </t>
  </si>
  <si>
    <t>SplashÂ </t>
  </si>
  <si>
    <t>Jonathan Dayton</t>
  </si>
  <si>
    <t>Little Miss SunshineÂ </t>
  </si>
  <si>
    <t>Stand by MeÂ </t>
  </si>
  <si>
    <t>28 Days Later...Â </t>
  </si>
  <si>
    <t>Chris Stokes</t>
  </si>
  <si>
    <t>You Got ServedÂ </t>
  </si>
  <si>
    <t>Don Siegel</t>
  </si>
  <si>
    <t>Escape from AlcatrazÂ </t>
  </si>
  <si>
    <t>Brown SugarÂ </t>
  </si>
  <si>
    <t>Martin Lawrence</t>
  </si>
  <si>
    <t>A Thin Line Between Love and HateÂ </t>
  </si>
  <si>
    <t>50/50Â </t>
  </si>
  <si>
    <t>Masayuki Ochiai</t>
  </si>
  <si>
    <t>ShutterÂ </t>
  </si>
  <si>
    <t>Tom Gormican</t>
  </si>
  <si>
    <t>That Awkward MomentÂ </t>
  </si>
  <si>
    <t>Much Ado About NothingÂ </t>
  </si>
  <si>
    <t>Peter R. Hunt</t>
  </si>
  <si>
    <t>On Her Majesty's Secret ServiceÂ </t>
  </si>
  <si>
    <t>New NightmareÂ 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</si>
  <si>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</si>
  <si>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</si>
  <si>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</si>
  <si>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</si>
  <si>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</si>
  <si>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</si>
  <si>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</si>
  <si>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</si>
  <si>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</si>
  <si>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</si>
  <si>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Enough SaidÂ </t>
  </si>
  <si>
    <t>Easy AÂ </t>
  </si>
  <si>
    <t>Shadow of the VampireÂ </t>
  </si>
  <si>
    <t>PromÂ </t>
  </si>
  <si>
    <t>Held UpÂ </t>
  </si>
  <si>
    <t>Fina Torres</t>
  </si>
  <si>
    <t>Woman on TopÂ </t>
  </si>
  <si>
    <t>Duke Johnson</t>
  </si>
  <si>
    <t>AnomalisaÂ </t>
  </si>
  <si>
    <t>Another YearÂ </t>
  </si>
  <si>
    <t>FranÃ§ois Ozon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</si>
  <si>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</si>
  <si>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</si>
  <si>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</si>
  <si>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</si>
  <si>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</si>
  <si>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</si>
  <si>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</si>
  <si>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</si>
  <si>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</si>
  <si>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</si>
  <si>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</si>
  <si>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</si>
  <si>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</si>
  <si>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</si>
  <si>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</si>
  <si>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</si>
  <si>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</si>
  <si>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</si>
  <si>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The Singing DetectiveÂ </t>
  </si>
  <si>
    <t>Andrew Currie</t>
  </si>
  <si>
    <t>FidoÂ </t>
  </si>
  <si>
    <t>Andrew Wilson</t>
  </si>
  <si>
    <t>The Wendell Baker StoryÂ 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</si>
  <si>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</si>
  <si>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</si>
  <si>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</si>
  <si>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</si>
  <si>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</si>
  <si>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</si>
  <si>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</si>
  <si>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</si>
  <si>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AloftÂ </t>
  </si>
  <si>
    <t>AkiraÂ </t>
  </si>
  <si>
    <t>Ol Parker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</si>
  <si>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</si>
  <si>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</si>
  <si>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</si>
  <si>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</si>
  <si>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</si>
  <si>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</si>
  <si>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</si>
  <si>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</si>
  <si>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</si>
  <si>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</si>
  <si>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</si>
  <si>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</si>
  <si>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The Hotel New HampshireÂ </t>
  </si>
  <si>
    <t>NarcÂ </t>
  </si>
  <si>
    <t>Paul Gross</t>
  </si>
  <si>
    <t>Men with BroomsÂ </t>
  </si>
  <si>
    <t>Charles Robert Carner</t>
  </si>
  <si>
    <t>Witless ProtectionÂ </t>
  </si>
  <si>
    <t>Russell Holt</t>
  </si>
  <si>
    <t>The Work and the GloryÂ </t>
  </si>
  <si>
    <t>ExtractÂ </t>
  </si>
  <si>
    <t>Claude Miller</t>
  </si>
  <si>
    <t>Alias BettyÂ </t>
  </si>
  <si>
    <t>Code 46Â </t>
  </si>
  <si>
    <t>Rodrigo GarcÃ­a</t>
  </si>
  <si>
    <t>Albert NobbsÂ </t>
  </si>
  <si>
    <t>Siddharth Anand</t>
  </si>
  <si>
    <t>Ta Ra Rum PumÂ </t>
  </si>
  <si>
    <t>Vincent Paronnaud</t>
  </si>
  <si>
    <t>PersepolisÂ </t>
  </si>
  <si>
    <t>The Neon DemonÂ </t>
  </si>
  <si>
    <t>Daniel Barber</t>
  </si>
  <si>
    <t>Harry BrownÂ </t>
  </si>
  <si>
    <t>Robert Marcarelli</t>
  </si>
  <si>
    <t>The Omega CodeÂ </t>
  </si>
  <si>
    <t>JunoÂ </t>
  </si>
  <si>
    <t>Guy Hamilton</t>
  </si>
  <si>
    <t>Diamonds Are ForeverÂ </t>
  </si>
  <si>
    <t>The GodfatherÂ </t>
  </si>
  <si>
    <t>FlashdanceÂ </t>
  </si>
  <si>
    <t>500 Days of SummerÂ </t>
  </si>
  <si>
    <t>The PianoÂ </t>
  </si>
  <si>
    <t>Magic MikeÂ 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</si>
  <si>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</si>
  <si>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</si>
  <si>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</si>
  <si>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</si>
  <si>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</si>
  <si>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</si>
  <si>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</si>
  <si>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</si>
  <si>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Logan's RunÂ </t>
  </si>
  <si>
    <t>The Man with the Golden GunÂ </t>
  </si>
  <si>
    <t>Action JacksonÂ </t>
  </si>
  <si>
    <t>The DescentÂ </t>
  </si>
  <si>
    <t>Matt Bettinelli-Olpin</t>
  </si>
  <si>
    <t>Devil's DueÂ </t>
  </si>
  <si>
    <t>Flirting with DisasterÂ </t>
  </si>
  <si>
    <t>The Devil's RejectsÂ </t>
  </si>
  <si>
    <t>DopeÂ </t>
  </si>
  <si>
    <t>In Too DeepÂ </t>
  </si>
  <si>
    <t>House of 1000 CorpsesÂ 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</si>
  <si>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</si>
  <si>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</si>
  <si>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</si>
  <si>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</si>
  <si>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</si>
  <si>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</si>
  <si>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</si>
  <si>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</si>
  <si>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Outside ProvidenceÂ </t>
  </si>
  <si>
    <t>Gurinder Chadha</t>
  </si>
  <si>
    <t>Bride &amp; PrejudiceÂ </t>
  </si>
  <si>
    <t>Rabbit-Proof FenceÂ </t>
  </si>
  <si>
    <t>Who's Your Caddy?Â </t>
  </si>
  <si>
    <t>Tony Maylam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</si>
  <si>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</si>
  <si>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</si>
  <si>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</si>
  <si>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</si>
  <si>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</si>
  <si>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</si>
  <si>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</si>
  <si>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</si>
  <si>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</si>
  <si>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</si>
  <si>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</si>
  <si>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</si>
  <si>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</si>
  <si>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</si>
  <si>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</si>
  <si>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</si>
  <si>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</si>
  <si>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</si>
  <si>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</si>
  <si>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</si>
  <si>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</si>
  <si>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</si>
  <si>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</si>
  <si>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</si>
  <si>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</si>
  <si>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</si>
  <si>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</si>
  <si>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</si>
  <si>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</si>
  <si>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The Extra ManÂ </t>
  </si>
  <si>
    <t>Stephen Milburn Anderson</t>
  </si>
  <si>
    <t>Ca$hÂ </t>
  </si>
  <si>
    <t>Richard E. Grant</t>
  </si>
  <si>
    <t>Wah-WahÂ </t>
  </si>
  <si>
    <t>Pale RiderÂ </t>
  </si>
  <si>
    <t>Dazed and ConfusedÂ </t>
  </si>
  <si>
    <t>Max FÃ¤rberbÃ¶ck</t>
  </si>
  <si>
    <t>Aimee &amp; JaguarÂ </t>
  </si>
  <si>
    <t>Arie Posin</t>
  </si>
  <si>
    <t>The ChumscrubberÂ </t>
  </si>
  <si>
    <t>Damian Nieman</t>
  </si>
  <si>
    <t>ShadeÂ </t>
  </si>
  <si>
    <t>Mark Tonderai</t>
  </si>
  <si>
    <t>House at the End of the StreetÂ </t>
  </si>
  <si>
    <t>IncendiesÂ </t>
  </si>
  <si>
    <t>Remember Me, My LoveÂ </t>
  </si>
  <si>
    <t>Elite SquadÂ </t>
  </si>
  <si>
    <t>Portuguese</t>
  </si>
  <si>
    <t>Brazil</t>
  </si>
  <si>
    <t>AnnabelleÂ </t>
  </si>
  <si>
    <t>Rachel Perkins</t>
  </si>
  <si>
    <t>Bran Nue DaeÂ </t>
  </si>
  <si>
    <t>Boyz n the HoodÂ </t>
  </si>
  <si>
    <t>Luis Valdez</t>
  </si>
  <si>
    <t>La BambaÂ </t>
  </si>
  <si>
    <t>Dressed to KillÂ </t>
  </si>
  <si>
    <t>The Adventures of Huck FinnÂ </t>
  </si>
  <si>
    <t>GoÂ </t>
  </si>
  <si>
    <t>Friends with MoneyÂ </t>
  </si>
  <si>
    <t>Louis Morneau</t>
  </si>
  <si>
    <t>BatsÂ </t>
  </si>
  <si>
    <t>Caroline Link</t>
  </si>
  <si>
    <t>Nowhere in AfricaÂ </t>
  </si>
  <si>
    <t>ShameÂ </t>
  </si>
  <si>
    <t>Layer CakeÂ </t>
  </si>
  <si>
    <t>Sterling Van Wagenen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</si>
  <si>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</si>
  <si>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</si>
  <si>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</si>
  <si>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</si>
  <si>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</si>
  <si>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</si>
  <si>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</si>
  <si>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</si>
  <si>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ControlÂ </t>
  </si>
  <si>
    <t>The TerminatorÂ </t>
  </si>
  <si>
    <t>Wolfgang Becker</t>
  </si>
  <si>
    <t>Good Bye Lenin!Â </t>
  </si>
  <si>
    <t>The Damned UnitedÂ </t>
  </si>
  <si>
    <t>MallratsÂ </t>
  </si>
  <si>
    <t>GreaseÂ </t>
  </si>
  <si>
    <t>PlatoonÂ </t>
  </si>
  <si>
    <t>Fahrenheit 9/11Â </t>
  </si>
  <si>
    <t>George Roy Hill</t>
  </si>
  <si>
    <t>Butch Cassidy and the Sundance KidÂ </t>
  </si>
  <si>
    <t>Robert Stevenson</t>
  </si>
  <si>
    <t>Mary PoppinsÂ </t>
  </si>
  <si>
    <t>Ordinary PeopleÂ </t>
  </si>
  <si>
    <t>Jerome Robbins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</si>
  <si>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</si>
  <si>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</si>
  <si>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</si>
  <si>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</si>
  <si>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</si>
  <si>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</si>
  <si>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</si>
  <si>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</si>
  <si>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</si>
  <si>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</si>
  <si>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</si>
  <si>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</si>
  <si>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</si>
  <si>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</si>
  <si>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</si>
  <si>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</si>
  <si>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</si>
  <si>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</si>
  <si>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</si>
  <si>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</si>
  <si>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</si>
  <si>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</si>
  <si>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</si>
  <si>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</si>
  <si>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</si>
  <si>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Jean-Jacques Mantello</t>
  </si>
  <si>
    <t>Dolphins and Whales 3D: Tribes of the OceanÂ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</si>
  <si>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</si>
  <si>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</si>
  <si>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</si>
  <si>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</si>
  <si>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</si>
  <si>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</si>
  <si>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</si>
  <si>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</si>
  <si>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</si>
  <si>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</si>
  <si>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</si>
  <si>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</si>
  <si>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</si>
  <si>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</si>
  <si>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</si>
  <si>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</si>
  <si>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</si>
  <si>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</si>
  <si>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</si>
  <si>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</si>
  <si>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</si>
  <si>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</si>
  <si>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Hedwig and the Angry InchÂ </t>
  </si>
  <si>
    <t>Only the StrongÂ </t>
  </si>
  <si>
    <t>Billy Ray</t>
  </si>
  <si>
    <t>Shattered GlassÂ </t>
  </si>
  <si>
    <t>David Atkins</t>
  </si>
  <si>
    <t>NovocaineÂ </t>
  </si>
  <si>
    <t>The WacknessÂ </t>
  </si>
  <si>
    <t>Sylvio Tabet</t>
  </si>
  <si>
    <t>Beastmaster 2: Through the Portal of TimeÂ </t>
  </si>
  <si>
    <t>Rick Bieber</t>
  </si>
  <si>
    <t>The 5th QuarterÂ </t>
  </si>
  <si>
    <t>The GreatestÂ </t>
  </si>
  <si>
    <t>Snow Flower and the Secret FanÂ </t>
  </si>
  <si>
    <t>Joey Lauren Adams</t>
  </si>
  <si>
    <t>Come Early MorningÂ 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</si>
  <si>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</si>
  <si>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</si>
  <si>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</si>
  <si>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</si>
  <si>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</si>
  <si>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</si>
  <si>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Kate Barker-Froyland</t>
  </si>
  <si>
    <t>Song OneÂ </t>
  </si>
  <si>
    <t>Martin Koolhoven</t>
  </si>
  <si>
    <t>Winter in WartimeÂ </t>
  </si>
  <si>
    <t>Prachya Pinkaew</t>
  </si>
  <si>
    <t>The ProtectorÂ </t>
  </si>
  <si>
    <t>Bend It Like BeckhamÂ </t>
  </si>
  <si>
    <t>Sunshine StateÂ </t>
  </si>
  <si>
    <t>CrossoverÂ </t>
  </si>
  <si>
    <t>[Rec] 2Â </t>
  </si>
  <si>
    <t>The StingÂ </t>
  </si>
  <si>
    <t>Chariots of FireÂ </t>
  </si>
  <si>
    <t>Darren Grant</t>
  </si>
  <si>
    <t>Diary of a Mad Black WomanÂ </t>
  </si>
  <si>
    <t>ShineÂ </t>
  </si>
  <si>
    <t>Joseph Gordon-Levitt</t>
  </si>
  <si>
    <t>Don JonÂ </t>
  </si>
  <si>
    <t>Ghost WorldÂ </t>
  </si>
  <si>
    <t>IrisÂ </t>
  </si>
  <si>
    <t>Christophe Barratier</t>
  </si>
  <si>
    <t>The ChorusÂ </t>
  </si>
  <si>
    <t>Ã‰mile Gaudreault</t>
  </si>
  <si>
    <t>Mambo ItalianoÂ </t>
  </si>
  <si>
    <t>James Cox</t>
  </si>
  <si>
    <t>WonderlandÂ </t>
  </si>
  <si>
    <t>Do the Right ThingÂ </t>
  </si>
  <si>
    <t>James Toback</t>
  </si>
  <si>
    <t>Harvard ManÂ </t>
  </si>
  <si>
    <t>Aki KaurismÃ¤ki</t>
  </si>
  <si>
    <t>Le HavreÂ </t>
  </si>
  <si>
    <t>Finland</t>
  </si>
  <si>
    <t>Hitoshi Matsumoto</t>
  </si>
  <si>
    <t>R100Â </t>
  </si>
  <si>
    <t>George Ratliff</t>
  </si>
  <si>
    <t>Salvation BoulevardÂ </t>
  </si>
  <si>
    <t>The TenÂ </t>
  </si>
  <si>
    <t>HeadhuntersÂ </t>
  </si>
  <si>
    <t>Norwegian</t>
  </si>
  <si>
    <t>Norway</t>
  </si>
  <si>
    <t>Michael McGowan</t>
  </si>
  <si>
    <t>Saint RalphÂ </t>
  </si>
  <si>
    <t>Insidious: Chapter 2Â </t>
  </si>
  <si>
    <t>Saw IIÂ </t>
  </si>
  <si>
    <t>Dan Trachtenberg</t>
  </si>
  <si>
    <t>10 Cloverfield LaneÂ </t>
  </si>
  <si>
    <t>Jackass: The MovieÂ </t>
  </si>
  <si>
    <t>David F. Sandberg</t>
  </si>
  <si>
    <t>Lights OutÂ </t>
  </si>
  <si>
    <t>Paranormal Activity 3Â </t>
  </si>
  <si>
    <t>Stiles White</t>
  </si>
  <si>
    <t>OuijaÂ </t>
  </si>
  <si>
    <t>A Nightmare on Elm Street 3: Dream WarriorsÂ </t>
  </si>
  <si>
    <t>Eugenio Derbez</t>
  </si>
  <si>
    <t>Instructions Not IncludedÂ </t>
  </si>
  <si>
    <t>Paranormal Activity 4Â </t>
  </si>
  <si>
    <t>Henry Koster</t>
  </si>
  <si>
    <t>The RobeÂ </t>
  </si>
  <si>
    <t>Freddy's Dead: The Final NightmareÂ </t>
  </si>
  <si>
    <t>Patty Jenkins</t>
  </si>
  <si>
    <t>MonsterÂ </t>
  </si>
  <si>
    <t>Christopher Landon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</si>
  <si>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</si>
  <si>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</si>
  <si>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</si>
  <si>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</si>
  <si>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</si>
  <si>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</si>
  <si>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OculusÂ </t>
  </si>
  <si>
    <t>Clerks IIÂ </t>
  </si>
  <si>
    <t>Billy ElliotÂ </t>
  </si>
  <si>
    <t>Nat Faxon</t>
  </si>
  <si>
    <t>The Way Way BackÂ </t>
  </si>
  <si>
    <t>George Jackson</t>
  </si>
  <si>
    <t>House Party 2Â </t>
  </si>
  <si>
    <t>Maurice Joyce</t>
  </si>
  <si>
    <t>Doug's 1st MovieÂ </t>
  </si>
  <si>
    <t>Robert Duvall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</si>
  <si>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</si>
  <si>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</si>
  <si>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</si>
  <si>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</si>
  <si>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</si>
  <si>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</si>
  <si>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</si>
  <si>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Eve's BayouÂ </t>
  </si>
  <si>
    <t>Richard Glatzer</t>
  </si>
  <si>
    <t>Still AliceÂ </t>
  </si>
  <si>
    <t>Rob Hedden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</si>
  <si>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</si>
  <si>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</si>
  <si>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</si>
  <si>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</si>
  <si>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</si>
  <si>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</si>
  <si>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Y Tu MamÃ¡ TambiÃ©nÂ </t>
  </si>
  <si>
    <t>Shaun of the DeadÂ </t>
  </si>
  <si>
    <t>Mickey Liddell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</si>
  <si>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</si>
  <si>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</si>
  <si>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</si>
  <si>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</si>
  <si>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</si>
  <si>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</si>
  <si>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</si>
  <si>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</si>
  <si>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</si>
  <si>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Apollo 18Â </t>
  </si>
  <si>
    <t>Christine Jeffs</t>
  </si>
  <si>
    <t>Sunshine CleaningÂ </t>
  </si>
  <si>
    <t>No EscapeÂ </t>
  </si>
  <si>
    <t>Michael Tiddes</t>
  </si>
  <si>
    <t>Fifty Shades of BlackÂ </t>
  </si>
  <si>
    <t>Bill Duke</t>
  </si>
  <si>
    <t>Not Easily BrokenÂ </t>
  </si>
  <si>
    <t>The Perfect MatchÂ </t>
  </si>
  <si>
    <t>Mamoru Hosoda</t>
  </si>
  <si>
    <t>Digimon: The MovieÂ </t>
  </si>
  <si>
    <t>Brian Dannelly</t>
  </si>
  <si>
    <t>Saved!Â </t>
  </si>
  <si>
    <t>Denys Arcand</t>
  </si>
  <si>
    <t>The Barbarian InvasionsÂ </t>
  </si>
  <si>
    <t>J.S. Cardone</t>
  </si>
  <si>
    <t>The ForsakenÂ </t>
  </si>
  <si>
    <t>Jay Levey</t>
  </si>
  <si>
    <t>UHFÂ </t>
  </si>
  <si>
    <t>Tamara Jenkins</t>
  </si>
  <si>
    <t>Slums of Beverly HillsÂ </t>
  </si>
  <si>
    <t>MadeÂ </t>
  </si>
  <si>
    <t>MoonÂ </t>
  </si>
  <si>
    <t>Ronan Chapalain</t>
  </si>
  <si>
    <t>Sea Rex 3D: Journey to a Prehistoric WorldÂ </t>
  </si>
  <si>
    <t>The Sweet HereafterÂ </t>
  </si>
  <si>
    <t>Xavier Beauvois</t>
  </si>
  <si>
    <t>Of Gods and MenÂ </t>
  </si>
  <si>
    <t>Randall Miller</t>
  </si>
  <si>
    <t>Bottle ShockÂ </t>
  </si>
  <si>
    <t>Heavenly CreaturesÂ </t>
  </si>
  <si>
    <t>90 Minutes in HeavenÂ </t>
  </si>
  <si>
    <t>Dan Rush</t>
  </si>
  <si>
    <t>Everything Must GoÂ </t>
  </si>
  <si>
    <t>Zero EffectÂ </t>
  </si>
  <si>
    <t>The MachinistÂ </t>
  </si>
  <si>
    <t>Light SleeperÂ </t>
  </si>
  <si>
    <t>Michael Cuesta</t>
  </si>
  <si>
    <t>Kill the MessengerÂ </t>
  </si>
  <si>
    <t>Rabbit HoleÂ </t>
  </si>
  <si>
    <t>Fenton Bailey</t>
  </si>
  <si>
    <t>Party MonsterÂ </t>
  </si>
  <si>
    <t>Jeremy Saulnier</t>
  </si>
  <si>
    <t>Green RoomÂ </t>
  </si>
  <si>
    <t>James Manera</t>
  </si>
  <si>
    <t>Atlas Shrugged: Who Is John Galt?Â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</si>
  <si>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</si>
  <si>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</si>
  <si>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</si>
  <si>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</si>
  <si>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</si>
  <si>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</si>
  <si>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The VisitÂ </t>
  </si>
  <si>
    <t>RedactedÂ </t>
  </si>
  <si>
    <t>Klaus Menzel</t>
  </si>
  <si>
    <t>FascinationÂ </t>
  </si>
  <si>
    <t>William H. Macy</t>
  </si>
  <si>
    <t>RudderlessÂ </t>
  </si>
  <si>
    <t>JirÃ­ Menzel</t>
  </si>
  <si>
    <t>I Served the King of EnglandÂ </t>
  </si>
  <si>
    <t>Czech</t>
  </si>
  <si>
    <t>Fatih Akin</t>
  </si>
  <si>
    <t>Soul KitchenÂ </t>
  </si>
  <si>
    <t>Sling BladeÂ </t>
  </si>
  <si>
    <t>HostelÂ </t>
  </si>
  <si>
    <t>Tristram Shandy: A Cock and Bull StoryÂ </t>
  </si>
  <si>
    <t>Take ShelterÂ </t>
  </si>
  <si>
    <t>Frank LaLoggia</t>
  </si>
  <si>
    <t>Lady in WhiteÂ </t>
  </si>
  <si>
    <t>The Texas Chainsaw Massacre 2Â </t>
  </si>
  <si>
    <t>Only God ForgivesÂ </t>
  </si>
  <si>
    <t>Michel Leclerc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</si>
  <si>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</si>
  <si>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</si>
  <si>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</si>
  <si>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</si>
  <si>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</si>
  <si>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</si>
  <si>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BoundÂ </t>
  </si>
  <si>
    <t>Requiem for a DreamÂ </t>
  </si>
  <si>
    <t>Carlos Saura</t>
  </si>
  <si>
    <t>TangoÂ </t>
  </si>
  <si>
    <t>Andrew Erwin</t>
  </si>
  <si>
    <t>Moms' Night OutÂ </t>
  </si>
  <si>
    <t>Donnie DarkoÂ </t>
  </si>
  <si>
    <t>Mike van Diem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</si>
  <si>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</si>
  <si>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</si>
  <si>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</si>
  <si>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</si>
  <si>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</si>
  <si>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</si>
  <si>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</si>
  <si>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ExiledÂ </t>
  </si>
  <si>
    <t>Agnieszka Wojtowicz-Vosloo</t>
  </si>
  <si>
    <t>After.LifeÂ </t>
  </si>
  <si>
    <t>One Flew Over the Cuckoo's NestÂ </t>
  </si>
  <si>
    <t>Ernie Barbarash</t>
  </si>
  <si>
    <t>Falcon RisingÂ </t>
  </si>
  <si>
    <t>Nick Love</t>
  </si>
  <si>
    <t>The SweeneyÂ </t>
  </si>
  <si>
    <t>Whale RiderÂ </t>
  </si>
  <si>
    <t>R. Balki</t>
  </si>
  <si>
    <t>PaaÂ </t>
  </si>
  <si>
    <t>Night WatchÂ </t>
  </si>
  <si>
    <t>Russian</t>
  </si>
  <si>
    <t>The Crying GameÂ </t>
  </si>
  <si>
    <t>Porky'sÂ </t>
  </si>
  <si>
    <t>Survival of the DeadÂ </t>
  </si>
  <si>
    <t>Lost in TranslationÂ </t>
  </si>
  <si>
    <t>Annie HallÂ </t>
  </si>
  <si>
    <t>Cecil B. DeMille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</si>
  <si>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</si>
  <si>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</si>
  <si>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</si>
  <si>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</si>
  <si>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</si>
  <si>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</si>
  <si>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</si>
  <si>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</si>
  <si>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</si>
  <si>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They LiveÂ </t>
  </si>
  <si>
    <t>Ed Gass-Donnelly</t>
  </si>
  <si>
    <t>The Last Exorcism Part IIÂ </t>
  </si>
  <si>
    <t>BoyhoodÂ </t>
  </si>
  <si>
    <t>ScoopÂ </t>
  </si>
  <si>
    <t>DJ Pooh</t>
  </si>
  <si>
    <t>The WashÂ </t>
  </si>
  <si>
    <t>3 StrikesÂ </t>
  </si>
  <si>
    <t>The CoolerÂ </t>
  </si>
  <si>
    <t>Patrick Stettner</t>
  </si>
  <si>
    <t>The Night ListenerÂ </t>
  </si>
  <si>
    <t>The OrphanageÂ 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</si>
  <si>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</si>
  <si>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</si>
  <si>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</si>
  <si>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</si>
  <si>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</si>
  <si>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</si>
  <si>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</si>
  <si>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</si>
  <si>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</si>
  <si>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</si>
  <si>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</si>
  <si>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</si>
  <si>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</si>
  <si>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</si>
  <si>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</si>
  <si>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</si>
  <si>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MirrormaskÂ </t>
  </si>
  <si>
    <t>Ron Fricke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</si>
  <si>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</si>
  <si>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</si>
  <si>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</si>
  <si>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</si>
  <si>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</si>
  <si>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</si>
  <si>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</si>
  <si>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</si>
  <si>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</si>
  <si>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Shooting FishÂ </t>
  </si>
  <si>
    <t>PrisonÂ </t>
  </si>
  <si>
    <t>Robert Lee King</t>
  </si>
  <si>
    <t>Psycho Beach PartyÂ </t>
  </si>
  <si>
    <t>The Big TeaseÂ </t>
  </si>
  <si>
    <t>Jorge RamÃ­rez SuÃ¡rez</t>
  </si>
  <si>
    <t>Buen DÃ­a, RamÃ³nÂ </t>
  </si>
  <si>
    <t>David Schwimmer</t>
  </si>
  <si>
    <t>TrustÂ </t>
  </si>
  <si>
    <t>An Everlasting PieceÂ </t>
  </si>
  <si>
    <t>Among GiantsÂ </t>
  </si>
  <si>
    <t>AdoreÂ </t>
  </si>
  <si>
    <t>Fernando LeÃ³n de Aranoa</t>
  </si>
  <si>
    <t>Mondays in the SunÂ </t>
  </si>
  <si>
    <t>Jim Mickle</t>
  </si>
  <si>
    <t>Stake LandÂ </t>
  </si>
  <si>
    <t>The Last Time I Committed SuicideÂ </t>
  </si>
  <si>
    <t>Karim AÃ¯nouz</t>
  </si>
  <si>
    <t>Futuro BeachÂ </t>
  </si>
  <si>
    <t>Ruba Nadda</t>
  </si>
  <si>
    <t>InescapableÂ </t>
  </si>
  <si>
    <t>Victor Fleming</t>
  </si>
  <si>
    <t>Gone with the WindÂ </t>
  </si>
  <si>
    <t>Richard Raymond</t>
  </si>
  <si>
    <t>Desert DancerÂ </t>
  </si>
  <si>
    <t>Sam Peckinpah</t>
  </si>
  <si>
    <t>Major DundeeÂ </t>
  </si>
  <si>
    <t>George Sidney</t>
  </si>
  <si>
    <t>Annie Get Your GunÂ </t>
  </si>
  <si>
    <t>Peter Stebbings</t>
  </si>
  <si>
    <t>DefendorÂ </t>
  </si>
  <si>
    <t>Vincente Minnelli</t>
  </si>
  <si>
    <t>The PirateÂ </t>
  </si>
  <si>
    <t>Dagur KÃ¡ri</t>
  </si>
  <si>
    <t>The Good HeartÂ </t>
  </si>
  <si>
    <t>The History BoysÂ </t>
  </si>
  <si>
    <t>The Full MontyÂ </t>
  </si>
  <si>
    <t>Jim Abrahams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</si>
  <si>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</si>
  <si>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</si>
  <si>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</si>
  <si>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</si>
  <si>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</si>
  <si>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</si>
  <si>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</si>
  <si>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</si>
  <si>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I Got the Hook UpÂ </t>
  </si>
  <si>
    <t>Edward Burns</t>
  </si>
  <si>
    <t>She's the OneÂ </t>
  </si>
  <si>
    <t>Gods and MonstersÂ </t>
  </si>
  <si>
    <t>Juan JosÃ© Campanella</t>
  </si>
  <si>
    <t>The Secret in Their EyesÂ </t>
  </si>
  <si>
    <t>Argentina</t>
  </si>
  <si>
    <t>Evil Dead IIÂ </t>
  </si>
  <si>
    <t>Louis C.K.</t>
  </si>
  <si>
    <t>Pootie TangÂ </t>
  </si>
  <si>
    <t>Salvador Carrasco</t>
  </si>
  <si>
    <t>La otra conquistaÂ </t>
  </si>
  <si>
    <t>AndrÃ© Ã˜vredal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</si>
  <si>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</si>
  <si>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</si>
  <si>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</si>
  <si>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</si>
  <si>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</si>
  <si>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</si>
  <si>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</si>
  <si>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The Masked SaintÂ </t>
  </si>
  <si>
    <t>Charles Ferguson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</si>
  <si>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</si>
  <si>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</si>
  <si>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</si>
  <si>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</si>
  <si>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</si>
  <si>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</si>
  <si>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</si>
  <si>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</si>
  <si>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</si>
  <si>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</si>
  <si>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</si>
  <si>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The HuntÂ </t>
  </si>
  <si>
    <t>BellaÂ </t>
  </si>
  <si>
    <t>Eric Styles</t>
  </si>
  <si>
    <t>Dreaming of Joseph LeesÂ </t>
  </si>
  <si>
    <t>Joshua Marston</t>
  </si>
  <si>
    <t>Maria Full of GraceÂ </t>
  </si>
  <si>
    <t>Colombia</t>
  </si>
  <si>
    <t>BeginnersÂ </t>
  </si>
  <si>
    <t>Animal HouseÂ </t>
  </si>
  <si>
    <t>GoldfingerÂ </t>
  </si>
  <si>
    <t>TrainspottingÂ </t>
  </si>
  <si>
    <t>The Original Kings of ComedyÂ </t>
  </si>
  <si>
    <t>Tod Williams</t>
  </si>
  <si>
    <t>Paranormal Activity 2Â </t>
  </si>
  <si>
    <t>Waking Ned DevineÂ </t>
  </si>
  <si>
    <t>Bowling for ColumbineÂ </t>
  </si>
  <si>
    <t>Jack Sholder</t>
  </si>
  <si>
    <t>A Nightmare on Elm Street 2: Freddy's RevengeÂ </t>
  </si>
  <si>
    <t>A Room with a ViewÂ </t>
  </si>
  <si>
    <t>The PurgeÂ </t>
  </si>
  <si>
    <t>SinisterÂ </t>
  </si>
  <si>
    <t>Martin Lawrence Live: RunteldatÂ </t>
  </si>
  <si>
    <t>Air BudÂ </t>
  </si>
  <si>
    <t>Tom McLoughlin</t>
  </si>
  <si>
    <t>Jason Lives: Friday the 13th Part VIÂ </t>
  </si>
  <si>
    <t>The Bridge on the River KwaiÂ </t>
  </si>
  <si>
    <t>Spaced InvadersÂ </t>
  </si>
  <si>
    <t>Adam Marcus</t>
  </si>
  <si>
    <t>Jason Goes to Hell: The Final FridayÂ </t>
  </si>
  <si>
    <t>Dave Chappelle's Block PartyÂ </t>
  </si>
  <si>
    <t>Benny Boom</t>
  </si>
  <si>
    <t>Next Day AirÂ </t>
  </si>
  <si>
    <t>Nnegest LikkÃ©</t>
  </si>
  <si>
    <t>Phat GirlzÂ </t>
  </si>
  <si>
    <t>Before MidnightÂ </t>
  </si>
  <si>
    <t>Christopher Leitch</t>
  </si>
  <si>
    <t>Teen Wolf TooÂ </t>
  </si>
  <si>
    <t>Don Coscarelli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</si>
  <si>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</si>
  <si>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</si>
  <si>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</si>
  <si>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</si>
  <si>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</si>
  <si>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</si>
  <si>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WhippedÂ </t>
  </si>
  <si>
    <t>Kama Sutra: A Tale of LoveÂ </t>
  </si>
  <si>
    <t>Anthony Hickox</t>
  </si>
  <si>
    <t>Warlock: The ArmageddonÂ </t>
  </si>
  <si>
    <t>Tom Schulman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</si>
  <si>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</si>
  <si>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</si>
  <si>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</si>
  <si>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</si>
  <si>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</si>
  <si>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</si>
  <si>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</si>
  <si>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</si>
  <si>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</si>
  <si>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Todd Solondz</t>
  </si>
  <si>
    <t>HappinessÂ </t>
  </si>
  <si>
    <t>DysFunktional FamilyÂ </t>
  </si>
  <si>
    <t>TuskÂ </t>
  </si>
  <si>
    <t>OldboyÂ </t>
  </si>
  <si>
    <t>David Nixon</t>
  </si>
  <si>
    <t>Letters to GodÂ </t>
  </si>
  <si>
    <t>Jason Eisener</t>
  </si>
  <si>
    <t>Hobo with a ShotgunÂ </t>
  </si>
  <si>
    <t>Enrique Begne</t>
  </si>
  <si>
    <t>CompadresÂ </t>
  </si>
  <si>
    <t>Leslye Headland</t>
  </si>
  <si>
    <t>BacheloretteÂ </t>
  </si>
  <si>
    <t>Tim Heidecker</t>
  </si>
  <si>
    <t>Tim and Eric's Billion Dollar MovieÂ </t>
  </si>
  <si>
    <t>Summer StormÂ </t>
  </si>
  <si>
    <t>Kate Connor</t>
  </si>
  <si>
    <t>Fort McCoyÂ </t>
  </si>
  <si>
    <t>Deon Taylor</t>
  </si>
  <si>
    <t>Chain LetterÂ </t>
  </si>
  <si>
    <t>Jason Alexander</t>
  </si>
  <si>
    <t>Just LookingÂ </t>
  </si>
  <si>
    <t>The DivideÂ </t>
  </si>
  <si>
    <t>Francesca Gregorini</t>
  </si>
  <si>
    <t>Tanner HallÂ </t>
  </si>
  <si>
    <t>Central StationÂ </t>
  </si>
  <si>
    <t>Susan Seidelman</t>
  </si>
  <si>
    <t>Boynton Beach ClubÂ </t>
  </si>
  <si>
    <t>Heidi Ewing</t>
  </si>
  <si>
    <t>FreakonomicsÂ </t>
  </si>
  <si>
    <t>High TensionÂ </t>
  </si>
  <si>
    <t>Hustle &amp; FlowÂ </t>
  </si>
  <si>
    <t>Billy Wilder</t>
  </si>
  <si>
    <t>Some Like It HotÂ </t>
  </si>
  <si>
    <t>John Carl Buechler</t>
  </si>
  <si>
    <t>Friday the 13th Part VII: The New BloodÂ </t>
  </si>
  <si>
    <t>The Wizard of OzÂ </t>
  </si>
  <si>
    <t>Young FrankensteinÂ </t>
  </si>
  <si>
    <t>Diary of the DeadÂ </t>
  </si>
  <si>
    <t>Victor Nunez</t>
  </si>
  <si>
    <t>Ulee's GoldÂ </t>
  </si>
  <si>
    <t>Blazing SaddlesÂ </t>
  </si>
  <si>
    <t>Joseph Zito</t>
  </si>
  <si>
    <t>Friday the 13th: The Final ChapterÂ </t>
  </si>
  <si>
    <t>MauriceÂ </t>
  </si>
  <si>
    <t>Frank Sebastiano</t>
  </si>
  <si>
    <t>Beer LeagueÂ </t>
  </si>
  <si>
    <t>Nacho Vigalondo</t>
  </si>
  <si>
    <t>TimecrimesÂ </t>
  </si>
  <si>
    <t>A Haunted HouseÂ </t>
  </si>
  <si>
    <t>Dinesh D'Souza</t>
  </si>
  <si>
    <t>2016: Obama's AmericaÂ </t>
  </si>
  <si>
    <t>That Thing You Do!Â </t>
  </si>
  <si>
    <t>Tommy Lee Wallace</t>
  </si>
  <si>
    <t>Halloween III: Season of the WitchÂ </t>
  </si>
  <si>
    <t>Leslie Small</t>
  </si>
  <si>
    <t>Kevin Hart: Let Me ExplainÂ </t>
  </si>
  <si>
    <t>My Own Private IdahoÂ </t>
  </si>
  <si>
    <t>Garden StateÂ </t>
  </si>
  <si>
    <t>Before SunriseÂ </t>
  </si>
  <si>
    <t>Alison Maclean</t>
  </si>
  <si>
    <t>Jesus' SonÂ </t>
  </si>
  <si>
    <t>Robot &amp; FrankÂ </t>
  </si>
  <si>
    <t>Isabel Coixet</t>
  </si>
  <si>
    <t>My Life Without MeÂ </t>
  </si>
  <si>
    <t>James Ponsoldt</t>
  </si>
  <si>
    <t>The Spectacular NowÂ </t>
  </si>
  <si>
    <t>Marilyn Hotchkiss' Ballroom Dancing and Charm SchoolÂ </t>
  </si>
  <si>
    <t>ReligulousÂ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</si>
  <si>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</si>
  <si>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</si>
  <si>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</si>
  <si>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</si>
  <si>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</si>
  <si>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</si>
  <si>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</si>
  <si>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8: The Mormon PropositionÂ </t>
  </si>
  <si>
    <t>James Dodson</t>
  </si>
  <si>
    <t>The Other End of the LineÂ </t>
  </si>
  <si>
    <t>AnatomyÂ </t>
  </si>
  <si>
    <t>Alex Rivera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</si>
  <si>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</si>
  <si>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</si>
  <si>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</si>
  <si>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</si>
  <si>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</si>
  <si>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</si>
  <si>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</si>
  <si>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</si>
  <si>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</si>
  <si>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Go for It!Â </t>
  </si>
  <si>
    <t>FantasiaÂ </t>
  </si>
  <si>
    <t>Friday the 13th Part IIIÂ </t>
  </si>
  <si>
    <t>Danny Steinmann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</si>
  <si>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</si>
  <si>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</si>
  <si>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</si>
  <si>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</si>
  <si>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</si>
  <si>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</si>
  <si>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The Best Years of Our LivesÂ </t>
  </si>
  <si>
    <t>Petter NÃ¦ss</t>
  </si>
  <si>
    <t>EllingÂ </t>
  </si>
  <si>
    <t>Robert Fontaine</t>
  </si>
  <si>
    <t>Mi AmericaÂ </t>
  </si>
  <si>
    <t>From Russia with LoveÂ </t>
  </si>
  <si>
    <t>Michael Herz</t>
  </si>
  <si>
    <t>The Toxic Avenger Part IIÂ </t>
  </si>
  <si>
    <t>David Robert Mitchell</t>
  </si>
  <si>
    <t>It FollowsÂ </t>
  </si>
  <si>
    <t>Mad Max 2: The Road WarriorÂ </t>
  </si>
  <si>
    <t>Chia-Liang Liu</t>
  </si>
  <si>
    <t>The Legend of Drunken MasterÂ </t>
  </si>
  <si>
    <t>Boys Don't CryÂ </t>
  </si>
  <si>
    <t>Chris Kentis</t>
  </si>
  <si>
    <t>Silent HouseÂ </t>
  </si>
  <si>
    <t>The Lives of OthersÂ </t>
  </si>
  <si>
    <t>Alex Kendrick</t>
  </si>
  <si>
    <t>CourageousÂ </t>
  </si>
  <si>
    <t>Sylvain Chomet</t>
  </si>
  <si>
    <t>The Triplets of BellevilleÂ </t>
  </si>
  <si>
    <t>Chris Eyre</t>
  </si>
  <si>
    <t>Smoke SignalsÂ </t>
  </si>
  <si>
    <t>Before SunsetÂ </t>
  </si>
  <si>
    <t>Amores PerrosÂ </t>
  </si>
  <si>
    <t>ThirteenÂ </t>
  </si>
  <si>
    <t>Debra Granik</t>
  </si>
  <si>
    <t>Winter's BoneÂ </t>
  </si>
  <si>
    <t>Miranda July</t>
  </si>
  <si>
    <t>Me and You and Everyone We KnowÂ </t>
  </si>
  <si>
    <t>Max Joseph</t>
  </si>
  <si>
    <t>We Are Your FriendsÂ </t>
  </si>
  <si>
    <t>Harsh TimesÂ </t>
  </si>
  <si>
    <t>CaptiveÂ </t>
  </si>
  <si>
    <t>Full FrontalÂ </t>
  </si>
  <si>
    <t>Kevin Tenney</t>
  </si>
  <si>
    <t>WitchboardÂ </t>
  </si>
  <si>
    <t>ShortbusÂ </t>
  </si>
  <si>
    <t>Ari Folman</t>
  </si>
  <si>
    <t>Waltz with BashirÂ </t>
  </si>
  <si>
    <t>Hebrew</t>
  </si>
  <si>
    <t>Israel</t>
  </si>
  <si>
    <t>Gary Rogers</t>
  </si>
  <si>
    <t>The Book of Mormon Movie, Volume 1: The JourneyÂ </t>
  </si>
  <si>
    <t>No End in SightÂ </t>
  </si>
  <si>
    <t>Marielle Heller</t>
  </si>
  <si>
    <t>The Diary of a Teenage GirlÂ </t>
  </si>
  <si>
    <t>David Sington</t>
  </si>
  <si>
    <t>In the Shadow of the MoonÂ </t>
  </si>
  <si>
    <t>Inside Deep ThroatÂ </t>
  </si>
  <si>
    <t>Huck Botko</t>
  </si>
  <si>
    <t>The Virginity HitÂ </t>
  </si>
  <si>
    <t>David Duchovny</t>
  </si>
  <si>
    <t>House of DÂ </t>
  </si>
  <si>
    <t>Lance Mungia</t>
  </si>
  <si>
    <t>Six-String SamuraiÂ </t>
  </si>
  <si>
    <t>Hue Rhodes</t>
  </si>
  <si>
    <t>Saint John of Las VegasÂ </t>
  </si>
  <si>
    <t>StonewallÂ </t>
  </si>
  <si>
    <t>Noah Buschel</t>
  </si>
  <si>
    <t>The Missing PersonÂ </t>
  </si>
  <si>
    <t>Hunter Richards</t>
  </si>
  <si>
    <t>LondonÂ </t>
  </si>
  <si>
    <t>Laurie Collyer</t>
  </si>
  <si>
    <t>SherrybabyÂ </t>
  </si>
  <si>
    <t>Ralph Ziman</t>
  </si>
  <si>
    <t>Gangster's Paradise: JerusalemaÂ </t>
  </si>
  <si>
    <t>Chris Shadley</t>
  </si>
  <si>
    <t>Nine DeadÂ </t>
  </si>
  <si>
    <t>Simon Napier-Bell</t>
  </si>
  <si>
    <t>To Be Frank, Sinatra at 100Â </t>
  </si>
  <si>
    <t>BananasÂ </t>
  </si>
  <si>
    <t>Orson Welles</t>
  </si>
  <si>
    <t>The Lady from ShanghaiÂ </t>
  </si>
  <si>
    <t>Paul Bunnell</t>
  </si>
  <si>
    <t>The Ghastly Love of Johnny XÂ </t>
  </si>
  <si>
    <t>Tim Hunter</t>
  </si>
  <si>
    <t>River's EdgeÂ </t>
  </si>
  <si>
    <t>NorthforkÂ </t>
  </si>
  <si>
    <t>Rodrigo CortÃ©s</t>
  </si>
  <si>
    <t>BuriedÂ </t>
  </si>
  <si>
    <t>Pascal Arnold</t>
  </si>
  <si>
    <t>One to AnotherÂ </t>
  </si>
  <si>
    <t>Man on WireÂ </t>
  </si>
  <si>
    <t>Jamal Hill</t>
  </si>
  <si>
    <t>Brotherly LoveÂ </t>
  </si>
  <si>
    <t>Daniel Stamm</t>
  </si>
  <si>
    <t>The Last ExorcismÂ </t>
  </si>
  <si>
    <t>Carlos Carrera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</si>
  <si>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</si>
  <si>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</si>
  <si>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</si>
  <si>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</si>
  <si>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</si>
  <si>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</si>
  <si>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</si>
  <si>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Travelers and MagiciansÂ </t>
  </si>
  <si>
    <t>Dzongkha</t>
  </si>
  <si>
    <t>Tony Krantz</t>
  </si>
  <si>
    <t>SublimeÂ </t>
  </si>
  <si>
    <t>W.D. Hogan</t>
  </si>
  <si>
    <t>Independence DaysasterÂ </t>
  </si>
  <si>
    <t>Corey Grant</t>
  </si>
  <si>
    <t>Dysfunctional FriendsÂ </t>
  </si>
  <si>
    <t>Run Lola RunÂ </t>
  </si>
  <si>
    <t>Lucky McKee</t>
  </si>
  <si>
    <t>MayÂ </t>
  </si>
  <si>
    <t>In the BedroomÂ </t>
  </si>
  <si>
    <t>Steven R. Monroe</t>
  </si>
  <si>
    <t>I Spit on Your GraveÂ </t>
  </si>
  <si>
    <t>Mark Illsley</t>
  </si>
  <si>
    <t>Happy, TexasÂ </t>
  </si>
  <si>
    <t>Pawel Pawlikowski</t>
  </si>
  <si>
    <t>My Summer of LoveÂ </t>
  </si>
  <si>
    <t>Ritesh Batra</t>
  </si>
  <si>
    <t>The LunchboxÂ </t>
  </si>
  <si>
    <t>Sally Potter</t>
  </si>
  <si>
    <t>YesÂ </t>
  </si>
  <si>
    <t>Dave Meyers</t>
  </si>
  <si>
    <t>FoolishÂ </t>
  </si>
  <si>
    <t>Nadine Labaki</t>
  </si>
  <si>
    <t>CaramelÂ </t>
  </si>
  <si>
    <t>Arabic</t>
  </si>
  <si>
    <t>Eytan Fox</t>
  </si>
  <si>
    <t>The BubbleÂ </t>
  </si>
  <si>
    <t>FranÃ§ois Truffaut</t>
  </si>
  <si>
    <t>Mississippi MermaidÂ </t>
  </si>
  <si>
    <t>Adam Goldberg</t>
  </si>
  <si>
    <t>I Love Your WorkÂ </t>
  </si>
  <si>
    <t>Adrienne Shelly</t>
  </si>
  <si>
    <t>WaitressÂ </t>
  </si>
  <si>
    <t>Newt Arnold</t>
  </si>
  <si>
    <t>BloodsportÂ </t>
  </si>
  <si>
    <t>Larry Clark</t>
  </si>
  <si>
    <t>KidsÂ </t>
  </si>
  <si>
    <t>The Squid and the WhaleÂ 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</si>
  <si>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</si>
  <si>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</si>
  <si>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</si>
  <si>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</si>
  <si>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</si>
  <si>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</si>
  <si>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</si>
  <si>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The Ballad of Jack and RoseÂ </t>
  </si>
  <si>
    <t>Maggie Carey</t>
  </si>
  <si>
    <t>The To Do ListÂ </t>
  </si>
  <si>
    <t>Killing ZoeÂ </t>
  </si>
  <si>
    <t>Henry Bean</t>
  </si>
  <si>
    <t>The BelieverÂ </t>
  </si>
  <si>
    <t>Session 9Â </t>
  </si>
  <si>
    <t>Jeff Garlin</t>
  </si>
  <si>
    <t>I Want Someone to Eat Cheese WithÂ </t>
  </si>
  <si>
    <t>Charles Chaplin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</si>
  <si>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</si>
  <si>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</si>
  <si>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</si>
  <si>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</si>
  <si>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</si>
  <si>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</si>
  <si>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</si>
  <si>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Road HardÂ </t>
  </si>
  <si>
    <t>AmigoÂ </t>
  </si>
  <si>
    <t>Bruce McDonald</t>
  </si>
  <si>
    <t>PontypoolÂ </t>
  </si>
  <si>
    <t>James Mottern</t>
  </si>
  <si>
    <t>TruckerÂ </t>
  </si>
  <si>
    <t>The Lords of SalemÂ </t>
  </si>
  <si>
    <t>William Cottrell</t>
  </si>
  <si>
    <t>Snow White and the Seven DwarfsÂ </t>
  </si>
  <si>
    <t>Lucrecia Martel</t>
  </si>
  <si>
    <t>The Holy GirlÂ </t>
  </si>
  <si>
    <t>Zak Penn</t>
  </si>
  <si>
    <t>Incident at Loch NessÂ </t>
  </si>
  <si>
    <t>Lock, Stock and Two Smoking BarrelsÂ </t>
  </si>
  <si>
    <t>The CelebrationÂ </t>
  </si>
  <si>
    <t>Steve Buscemi</t>
  </si>
  <si>
    <t>Trees LoungeÂ </t>
  </si>
  <si>
    <t>Ham Tran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</si>
  <si>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</si>
  <si>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</si>
  <si>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</si>
  <si>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</si>
  <si>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</si>
  <si>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</si>
  <si>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</si>
  <si>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</si>
  <si>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</si>
  <si>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Neal 'N' NikkiÂ </t>
  </si>
  <si>
    <t>Friday the 13th Part 2Â </t>
  </si>
  <si>
    <t>Youssef Delara</t>
  </si>
  <si>
    <t>Filly BrownÂ </t>
  </si>
  <si>
    <t>Da Sweet Blood of JesusÂ </t>
  </si>
  <si>
    <t>Sex, Lies, and VideotapeÂ </t>
  </si>
  <si>
    <t>SawÂ </t>
  </si>
  <si>
    <t>Super TroopersÂ </t>
  </si>
  <si>
    <t>Claudia Sainte-Luce</t>
  </si>
  <si>
    <t>The Amazing CatfishÂ 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</si>
  <si>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</si>
  <si>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</si>
  <si>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</si>
  <si>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</si>
  <si>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</si>
  <si>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</si>
  <si>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</si>
  <si>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</si>
  <si>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</si>
  <si>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The Second MotherÂ </t>
  </si>
  <si>
    <t>Steve Taylor</t>
  </si>
  <si>
    <t>Blue Like JazzÂ </t>
  </si>
  <si>
    <t>Kurt Voss</t>
  </si>
  <si>
    <t>Down and Out with the DollsÂ </t>
  </si>
  <si>
    <t>LÃ©a Pool</t>
  </si>
  <si>
    <t>Pink Ribbons, Inc.Â </t>
  </si>
  <si>
    <t>James David Pasternak</t>
  </si>
  <si>
    <t>Certifiably JonathanÂ </t>
  </si>
  <si>
    <t>Tom Sanchez</t>
  </si>
  <si>
    <t>The Knife of Don JuanÂ </t>
  </si>
  <si>
    <t>AirborneÂ </t>
  </si>
  <si>
    <t>Rob McKittrick</t>
  </si>
  <si>
    <t>Waiting...Â </t>
  </si>
  <si>
    <t>Dead Man's ShoesÂ </t>
  </si>
  <si>
    <t>Jeff Burr</t>
  </si>
  <si>
    <t>From a Whisper to a ScreamÂ </t>
  </si>
  <si>
    <t>Guy Maddin</t>
  </si>
  <si>
    <t>Dracula: Pages from a Virgin's DiaryÂ </t>
  </si>
  <si>
    <t>Panos Cosmatos</t>
  </si>
  <si>
    <t>Beyond the Black RainbowÂ </t>
  </si>
  <si>
    <t>Gareth Evans</t>
  </si>
  <si>
    <t>The Raid: RedemptionÂ </t>
  </si>
  <si>
    <t>Indonesian</t>
  </si>
  <si>
    <t>Indonesia</t>
  </si>
  <si>
    <t>Douglas Trumbull</t>
  </si>
  <si>
    <t>Silent RunningÂ </t>
  </si>
  <si>
    <t>RockyÂ </t>
  </si>
  <si>
    <t>Levan Gabriadze</t>
  </si>
  <si>
    <t>UnfriendedÂ </t>
  </si>
  <si>
    <t>The HowlingÂ </t>
  </si>
  <si>
    <t>Dr. NoÂ </t>
  </si>
  <si>
    <t>Bradley Parker</t>
  </si>
  <si>
    <t>Chernobyl DiariesÂ </t>
  </si>
  <si>
    <t>Clive Barker</t>
  </si>
  <si>
    <t>HellraiserÂ </t>
  </si>
  <si>
    <t>Harold Cronk</t>
  </si>
  <si>
    <t>God's Not Dead 2Â </t>
  </si>
  <si>
    <t>Cry_WolfÂ </t>
  </si>
  <si>
    <t>Takao Okawara</t>
  </si>
  <si>
    <t>Godzilla 2000Â </t>
  </si>
  <si>
    <t>Blue ValentineÂ </t>
  </si>
  <si>
    <t>Duncan Tucker</t>
  </si>
  <si>
    <t>TransamericaÂ </t>
  </si>
  <si>
    <t>The Devil InsideÂ </t>
  </si>
  <si>
    <t>Russ Meyer</t>
  </si>
  <si>
    <t>Beyond the Valley of the DollsÂ </t>
  </si>
  <si>
    <t>The Green InfernoÂ </t>
  </si>
  <si>
    <t>Ben Lewin</t>
  </si>
  <si>
    <t>The SessionsÂ </t>
  </si>
  <si>
    <t>Next Stop WonderlandÂ </t>
  </si>
  <si>
    <t>Courtney Hunt</t>
  </si>
  <si>
    <t>Frozen RiverÂ </t>
  </si>
  <si>
    <t>Morgan Neville</t>
  </si>
  <si>
    <t>20 Feet from StardomÂ </t>
  </si>
  <si>
    <t>Two Girls and a GuyÂ 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</si>
  <si>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</si>
  <si>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</si>
  <si>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</si>
  <si>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</si>
  <si>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</si>
  <si>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</si>
  <si>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SlamÂ </t>
  </si>
  <si>
    <t>Richard Dutcher</t>
  </si>
  <si>
    <t>Brigham CityÂ </t>
  </si>
  <si>
    <t>Khalid Mohamed</t>
  </si>
  <si>
    <t>FizaÂ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</si>
  <si>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</si>
  <si>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</si>
  <si>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</si>
  <si>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</si>
  <si>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</si>
  <si>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</si>
  <si>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</si>
  <si>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</si>
  <si>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Goran Dukic</t>
  </si>
  <si>
    <t>Wristcutters: A Love StoryÂ </t>
  </si>
  <si>
    <t>Efram Potelle</t>
  </si>
  <si>
    <t>The Battle of Shaker HeightsÂ </t>
  </si>
  <si>
    <t>Joshua Oppenheimer</t>
  </si>
  <si>
    <t>The Act of KillingÂ </t>
  </si>
  <si>
    <t>Alex Gibney</t>
  </si>
  <si>
    <t>Taxi to the Dark SideÂ </t>
  </si>
  <si>
    <t>Paul Crowder</t>
  </si>
  <si>
    <t>Once in a Lifetime: The Extraordinary Story of the New York CosmosÂ </t>
  </si>
  <si>
    <t>Anthony Powell</t>
  </si>
  <si>
    <t>Antarctica: A Year on IceÂ </t>
  </si>
  <si>
    <t>Kief Davidson</t>
  </si>
  <si>
    <t>A Lego BrickumentaryÂ </t>
  </si>
  <si>
    <t>Johnny Remo</t>
  </si>
  <si>
    <t>HardflipÂ </t>
  </si>
  <si>
    <t>Vivek Agnihotri</t>
  </si>
  <si>
    <t>Thriller</t>
  </si>
  <si>
    <t>Chocolate: Deep Dark SecretsÂ </t>
  </si>
  <si>
    <t>Ti West</t>
  </si>
  <si>
    <t>The House of the DevilÂ </t>
  </si>
  <si>
    <t>Nick Tomnay</t>
  </si>
  <si>
    <t>The Perfect HostÂ </t>
  </si>
  <si>
    <t>Safe MenÂ </t>
  </si>
  <si>
    <t>The SpecialsÂ </t>
  </si>
  <si>
    <t>Eric Nicholas</t>
  </si>
  <si>
    <t>Alone with HerÂ </t>
  </si>
  <si>
    <t>Benjamin Dickinson</t>
  </si>
  <si>
    <t>Creative ControlÂ </t>
  </si>
  <si>
    <t>Hal Haberman</t>
  </si>
  <si>
    <t>SpecialÂ </t>
  </si>
  <si>
    <t>In Her Line of FireÂ </t>
  </si>
  <si>
    <t>Frank Whaley</t>
  </si>
  <si>
    <t>The Jimmy ShowÂ </t>
  </si>
  <si>
    <t>Katherine Brooks</t>
  </si>
  <si>
    <t>Loving AnnabelleÂ </t>
  </si>
  <si>
    <t>David Cross</t>
  </si>
  <si>
    <t>HitsÂ </t>
  </si>
  <si>
    <t>Randall Rubin</t>
  </si>
  <si>
    <t>Jimmy and JudyÂ </t>
  </si>
  <si>
    <t>Robert Bennett</t>
  </si>
  <si>
    <t>Frat PartyÂ </t>
  </si>
  <si>
    <t>Mary Pat Kelly</t>
  </si>
  <si>
    <t>ProudÂ </t>
  </si>
  <si>
    <t>Charlie Levi</t>
  </si>
  <si>
    <t>ChildlessÂ </t>
  </si>
  <si>
    <t>Kevin Hamedani</t>
  </si>
  <si>
    <t>ZMD: Zombies of Mass DestructionÂ </t>
  </si>
  <si>
    <t>David DeCoteau</t>
  </si>
  <si>
    <t>Snow White: A Deadly SummerÂ </t>
  </si>
  <si>
    <t>Stefan C. Schaefer</t>
  </si>
  <si>
    <t>My Last Day Without YouÂ </t>
  </si>
  <si>
    <t>Michael Taliferro</t>
  </si>
  <si>
    <t>Steppin: The MovieÂ </t>
  </si>
  <si>
    <t>Doc Holliday's RevengeÂ </t>
  </si>
  <si>
    <t>Robert Heath</t>
  </si>
  <si>
    <t>Truth or DieÂ </t>
  </si>
  <si>
    <t>D. Stevens</t>
  </si>
  <si>
    <t>The PetÂ </t>
  </si>
  <si>
    <t>Jeffrey St. Jules</t>
  </si>
  <si>
    <t>Bang Bang BabyÂ </t>
  </si>
  <si>
    <t>Robert Hall</t>
  </si>
  <si>
    <t>Fear ClinicÂ </t>
  </si>
  <si>
    <t>K. King</t>
  </si>
  <si>
    <t>Zombie HunterÂ </t>
  </si>
  <si>
    <t>Jonathan Meyers</t>
  </si>
  <si>
    <t>A Fine StepÂ </t>
  </si>
  <si>
    <t>Allison Burnett</t>
  </si>
  <si>
    <t>Ask Me AnythingÂ </t>
  </si>
  <si>
    <t>Richard Schenkman</t>
  </si>
  <si>
    <t>And Then Came LoveÂ </t>
  </si>
  <si>
    <t>Sanjay Rawal</t>
  </si>
  <si>
    <t>Food ChainsÂ </t>
  </si>
  <si>
    <t>Elia Kazan</t>
  </si>
  <si>
    <t>On the WaterfrontÂ </t>
  </si>
  <si>
    <t>Kat Coiro</t>
  </si>
  <si>
    <t>L!fe HappensÂ </t>
  </si>
  <si>
    <t>Cristian Mungiu</t>
  </si>
  <si>
    <t>4 Months, 3 Weeks and 2 DaysÂ </t>
  </si>
  <si>
    <t>Romanian</t>
  </si>
  <si>
    <t>Hard CandyÂ </t>
  </si>
  <si>
    <t>The QuietÂ </t>
  </si>
  <si>
    <t>Fruitvale StationÂ </t>
  </si>
  <si>
    <t>Ramaa Mosley</t>
  </si>
  <si>
    <t>The Brass TeapotÂ </t>
  </si>
  <si>
    <t>The HammerÂ </t>
  </si>
  <si>
    <t>C. Jay Cox</t>
  </si>
  <si>
    <t>Latter DaysÂ </t>
  </si>
  <si>
    <t>Jamie Travis</t>
  </si>
  <si>
    <t>For a Good Time, Call...Â </t>
  </si>
  <si>
    <t>Rich Christiano</t>
  </si>
  <si>
    <t>Time ChangerÂ </t>
  </si>
  <si>
    <t>Asghar Farhadi</t>
  </si>
  <si>
    <t>A SeparationÂ </t>
  </si>
  <si>
    <t>Persian</t>
  </si>
  <si>
    <t>Welcome to the DollhouseÂ </t>
  </si>
  <si>
    <t>Ruby in ParadiseÂ </t>
  </si>
  <si>
    <t>Raising Victor VargasÂ </t>
  </si>
  <si>
    <t>DeterrenceÂ </t>
  </si>
  <si>
    <t>Shane Dawson</t>
  </si>
  <si>
    <t>Not CoolÂ </t>
  </si>
  <si>
    <t>Dead SnowÂ </t>
  </si>
  <si>
    <t>Ryan Little</t>
  </si>
  <si>
    <t>Saints and SoldiersÂ </t>
  </si>
  <si>
    <t>American GraffitiÂ </t>
  </si>
  <si>
    <t>Matt Maiellaro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</si>
  <si>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</si>
  <si>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</si>
  <si>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</si>
  <si>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</si>
  <si>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</si>
  <si>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Interview with the AssassinÂ </t>
  </si>
  <si>
    <t>Oliver Blackburn</t>
  </si>
  <si>
    <t>Donkey PunchÂ </t>
  </si>
  <si>
    <t>Hoop DreamsÂ </t>
  </si>
  <si>
    <t>L.I.E.Â </t>
  </si>
  <si>
    <t>Ryan Fleck</t>
  </si>
  <si>
    <t>Half NelsonÂ </t>
  </si>
  <si>
    <t>Jennifer Wynne Farmer</t>
  </si>
  <si>
    <t>Naturally NativeÂ </t>
  </si>
  <si>
    <t>Christopher Scott Cherot</t>
  </si>
  <si>
    <t>Hav PlentyÂ </t>
  </si>
  <si>
    <t>Mark Sandrich</t>
  </si>
  <si>
    <t>Top HatÂ </t>
  </si>
  <si>
    <t>Daniel Myrick</t>
  </si>
  <si>
    <t>The Blair Witch ProjectÂ </t>
  </si>
  <si>
    <t>Michael Wadleigh</t>
  </si>
  <si>
    <t>WoodstockÂ </t>
  </si>
  <si>
    <t>Mercy StreetsÂ </t>
  </si>
  <si>
    <t>Gene Teigland</t>
  </si>
  <si>
    <t>Arnolds ParkÂ </t>
  </si>
  <si>
    <t>Scott Ziehl</t>
  </si>
  <si>
    <t>Broken VesselsÂ </t>
  </si>
  <si>
    <t>Michael Walker</t>
  </si>
  <si>
    <t>The Maid's RoomÂ </t>
  </si>
  <si>
    <t>A Hard Day's NightÂ </t>
  </si>
  <si>
    <t>U. Roberto Romano</t>
  </si>
  <si>
    <t>The Harvest/La CosechaÂ </t>
  </si>
  <si>
    <t>FireproofÂ </t>
  </si>
  <si>
    <t>Joe Camp</t>
  </si>
  <si>
    <t>BenjiÂ </t>
  </si>
  <si>
    <t>Open WaterÂ </t>
  </si>
  <si>
    <t>John 'Bud' Cardos</t>
  </si>
  <si>
    <t>Kingdom of the SpidersÂ </t>
  </si>
  <si>
    <t>The Station AgentÂ </t>
  </si>
  <si>
    <t>Brian Baugh</t>
  </si>
  <si>
    <t>To Save a LifeÂ </t>
  </si>
  <si>
    <t>Barry W. Blaustein</t>
  </si>
  <si>
    <t>Beyond the MatÂ </t>
  </si>
  <si>
    <t>Kurt Hale</t>
  </si>
  <si>
    <t>The Singles WardÂ </t>
  </si>
  <si>
    <t>Siddiq Barmak</t>
  </si>
  <si>
    <t>OsamaÂ </t>
  </si>
  <si>
    <t>Afghanistan</t>
  </si>
  <si>
    <t>Joseph Dorman</t>
  </si>
  <si>
    <t>Sholem Aleichem: Laughing in the DarknessÂ </t>
  </si>
  <si>
    <t>Greg Harrison</t>
  </si>
  <si>
    <t>GrooveÂ </t>
  </si>
  <si>
    <t>The R.M.Â </t>
  </si>
  <si>
    <t>Twin Falls IdahoÂ </t>
  </si>
  <si>
    <t>Jacob Aaron Estes</t>
  </si>
  <si>
    <t>Mean CreekÂ </t>
  </si>
  <si>
    <t>Hurricane StreetsÂ </t>
  </si>
  <si>
    <t>Eric Schaeffer</t>
  </si>
  <si>
    <t>Never AgainÂ </t>
  </si>
  <si>
    <t>Neema Barnette</t>
  </si>
  <si>
    <t>Civil BrandÂ </t>
  </si>
  <si>
    <t>Lonesome JimÂ </t>
  </si>
  <si>
    <t>Molly Bernstein</t>
  </si>
  <si>
    <t>Deceptive Practice: The Mysteries and Mentors of Ricky JayÂ </t>
  </si>
  <si>
    <t>Seven SamuraiÂ </t>
  </si>
  <si>
    <t>Marius A. Markevicius</t>
  </si>
  <si>
    <t>The Other Dream TeamÂ </t>
  </si>
  <si>
    <t>Finishing the Game: The Search for a New Bruce LeeÂ </t>
  </si>
  <si>
    <t>Quentin Dupieux</t>
  </si>
  <si>
    <t>RubberÂ 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</si>
  <si>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</si>
  <si>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</si>
  <si>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</si>
  <si>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</si>
  <si>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</si>
  <si>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</si>
  <si>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</si>
  <si>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</si>
  <si>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</si>
  <si>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Michael Hoffman Jr.</t>
  </si>
  <si>
    <t>Girls Gone DeadÂ </t>
  </si>
  <si>
    <t>Patrick Gilles</t>
  </si>
  <si>
    <t>America Is Still the PlaceÂ </t>
  </si>
  <si>
    <t>Georgia Hilton</t>
  </si>
  <si>
    <t>SubconsciousÂ </t>
  </si>
  <si>
    <t>Joel Paul Reisig</t>
  </si>
  <si>
    <t>Rodeo GirlÂ </t>
  </si>
  <si>
    <t>Catherine Gund</t>
  </si>
  <si>
    <t>Born to Fly: Elizabeth Streb vs. GravityÂ </t>
  </si>
  <si>
    <t>Matty Rich</t>
  </si>
  <si>
    <t>Straight Out of BrooklynÂ </t>
  </si>
  <si>
    <t>Bloody SundayÂ </t>
  </si>
  <si>
    <t>Hans Canosa</t>
  </si>
  <si>
    <t>Conversations with Other WomenÂ </t>
  </si>
  <si>
    <t>Lloyd Kaufman</t>
  </si>
  <si>
    <t>Poultrygeist: Night of the Chicken DeadÂ </t>
  </si>
  <si>
    <t>Lloyd Bacon</t>
  </si>
  <si>
    <t>42nd StreetÂ </t>
  </si>
  <si>
    <t>Whit Stillman</t>
  </si>
  <si>
    <t>MetropolitanÂ </t>
  </si>
  <si>
    <t>Kay Pollak</t>
  </si>
  <si>
    <t>As It Is in HeavenÂ </t>
  </si>
  <si>
    <t>Swedish</t>
  </si>
  <si>
    <t>Sweden</t>
  </si>
  <si>
    <t>Napoleon DynamiteÂ </t>
  </si>
  <si>
    <t>Blue RuinÂ </t>
  </si>
  <si>
    <t>Oren Peli</t>
  </si>
  <si>
    <t>Paranormal ActivityÂ </t>
  </si>
  <si>
    <t>Monty Python and the Holy GrailÂ </t>
  </si>
  <si>
    <t>QuinceaÃ±eraÂ </t>
  </si>
  <si>
    <t>Sue Corcoran</t>
  </si>
  <si>
    <t>Gory Gory HallelujahÂ </t>
  </si>
  <si>
    <t>Jonathan Caouette</t>
  </si>
  <si>
    <t>TarnationÂ </t>
  </si>
  <si>
    <t>Ray Griggs</t>
  </si>
  <si>
    <t>I Want Your MoneyÂ </t>
  </si>
  <si>
    <t>Lucio Fulci</t>
  </si>
  <si>
    <t>The BeyondÂ </t>
  </si>
  <si>
    <t>What Happens in VegasÂ </t>
  </si>
  <si>
    <t>Roger Nygard</t>
  </si>
  <si>
    <t>TrekkiesÂ </t>
  </si>
  <si>
    <t>Harry Beaumont</t>
  </si>
  <si>
    <t>The Broadway MelodyÂ </t>
  </si>
  <si>
    <t>Franck Khalfoun</t>
  </si>
  <si>
    <t>ManiacÂ </t>
  </si>
  <si>
    <t>Mor Loushy</t>
  </si>
  <si>
    <t>Censored VoicesÂ </t>
  </si>
  <si>
    <t>Henry Alex Rubin</t>
  </si>
  <si>
    <t>MurderballÂ </t>
  </si>
  <si>
    <t>Sam Firstenberg</t>
  </si>
  <si>
    <t>American Ninja 2: The ConfrontationÂ </t>
  </si>
  <si>
    <t>TumbleweedsÂ </t>
  </si>
  <si>
    <t>Gregory Widen</t>
  </si>
  <si>
    <t>The ProphecyÂ </t>
  </si>
  <si>
    <t>When the Cat's AwayÂ </t>
  </si>
  <si>
    <t>Pieces of AprilÂ </t>
  </si>
  <si>
    <t>Kelly Reichardt</t>
  </si>
  <si>
    <t>Old JoyÂ </t>
  </si>
  <si>
    <t>Wendy and LucyÂ </t>
  </si>
  <si>
    <t>Pan Nalin</t>
  </si>
  <si>
    <t>Ayurveda: Art of BeingÂ </t>
  </si>
  <si>
    <t>Michael Roemer</t>
  </si>
  <si>
    <t>Nothing But a ManÂ </t>
  </si>
  <si>
    <t>First Love, Last RitesÂ </t>
  </si>
  <si>
    <t>Eddie O'Flaherty</t>
  </si>
  <si>
    <t>Fighting Tommy RileyÂ </t>
  </si>
  <si>
    <t>Bruce Dellis</t>
  </si>
  <si>
    <t>Locker 13Â </t>
  </si>
  <si>
    <t>Craig Zobel</t>
  </si>
  <si>
    <t>ComplianceÂ </t>
  </si>
  <si>
    <t>Chasing AmyÂ </t>
  </si>
  <si>
    <t>Lovely &amp; AmazingÂ </t>
  </si>
  <si>
    <t>Better Luck TomorrowÂ </t>
  </si>
  <si>
    <t>Maria Maggenti</t>
  </si>
  <si>
    <t>The Incredibly True Adventure of Two Girls in LoveÂ </t>
  </si>
  <si>
    <t>Chuck &amp; BuckÂ </t>
  </si>
  <si>
    <t>Piyush Dinker Pandya</t>
  </si>
  <si>
    <t>American DesiÂ </t>
  </si>
  <si>
    <t>CubeÂ </t>
  </si>
  <si>
    <t>Emma-Kate Croghan</t>
  </si>
  <si>
    <t>Love and Other CatastrophesÂ </t>
  </si>
  <si>
    <t>Bill Plympton</t>
  </si>
  <si>
    <t>I Married a Strange Person!Â </t>
  </si>
  <si>
    <t>NovemberÂ </t>
  </si>
  <si>
    <t>Drake Doremus</t>
  </si>
  <si>
    <t>Like CrazyÂ </t>
  </si>
  <si>
    <t>Sugar TownÂ </t>
  </si>
  <si>
    <t>The CanyonsÂ </t>
  </si>
  <si>
    <t>Hilary Brougher</t>
  </si>
  <si>
    <t>Sci-Fi</t>
  </si>
  <si>
    <t>The Sticky Fingers of TimeÂ </t>
  </si>
  <si>
    <t>Tom Seidman</t>
  </si>
  <si>
    <t>The Christmas BunnyÂ </t>
  </si>
  <si>
    <t>Sam Martin</t>
  </si>
  <si>
    <t>UnDividedÂ </t>
  </si>
  <si>
    <t>Andrew Hyatt</t>
  </si>
  <si>
    <t>The FrozenÂ </t>
  </si>
  <si>
    <t>Horse CampÂ </t>
  </si>
  <si>
    <t>Kristin Rizzo</t>
  </si>
  <si>
    <t>Give Me ShelterÂ </t>
  </si>
  <si>
    <t>Ward Roberts</t>
  </si>
  <si>
    <t>Little Big TopÂ </t>
  </si>
  <si>
    <t>Zoran Lisinac</t>
  </si>
  <si>
    <t>Along the RoadsideÂ </t>
  </si>
  <si>
    <t>Tom Putnam</t>
  </si>
  <si>
    <t>BurnÂ </t>
  </si>
  <si>
    <t>Jon Shear</t>
  </si>
  <si>
    <t>UrbaniaÂ </t>
  </si>
  <si>
    <t>EugÃ¨ne LouriÃ©</t>
  </si>
  <si>
    <t>The Beast from 20,000 FathomsÂ </t>
  </si>
  <si>
    <t>SwingersÂ </t>
  </si>
  <si>
    <t>A Fistful of DollarsÂ </t>
  </si>
  <si>
    <t>Maurizio Benazzo</t>
  </si>
  <si>
    <t>Short Cut to Nirvana: Kumbh MelaÂ </t>
  </si>
  <si>
    <t>David G. Evans</t>
  </si>
  <si>
    <t>The Grace CardÂ </t>
  </si>
  <si>
    <t>Middle of NowhereÂ </t>
  </si>
  <si>
    <t>Sherman Alexie</t>
  </si>
  <si>
    <t>The Business of FancydancingÂ </t>
  </si>
  <si>
    <t>Justin Dillon</t>
  </si>
  <si>
    <t>Call + ResponseÂ </t>
  </si>
  <si>
    <t>Ricki Stern</t>
  </si>
  <si>
    <t>The Trials of Darryl HuntÂ </t>
  </si>
  <si>
    <t>Sharon Greytak</t>
  </si>
  <si>
    <t>Archaeology of a WomanÂ </t>
  </si>
  <si>
    <t>Majid Majidi</t>
  </si>
  <si>
    <t>Children of HeavenÂ </t>
  </si>
  <si>
    <t>Andrew Haigh</t>
  </si>
  <si>
    <t>WeekendÂ </t>
  </si>
  <si>
    <t>She's Gotta Have ItÂ </t>
  </si>
  <si>
    <t>Mike Cahill</t>
  </si>
  <si>
    <t>Another EarthÂ </t>
  </si>
  <si>
    <t>Melvin Van Peebles</t>
  </si>
  <si>
    <t>Sweet Sweetback's Baadasssss SongÂ </t>
  </si>
  <si>
    <t>TadpoleÂ </t>
  </si>
  <si>
    <t>OnceÂ </t>
  </si>
  <si>
    <t>Robinson Devor</t>
  </si>
  <si>
    <t>The Woman ChaserÂ </t>
  </si>
  <si>
    <t>Michel Orion Scott</t>
  </si>
  <si>
    <t>The Horse BoyÂ </t>
  </si>
  <si>
    <t>Dena Seidel</t>
  </si>
  <si>
    <t>Antarctic Edge: 70Â° SouthÂ </t>
  </si>
  <si>
    <t>Sara Newens</t>
  </si>
  <si>
    <t>Top SpinÂ </t>
  </si>
  <si>
    <t>Roger &amp; MeÂ </t>
  </si>
  <si>
    <t>Lynn Shelton</t>
  </si>
  <si>
    <t>Your Sister's SisterÂ </t>
  </si>
  <si>
    <t>Facing the GiantsÂ </t>
  </si>
  <si>
    <t>Travis Cluff</t>
  </si>
  <si>
    <t>The GallowsÂ </t>
  </si>
  <si>
    <t>Robert Townsend</t>
  </si>
  <si>
    <t>Hollywood ShuffleÂ </t>
  </si>
  <si>
    <t>Larry Blamire</t>
  </si>
  <si>
    <t>The Lost Skeleton of CadavraÂ </t>
  </si>
  <si>
    <t>E.L. Katz</t>
  </si>
  <si>
    <t>Cheap ThrillsÂ </t>
  </si>
  <si>
    <t>Patrick Ryan Sims</t>
  </si>
  <si>
    <t>Echo Dr.Â </t>
  </si>
  <si>
    <t>Jason Miller</t>
  </si>
  <si>
    <t>The Past is a Grotesque AnimalÂ </t>
  </si>
  <si>
    <t>PiÂ </t>
  </si>
  <si>
    <t>Myles Berkowitz</t>
  </si>
  <si>
    <t>20 DatesÂ </t>
  </si>
  <si>
    <t>Super Size MeÂ </t>
  </si>
  <si>
    <t>Brandon Trost</t>
  </si>
  <si>
    <t>The FPÂ </t>
  </si>
  <si>
    <t>Joe Swanberg</t>
  </si>
  <si>
    <t>Happy ChristmasÂ </t>
  </si>
  <si>
    <t>AbsentiaÂ </t>
  </si>
  <si>
    <t>The Brothers McMullenÂ </t>
  </si>
  <si>
    <t>Lena Dunham</t>
  </si>
  <si>
    <t>Tiny FurnitureÂ </t>
  </si>
  <si>
    <t>Jem Cohen</t>
  </si>
  <si>
    <t>CountingÂ </t>
  </si>
  <si>
    <t>Andrew Leman</t>
  </si>
  <si>
    <t>The Call of CthulhuÂ </t>
  </si>
  <si>
    <t>Dave Carroll</t>
  </si>
  <si>
    <t>Bending SteelÂ </t>
  </si>
  <si>
    <t>William Eubank</t>
  </si>
  <si>
    <t>The SignalÂ </t>
  </si>
  <si>
    <t>Patrick Meaney</t>
  </si>
  <si>
    <t>The Image RevolutionÂ </t>
  </si>
  <si>
    <t>Chad Hartigan</t>
  </si>
  <si>
    <t>This Is Martin BonnerÂ </t>
  </si>
  <si>
    <t>Malcolm Goodwin</t>
  </si>
  <si>
    <t>A True StoryÂ </t>
  </si>
  <si>
    <t>George WashingtonÂ </t>
  </si>
  <si>
    <t>Kevin Jordan</t>
  </si>
  <si>
    <t>Smiling Fish &amp; Goat on FireÂ </t>
  </si>
  <si>
    <t>Mike Bruce</t>
  </si>
  <si>
    <t>The Legend of God's GunÂ </t>
  </si>
  <si>
    <t>ClerksÂ </t>
  </si>
  <si>
    <t>James Bidgood</t>
  </si>
  <si>
    <t>Pink NarcissusÂ </t>
  </si>
  <si>
    <t>In the Company of MenÂ </t>
  </si>
  <si>
    <t>SlackerÂ </t>
  </si>
  <si>
    <t>Brandon Landers</t>
  </si>
  <si>
    <t>The RidgesÂ </t>
  </si>
  <si>
    <t>The Puffy ChairÂ </t>
  </si>
  <si>
    <t>Daryl Wein</t>
  </si>
  <si>
    <t>Romance</t>
  </si>
  <si>
    <t>Breaking UpwardsÂ </t>
  </si>
  <si>
    <t>Pink FlamingosÂ </t>
  </si>
  <si>
    <t>CleanÂ </t>
  </si>
  <si>
    <t>Jafar Panahi</t>
  </si>
  <si>
    <t>The CircleÂ </t>
  </si>
  <si>
    <t>Kiyoshi Kurosawa</t>
  </si>
  <si>
    <t>The CureÂ </t>
  </si>
  <si>
    <t>Shane Carruth</t>
  </si>
  <si>
    <t>PrimerÂ </t>
  </si>
  <si>
    <t>Neill Dela Llana</t>
  </si>
  <si>
    <t>CaviteÂ </t>
  </si>
  <si>
    <t>Philippines</t>
  </si>
  <si>
    <t>El MariachiÂ </t>
  </si>
  <si>
    <t>NewlywedsÂ </t>
  </si>
  <si>
    <t>Benjamin Roberds</t>
  </si>
  <si>
    <t>A Plague So PleasantÂ </t>
  </si>
  <si>
    <t>My Date with DrewÂ </t>
  </si>
  <si>
    <t>Genres</t>
  </si>
  <si>
    <t>GENRE</t>
  </si>
  <si>
    <t>Gross</t>
  </si>
  <si>
    <t>Correlation</t>
  </si>
  <si>
    <t>50+H603:H6140000</t>
  </si>
  <si>
    <t>1) MOVIE GENRE ANALYSIS:-</t>
  </si>
  <si>
    <t>No_of_movies</t>
  </si>
  <si>
    <t>Mean_imdb</t>
  </si>
  <si>
    <t>Median_imdb</t>
  </si>
  <si>
    <t>Mode_imdb</t>
  </si>
  <si>
    <t>Max_imdb</t>
  </si>
  <si>
    <t>Min_imdb</t>
  </si>
  <si>
    <t>StdDev_imdb</t>
  </si>
  <si>
    <t>Var_imdb</t>
  </si>
  <si>
    <t>Action|Adventure|Fantasy|Sci-Fi</t>
  </si>
  <si>
    <t>Action|Adventure|Fantasy</t>
  </si>
  <si>
    <t>Action|Adventure|Thriller</t>
  </si>
  <si>
    <t>Action|Thriller</t>
  </si>
  <si>
    <t>Action|Adventure|Sci-Fi</t>
  </si>
  <si>
    <t>Action|Adventure|Romance</t>
  </si>
  <si>
    <t>Adventure|Animation|Comedy|Family|Fantasy|Musical|Romance</t>
  </si>
  <si>
    <t>Adventure|Family|Fantasy|Mystery</t>
  </si>
  <si>
    <t>Action|Adventure</t>
  </si>
  <si>
    <t>Action|Adventure|Western</t>
  </si>
  <si>
    <t>Action|Adventure|Family|Fantasy</t>
  </si>
  <si>
    <t>Action|Adventure|Comedy|Family|Fantasy|Sci-Fi</t>
  </si>
  <si>
    <t>Adventure|Fantasy</t>
  </si>
  <si>
    <t>Action|Adventure|Drama|History</t>
  </si>
  <si>
    <t>Adventure|Family|Fantasy</t>
  </si>
  <si>
    <t>Action|Adventure|Drama|Romance</t>
  </si>
  <si>
    <t>Drama|Romance</t>
  </si>
  <si>
    <t>Action|Adventure|Sci-Fi|Thriller</t>
  </si>
  <si>
    <t>Action|Adventure|Fantasy|Romance</t>
  </si>
  <si>
    <t>Action|Adventure|Fantasy|Sci-Fi|Thriller</t>
  </si>
  <si>
    <t>Adventure|Animation|Comedy|Family|Fantasy</t>
  </si>
  <si>
    <t>Adventure|Animation|Comedy|Family|Sport</t>
  </si>
  <si>
    <t>Action|Crime|Thriller</t>
  </si>
  <si>
    <t>Action|Adventure|Horror|Sci-Fi|Thriller</t>
  </si>
  <si>
    <t>Adventure|Animation|Family|Sci-Fi</t>
  </si>
  <si>
    <t>Action|Comedy|Crime|Thriller</t>
  </si>
  <si>
    <t>Animation|Drama|Family|Fantasy</t>
  </si>
  <si>
    <t>Action|Crime|Drama|Thriller</t>
  </si>
  <si>
    <t>Adventure|Animation|Comedy|Family</t>
  </si>
  <si>
    <t>Action|Adventure|Animation|Comedy|Family|Sci-Fi</t>
  </si>
  <si>
    <t>Adventure|Drama|Family|Mystery</t>
  </si>
  <si>
    <t>Action|Comedy|Sci-Fi|Western</t>
  </si>
  <si>
    <t>Action|Adventure|Fantasy|Horror|Thriller</t>
  </si>
  <si>
    <t>Action|Adventure|Comedy|Sci-Fi</t>
  </si>
  <si>
    <t>Comedy|Family|Fantasy</t>
  </si>
  <si>
    <t>Adventure|Animation|Comedy|Drama|Family|Fantasy</t>
  </si>
  <si>
    <t>Adventure|Drama|Family|Fantasy</t>
  </si>
  <si>
    <t>Action|Adventure|Drama|Fantasy</t>
  </si>
  <si>
    <t>Action|Adventure|Family|Fantasy|Romance</t>
  </si>
  <si>
    <t>Action|Adventure|Drama|Sci-Fi</t>
  </si>
  <si>
    <t>Action|Adventure|Family|Mystery|Sci-Fi</t>
  </si>
  <si>
    <t>Action|Adventure|Animation|Comedy|Drama|Family|Sci-Fi</t>
  </si>
  <si>
    <t>Adventure|Animation|Comedy|Family|Sci-Fi</t>
  </si>
  <si>
    <t>Adventure|Animation|Family|Fantasy</t>
  </si>
  <si>
    <t>Action|Sci-Fi</t>
  </si>
  <si>
    <t>Adventure|Drama|Sci-Fi</t>
  </si>
  <si>
    <t>Drama|Fantasy|Romance</t>
  </si>
  <si>
    <t>Adventure|Sci-Fi</t>
  </si>
  <si>
    <t>Action|Adventure|Drama|Thriller</t>
  </si>
  <si>
    <t>Action|Drama|History|Romance|War</t>
  </si>
  <si>
    <t>Action|Adventure|Biography|Drama|History|Romance|War</t>
  </si>
  <si>
    <t>Action|Drama</t>
  </si>
  <si>
    <t>Drama|Horror|Sci-Fi</t>
  </si>
  <si>
    <t>Adventure|Comedy|Family|Fantasy</t>
  </si>
  <si>
    <t>Animation|Comedy|Family|Fantasy</t>
  </si>
  <si>
    <t>Action|Adventure|Animation|Comedy|Family</t>
  </si>
  <si>
    <t>Adventure|Animation|Comedy|Family|Fantasy|Musical</t>
  </si>
  <si>
    <t>Mystery|Thriller</t>
  </si>
  <si>
    <t>Adventure|Animation|Comedy|Drama|Family</t>
  </si>
  <si>
    <t>Action|Adventure|Animation|Comedy|Family|Fantasy|Sci-Fi</t>
  </si>
  <si>
    <t>Comedy|Fantasy|Horror</t>
  </si>
  <si>
    <t>Drama|Fantasy|Horror|Thriller</t>
  </si>
  <si>
    <t>Action|Drama|Thriller</t>
  </si>
  <si>
    <t>Adventure</t>
  </si>
  <si>
    <t>Action|Comedy|Fantasy|Sci-Fi</t>
  </si>
  <si>
    <t>Action|Adventure|Comedy|Family|Fantasy|Mystery|Sci-Fi</t>
  </si>
  <si>
    <t>Action|Adventure|Animation|Fantasy</t>
  </si>
  <si>
    <t>Comedy|Crime</t>
  </si>
  <si>
    <t>Action|Drama|History|War</t>
  </si>
  <si>
    <t>Action|Adventure|Drama</t>
  </si>
  <si>
    <t>Action|Adventure|Animation|Comedy|Family|Fantasy</t>
  </si>
  <si>
    <t>Action|Drama|Mystery|Sci-Fi</t>
  </si>
  <si>
    <t>Action|Adventure|Comedy|Thriller</t>
  </si>
  <si>
    <t>Action|Adventure|Animation|Fantasy|Romance|Sci-Fi</t>
  </si>
  <si>
    <t>Action|Adventure|Drama|History|War</t>
  </si>
  <si>
    <t>Adventure|Drama|Fantasy|Romance</t>
  </si>
  <si>
    <t>Animation|Comedy|Family|Musical</t>
  </si>
  <si>
    <t>Adventure|Drama|Thriller|Western</t>
  </si>
  <si>
    <t>Adventure|Animation|Comedy|Family|Western</t>
  </si>
  <si>
    <t>Action|Mystery|Thriller</t>
  </si>
  <si>
    <t>Adventure|Sci-Fi|Thriller</t>
  </si>
  <si>
    <t>Adventure|Animation|Comedy|Family|Fantasy|Sci-Fi</t>
  </si>
  <si>
    <t>Action|Crime|Mystery|Thriller</t>
  </si>
  <si>
    <t>Action|Adventure|Family|Mystery</t>
  </si>
  <si>
    <t>Adventure|Drama|Romance|War</t>
  </si>
  <si>
    <t>Adventure|Animation|Family|Thriller</t>
  </si>
  <si>
    <t>Action|Animation|Comedy|Family|Sci-Fi</t>
  </si>
  <si>
    <t>Action|Comedy|Fantasy</t>
  </si>
  <si>
    <t>Adventure|Animation|Comedy|Family|Musical</t>
  </si>
  <si>
    <t>Action|Adventure|Crime|Mystery|Thriller</t>
  </si>
  <si>
    <t>Action|Adventure|History</t>
  </si>
  <si>
    <t>Adventure|Drama|Fantasy</t>
  </si>
  <si>
    <t>Action|Fantasy|Thriller</t>
  </si>
  <si>
    <t>Action|Adventure|Comedy|Crime</t>
  </si>
  <si>
    <t>Adventure|Mystery|Sci-Fi</t>
  </si>
  <si>
    <t>Action|Drama|Sci-Fi|Thriller</t>
  </si>
  <si>
    <t>Action|Crime|Sci-Fi|Thriller</t>
  </si>
  <si>
    <t>Action|Family|Sport</t>
  </si>
  <si>
    <t>Comedy|Drama|Romance</t>
  </si>
  <si>
    <t>Action|Comedy|Romance</t>
  </si>
  <si>
    <t>Action|Adventure|Mystery|Sci-Fi</t>
  </si>
  <si>
    <t>Action|Drama|War</t>
  </si>
  <si>
    <t>Adventure|Drama|Sci-Fi|Thriller</t>
  </si>
  <si>
    <t>Action|Adventure|Comedy|Family|Fantasy</t>
  </si>
  <si>
    <t>Crime|Thriller</t>
  </si>
  <si>
    <t>Action|Comedy|Crime|Romance|Thriller</t>
  </si>
  <si>
    <t>Biography|Drama</t>
  </si>
  <si>
    <t>Action|Comedy|Crime|Sci-Fi|Thriller</t>
  </si>
  <si>
    <t>Action|Drama|Fantasy|War</t>
  </si>
  <si>
    <t>Animation|Comedy|Family|Music|Western</t>
  </si>
  <si>
    <t>Action|Adventure|Mystery|Sci-Fi|Thriller</t>
  </si>
  <si>
    <t>Action|Drama|Sci-Fi|Sport</t>
  </si>
  <si>
    <t>Action|Crime|Romance|Thriller</t>
  </si>
  <si>
    <t>Action|Adventure|Comedy</t>
  </si>
  <si>
    <t>Biography|Drama|Sport</t>
  </si>
  <si>
    <t>Action|Mystery|Sci-Fi|Thriller</t>
  </si>
  <si>
    <t>Animation|Family|Fantasy|Musical|Romance</t>
  </si>
  <si>
    <t>Action|Adventure|Romance|Sci-Fi|Thriller</t>
  </si>
  <si>
    <t>Comedy|Romance</t>
  </si>
  <si>
    <t>Action|Drama|Romance</t>
  </si>
  <si>
    <t>Biography|Crime|Drama|History|Romance</t>
  </si>
  <si>
    <t>Biography|Crime|Drama</t>
  </si>
  <si>
    <t>Action|Comedy|Thriller</t>
  </si>
  <si>
    <t>Action|Comedy|Crime</t>
  </si>
  <si>
    <t>Action|Drama|Mystery|Thriller</t>
  </si>
  <si>
    <t>Drama|Western</t>
  </si>
  <si>
    <t>Animation|Drama|Family|Musical|Romance</t>
  </si>
  <si>
    <t>Action|Adventure|Comedy|Family|Mystery</t>
  </si>
  <si>
    <t>Action|Romance|Thriller</t>
  </si>
  <si>
    <t>Action|Fantasy|Horror|Mystery</t>
  </si>
  <si>
    <t>Adventure|Drama|Thriller</t>
  </si>
  <si>
    <t>Biography|Comedy|Crime|Drama</t>
  </si>
  <si>
    <t>Action|Sci-Fi|War</t>
  </si>
  <si>
    <t>Drama|Sci-Fi</t>
  </si>
  <si>
    <t>Action|Adventure|Animation|Family|Fantasy</t>
  </si>
  <si>
    <t>Action|Crime|Fantasy|Romance|Thriller</t>
  </si>
  <si>
    <t>Adventure|Comedy|Sci-Fi</t>
  </si>
  <si>
    <t>Action|Crime|Sport|Thriller</t>
  </si>
  <si>
    <t>Action|Adventure|Biography|Drama|History|Thriller</t>
  </si>
  <si>
    <t>Action|Comedy|Sci-Fi</t>
  </si>
  <si>
    <t>Action|Drama|Thriller|War</t>
  </si>
  <si>
    <t>Drama|Mystery|Thriller</t>
  </si>
  <si>
    <t>Action|Adventure|Fantasy|Thriller</t>
  </si>
  <si>
    <t>Crime|Drama</t>
  </si>
  <si>
    <t>Drama|History|Romance|War</t>
  </si>
  <si>
    <t>Animation|Comedy|Family|Sport</t>
  </si>
  <si>
    <t>Comedy|Sci-Fi|Thriller</t>
  </si>
  <si>
    <t>Drama|History|War</t>
  </si>
  <si>
    <t>Adventure|Animation|Comedy|Family|Romance</t>
  </si>
  <si>
    <t>Drama|Family|Fantasy|Romance</t>
  </si>
  <si>
    <t>Drama|Fantasy|Thriller</t>
  </si>
  <si>
    <t>Drama|Mystery|Romance|Sci-Fi|Thriller</t>
  </si>
  <si>
    <t>Drama|History|War|Western</t>
  </si>
  <si>
    <t>Action|Adventure|Animation|Family</t>
  </si>
  <si>
    <t>Adventure|Comedy|Family|Mystery|Sci-Fi</t>
  </si>
  <si>
    <t>Drama|Fantasy|Horror|Mystery|Thriller</t>
  </si>
  <si>
    <t>Animation|Comedy|Family|Sci-Fi</t>
  </si>
  <si>
    <t>Adventure|Comedy|Drama|Fantasy|Romance</t>
  </si>
  <si>
    <t>Action|Adventure|Comedy|Crime|Thriller</t>
  </si>
  <si>
    <t>Crime|Drama|Thriller</t>
  </si>
  <si>
    <t>Adventure|Animation|Family|Fantasy|Musical|War</t>
  </si>
  <si>
    <t>Action|Comedy</t>
  </si>
  <si>
    <t>Crime|Drama|Mystery|Thriller</t>
  </si>
  <si>
    <t>Action|Adventure|Animation|Family|Fantasy|Sci-Fi</t>
  </si>
  <si>
    <t>Adventure|Animation|Comedy|Family|Fantasy|Music</t>
  </si>
  <si>
    <t>Drama|History|Thriller|War</t>
  </si>
  <si>
    <t>Action|Animation|Comedy|Sci-Fi</t>
  </si>
  <si>
    <t>Comedy|Family|Fantasy|Horror|Mystery</t>
  </si>
  <si>
    <t>Drama|Mystery|Sci-Fi|Thriller</t>
  </si>
  <si>
    <t>Action|Horror|Sci-Fi|Thriller</t>
  </si>
  <si>
    <t>Crime|Mystery|Thriller</t>
  </si>
  <si>
    <t>Action|Adventure|Comedy|Crime|Mystery|Thriller</t>
  </si>
  <si>
    <t>Comedy|Drama|Sci-Fi</t>
  </si>
  <si>
    <t>Action|Family|Fantasy|Musical</t>
  </si>
  <si>
    <t>Drama|History|Sport</t>
  </si>
  <si>
    <t>Adventure|Drama|Romance</t>
  </si>
  <si>
    <t>Animation|Comedy|Family|Music|Romance</t>
  </si>
  <si>
    <t>Animation|Comedy|Family|Fantasy|Musical|Romance</t>
  </si>
  <si>
    <t>Adventure|Comedy|Family</t>
  </si>
  <si>
    <t>Action|Crime|Drama|Mystery|Thriller</t>
  </si>
  <si>
    <t>Action|Adventure|Comedy|Fantasy</t>
  </si>
  <si>
    <t>Adventure|Comedy|Drama|Family|Fantasy</t>
  </si>
  <si>
    <t>Action|Comedy|Fantasy|Romance</t>
  </si>
  <si>
    <t>Comedy|Romance|Sci-Fi</t>
  </si>
  <si>
    <t>Adventure|Comedy|Mystery</t>
  </si>
  <si>
    <t>Comedy|Drama|Fantasy|Romance</t>
  </si>
  <si>
    <t>Action|Comedy|Family|Fantasy</t>
  </si>
  <si>
    <t>Action|Adventure|Fantasy|Horror|Sci-Fi</t>
  </si>
  <si>
    <t>Crime|Drama|History|Mystery|Thriller</t>
  </si>
  <si>
    <t>Comedy|Drama</t>
  </si>
  <si>
    <t>Adventure|Animation|Comedy|Drama|Family|Fantasy|Sci-Fi</t>
  </si>
  <si>
    <t>Action|Drama|Romance|Sci-Fi|Thriller</t>
  </si>
  <si>
    <t>Comedy|Crime|Sport</t>
  </si>
  <si>
    <t>Comedy|Family|Fantasy|Romance</t>
  </si>
  <si>
    <t>Adventure|Drama|History|Romance|War</t>
  </si>
  <si>
    <t>Comedy|Family|Sci-Fi</t>
  </si>
  <si>
    <t>Fantasy|Horror|Mystery|Thriller</t>
  </si>
  <si>
    <t>Adventure|Animation|Comedy|Family|Fantasy|Sci-Fi|Sport</t>
  </si>
  <si>
    <t>Adventure|Comedy|Crime|Family|Mystery</t>
  </si>
  <si>
    <t>Drama|Sci-Fi|Thriller</t>
  </si>
  <si>
    <t>Action|Crime|Mystery|Romance|Thriller</t>
  </si>
  <si>
    <t>Action|Adventure|Comedy|Romance</t>
  </si>
  <si>
    <t>Adventure|Animation|Family|Western</t>
  </si>
  <si>
    <t>Comedy|Family|Romance</t>
  </si>
  <si>
    <t>Action|Adventure|Family|Sci-Fi|Thriller</t>
  </si>
  <si>
    <t>Animation|Family|Fantasy|Music</t>
  </si>
  <si>
    <t>Action|Adventure|Family|Fantasy|Thriller</t>
  </si>
  <si>
    <t>Comedy|Fantasy</t>
  </si>
  <si>
    <t>Action|Adventure|Comedy|Fantasy|Thriller</t>
  </si>
  <si>
    <t>Action|Sci-Fi|Thriller</t>
  </si>
  <si>
    <t>Drama|History|Thriller</t>
  </si>
  <si>
    <t>Adventure|Animation|Family</t>
  </si>
  <si>
    <t>Drama|Musical|Romance</t>
  </si>
  <si>
    <t>Documentary|Drama</t>
  </si>
  <si>
    <t>Action|Adventure|Drama|History|Romance</t>
  </si>
  <si>
    <t>Adventure|Animation|Drama|Family|Musical</t>
  </si>
  <si>
    <t>Animation|Comedy|Family|Fantasy|Sci-Fi</t>
  </si>
  <si>
    <t>Adventure|Animation|Drama|Family|Fantasy</t>
  </si>
  <si>
    <t>Sci-Fi|Thriller</t>
  </si>
  <si>
    <t>Animation|Comedy|Family</t>
  </si>
  <si>
    <t>Action|Crime|Fantasy|Thriller</t>
  </si>
  <si>
    <t>Comedy|Drama|Family|Music|Musical|Romance</t>
  </si>
  <si>
    <t>Horror|Mystery|Thriller</t>
  </si>
  <si>
    <t>Action|Adventure|Comedy|Family|Sci-Fi</t>
  </si>
  <si>
    <t>Comedy|Family</t>
  </si>
  <si>
    <t>Biography|Comedy|Drama|History</t>
  </si>
  <si>
    <t>Drama|Music|Musical</t>
  </si>
  <si>
    <t>Comedy|Crime|Music</t>
  </si>
  <si>
    <t>Action|Comedy|Romance|Thriller</t>
  </si>
  <si>
    <t>Animation|Comedy|Family|Fantasy|Mystery</t>
  </si>
  <si>
    <t>Comedy|Crime|Drama|Romance</t>
  </si>
  <si>
    <t>Action|Adventure|Romance|Thriller</t>
  </si>
  <si>
    <t>Drama|History|Romance</t>
  </si>
  <si>
    <t>Action|Drama|Fantasy|Romance</t>
  </si>
  <si>
    <t>Action|Adventure|Animation|Family|Sci-Fi</t>
  </si>
  <si>
    <t>Action|Drama|Sci-Fi</t>
  </si>
  <si>
    <t>Animation|Comedy|Fantasy</t>
  </si>
  <si>
    <t>Action|Fantasy</t>
  </si>
  <si>
    <t>Action|Animation|Comedy|Family</t>
  </si>
  <si>
    <t>Action|Adventure|Comedy|Romance|Thriller</t>
  </si>
  <si>
    <t>Action|Comedy|Sport</t>
  </si>
  <si>
    <t>Biography|Drama|History|War</t>
  </si>
  <si>
    <t>Adventure|Animation|Comedy</t>
  </si>
  <si>
    <t>Action|Drama|Sport</t>
  </si>
  <si>
    <t>Adventure|Drama|Family</t>
  </si>
  <si>
    <t>Drama|Mystery|Romance|Thriller</t>
  </si>
  <si>
    <t>Adventure|Animation|Comedy|Family|Fantasy|Romance</t>
  </si>
  <si>
    <t>Adventure|Drama|War</t>
  </si>
  <si>
    <t>Action|Adventure|Crime|Thriller</t>
  </si>
  <si>
    <t>Fantasy|Mystery|Romance|Sci-Fi|Thriller</t>
  </si>
  <si>
    <t>Drama|Fantasy|Mystery|Thriller</t>
  </si>
  <si>
    <t>Animation|Comedy|Family|Fantasy|Music</t>
  </si>
  <si>
    <t>Drama|Horror|Romance|Thriller</t>
  </si>
  <si>
    <t>Drama|War</t>
  </si>
  <si>
    <t>Action|Drama|Fantasy|Horror|War</t>
  </si>
  <si>
    <t>Adventure|Family|Fantasy|Romance</t>
  </si>
  <si>
    <t>Adventure|Biography|Drama|History|War</t>
  </si>
  <si>
    <t>Action|Adventure|Horror|Sci-Fi</t>
  </si>
  <si>
    <t>Action|Fantasy|Horror</t>
  </si>
  <si>
    <t>Comedy|Drama|Musical|Romance</t>
  </si>
  <si>
    <t>Action|Sci-Fi|Sport</t>
  </si>
  <si>
    <t>Action|Adventure|Animation|Comedy|Crime|Family|Fantasy</t>
  </si>
  <si>
    <t>Adventure|Animation|Family|Fantasy|Musical</t>
  </si>
  <si>
    <t>Action|Crime|Mystery|Sci-Fi|Thriller</t>
  </si>
  <si>
    <t>Action|Comedy|Crime|Drama|Thriller</t>
  </si>
  <si>
    <t>Adventure|Drama|History|Romance</t>
  </si>
  <si>
    <t>Biography|Drama|Thriller</t>
  </si>
  <si>
    <t>Action|Adventure|Fantasy|War</t>
  </si>
  <si>
    <t>Comedy|Fantasy|Romance</t>
  </si>
  <si>
    <t>Drama|Horror|Sci-Fi|Thriller</t>
  </si>
  <si>
    <t>Adventure|Drama|History</t>
  </si>
  <si>
    <t>Action|Adventure|Comedy|Romance|Thriller|Western</t>
  </si>
  <si>
    <t>Biography|Drama|Sport|War</t>
  </si>
  <si>
    <t>Comedy|Drama|Family|Musical</t>
  </si>
  <si>
    <t>Action|Adventure|Fantasy|Horror|Sci-Fi|Thriller</t>
  </si>
  <si>
    <t>Drama|Sport</t>
  </si>
  <si>
    <t>Action|Fantasy|Sci-Fi|Thriller</t>
  </si>
  <si>
    <t>Drama|Mystery|Romance</t>
  </si>
  <si>
    <t>Adventure|Biography|Drama|History|Sport|Thriller</t>
  </si>
  <si>
    <t>Crime|Drama|Fantasy</t>
  </si>
  <si>
    <t>Adventure|Biography|Crime|Drama|Western</t>
  </si>
  <si>
    <t>Action|War</t>
  </si>
  <si>
    <t>Comedy|Romance|Sport</t>
  </si>
  <si>
    <t>Crime|Drama|Mystery|Thriller|Western</t>
  </si>
  <si>
    <t>Comedy|Sport</t>
  </si>
  <si>
    <t>Comedy|Drama|Family</t>
  </si>
  <si>
    <t>Crime|Drama|Fantasy|Mystery</t>
  </si>
  <si>
    <t>Adventure|Animation|Biography|Drama|Family|Fantasy|Musical</t>
  </si>
  <si>
    <t>Drama|Romance|Western</t>
  </si>
  <si>
    <t>Documentary|Music</t>
  </si>
  <si>
    <t>Drama|Thriller</t>
  </si>
  <si>
    <t>Animation|Family|Fantasy</t>
  </si>
  <si>
    <t>Action|Fantasy|Horror|Sci-Fi</t>
  </si>
  <si>
    <t>Biography|Comedy|Drama</t>
  </si>
  <si>
    <t>Action|Horror|Sci-Fi</t>
  </si>
  <si>
    <t>Adventure|Comedy</t>
  </si>
  <si>
    <t>Biography|Drama|History|Sport</t>
  </si>
  <si>
    <t>Comedy|Crime|Romance|Thriller</t>
  </si>
  <si>
    <t>Comedy|Crime|Romance</t>
  </si>
  <si>
    <t>Horror|Mystery|Sci-Fi|Thriller</t>
  </si>
  <si>
    <t>Biography|Drama|Music</t>
  </si>
  <si>
    <t>Drama|Fantasy|Sport</t>
  </si>
  <si>
    <t>Adventure|Comedy|Drama|Music</t>
  </si>
  <si>
    <t>Action|Fantasy|Horror|Sci-Fi|Thriller</t>
  </si>
  <si>
    <t>Adventure|Animation|Comedy|Drama|Family|Fantasy|Romance</t>
  </si>
  <si>
    <t>Horror|Sci-Fi|Thriller</t>
  </si>
  <si>
    <t>Drama|Fantasy|Mystery|Romance|Thriller</t>
  </si>
  <si>
    <t>Action|Adventure|Drama|History|Romance|War</t>
  </si>
  <si>
    <t>Drama|Fantasy|Mystery|Romance</t>
  </si>
  <si>
    <t>Fantasy|Horror|Mystery|Romance</t>
  </si>
  <si>
    <t>Adventure|Comedy|Family|Romance|Sci-Fi</t>
  </si>
  <si>
    <t>Drama|Horror|Thriller</t>
  </si>
  <si>
    <t>Action|Comedy|Mystery|Romance</t>
  </si>
  <si>
    <t>Action|Adventure|Comedy|Romance|Sci-Fi</t>
  </si>
  <si>
    <t>Action|Biography|Drama|History|Thriller|War</t>
  </si>
  <si>
    <t>Adventure|Comedy|Family|Fantasy|Horror</t>
  </si>
  <si>
    <t>Comedy|Family|Romance|Sci-Fi</t>
  </si>
  <si>
    <t>Action|Adventure|Thriller|War</t>
  </si>
  <si>
    <t>Comedy|Drama|Romance|Sport</t>
  </si>
  <si>
    <t>Action|Comedy|Crime|Drama</t>
  </si>
  <si>
    <t>Drama|Music|Romance|War</t>
  </si>
  <si>
    <t>Action|Comedy|Drama|Family|Thriller</t>
  </si>
  <si>
    <t>Action|Crime</t>
  </si>
  <si>
    <t>Adventure|Animation|Drama|Family|History|Musical|Romance</t>
  </si>
  <si>
    <t>Action|Adventure|Drama|Romance|Sci-Fi</t>
  </si>
  <si>
    <t>Action|Adventure|Comedy|Family|Romance</t>
  </si>
  <si>
    <t>Action|Adventure|Comedy|Western</t>
  </si>
  <si>
    <t>Biography|Drama|History|Musical</t>
  </si>
  <si>
    <t>Adventure|Drama|Horror|Thriller</t>
  </si>
  <si>
    <t>Action|Drama|Sport|Thriller</t>
  </si>
  <si>
    <t>Drama|Musical|Romance|Thriller</t>
  </si>
  <si>
    <t>Comedy|Drama|Family|Fantasy</t>
  </si>
  <si>
    <t>Adventure|Comedy|Crime|Family|Musical</t>
  </si>
  <si>
    <t>Drama|Music|Musical|Romance</t>
  </si>
  <si>
    <t>Drama|Mystery|Romance|War</t>
  </si>
  <si>
    <t>Action|Adventure|Romance|Sci-Fi</t>
  </si>
  <si>
    <t>Adventure|Animation|Drama|Family|Fantasy|Musical|Mystery|Romance</t>
  </si>
  <si>
    <t>Action|Horror|Thriller</t>
  </si>
  <si>
    <t>Drama|History|Horror</t>
  </si>
  <si>
    <t>Drama|Romance|Sport</t>
  </si>
  <si>
    <t>Comedy|Family|Musical|Romance</t>
  </si>
  <si>
    <t>Romance|Sci-Fi|Thriller</t>
  </si>
  <si>
    <t>Biography|Comedy|Drama|Romance</t>
  </si>
  <si>
    <t>Mystery|Sci-Fi|Thriller</t>
  </si>
  <si>
    <t>Drama|Fantasy|Horror</t>
  </si>
  <si>
    <t>Adventure|Comedy|Drama|Fantasy|Musical</t>
  </si>
  <si>
    <t>Action|Adventure|Family|Fantasy|Sci-Fi|Thriller</t>
  </si>
  <si>
    <t>Adventure|Comedy|Family|Fantasy|Romance|Sport</t>
  </si>
  <si>
    <t>Adventure|Horror|Mystery</t>
  </si>
  <si>
    <t>Crime|Drama|Romance|Thriller</t>
  </si>
  <si>
    <t>Comedy|Crime|Drama|Thriller</t>
  </si>
  <si>
    <t>Drama|Fantasy</t>
  </si>
  <si>
    <t>Adventure|Comedy|Drama</t>
  </si>
  <si>
    <t>Action|Biography|Drama|History|War</t>
  </si>
  <si>
    <t>Adventure|Comedy|Fantasy</t>
  </si>
  <si>
    <t>Adventure|Comedy|Crime|Drama|Family</t>
  </si>
  <si>
    <t>Action|Biography|Crime|Drama|Thriller</t>
  </si>
  <si>
    <t>Comedy|Sci-Fi</t>
  </si>
  <si>
    <t>Action|Adventure|Comedy|Crime|Music|Mystery</t>
  </si>
  <si>
    <t>Action|Crime|Drama|Sci-Fi|Thriller</t>
  </si>
  <si>
    <t>Action|Adventure|Comedy|Drama|War</t>
  </si>
  <si>
    <t>Drama|Mystery|Sci-Fi</t>
  </si>
  <si>
    <t>Crime|Drama|Music</t>
  </si>
  <si>
    <t>Adventure|Crime|Drama|Western</t>
  </si>
  <si>
    <t>Comedy|Drama|Thriller</t>
  </si>
  <si>
    <t>Action|Comedy|Crime|Music|Romance|Thriller</t>
  </si>
  <si>
    <t>Crime|Romance|Thriller</t>
  </si>
  <si>
    <t>Action|Adventure|Drama|Sci-Fi|Thriller</t>
  </si>
  <si>
    <t>Action|Drama|Fantasy|Thriller|Western</t>
  </si>
  <si>
    <t>Action|Drama|Mystery|Thriller|War</t>
  </si>
  <si>
    <t>Biography|Crime|Drama|Thriller</t>
  </si>
  <si>
    <t>Action|Comedy|Crime|Romance</t>
  </si>
  <si>
    <t>Action|Adventure|Family|Fantasy|Sci-Fi</t>
  </si>
  <si>
    <t>Adventure|Comedy|Family|Musical</t>
  </si>
  <si>
    <t>Action|Horror</t>
  </si>
  <si>
    <t>Action|Adventure|Horror|Thriller</t>
  </si>
  <si>
    <t>Comedy|Drama|Music|Romance</t>
  </si>
  <si>
    <t>Action|Crime|Drama|Romance|Thriller</t>
  </si>
  <si>
    <t>Comedy|Family|Romance|Sport</t>
  </si>
  <si>
    <t>Drama|Family|Fantasy</t>
  </si>
  <si>
    <t>Drama|Fantasy|Musical|Romance</t>
  </si>
  <si>
    <t>Adventure|Comedy|Family|Fantasy|Sci-Fi</t>
  </si>
  <si>
    <t>Comedy|Musical</t>
  </si>
  <si>
    <t>Biography|Drama|History</t>
  </si>
  <si>
    <t>Action|Crime|Drama|Thriller|War</t>
  </si>
  <si>
    <t>Comedy|Crime|Thriller</t>
  </si>
  <si>
    <t>Biography|Drama|History|Thriller</t>
  </si>
  <si>
    <t>Action|Adventure|Crime|Drama|Mystery|Thriller</t>
  </si>
  <si>
    <t>Animation|Family|Fantasy|Musical</t>
  </si>
  <si>
    <t>Adventure|Drama|Western</t>
  </si>
  <si>
    <t>Biography|Drama|History|Romance</t>
  </si>
  <si>
    <t>Drama|Horror|Mystery|Thriller</t>
  </si>
  <si>
    <t>Action|Fantasy|Western</t>
  </si>
  <si>
    <t>Drama|Music</t>
  </si>
  <si>
    <t>Action|Drama|Family|Sport</t>
  </si>
  <si>
    <t>Action|Biography|Drama|Thriller|War</t>
  </si>
  <si>
    <t>Comedy|Drama|Sport</t>
  </si>
  <si>
    <t>Horror|Mystery</t>
  </si>
  <si>
    <t>Adventure|Comedy|Sci-Fi|Western</t>
  </si>
  <si>
    <t>Fantasy|Horror|Romance</t>
  </si>
  <si>
    <t>Biography|Drama|Romance</t>
  </si>
  <si>
    <t>Action|Adventure|Drama|Romance|War</t>
  </si>
  <si>
    <t>Adventure|Comedy|Crime|Romance</t>
  </si>
  <si>
    <t>Comedy|Drama|Family|Fantasy|Romance</t>
  </si>
  <si>
    <t>Action|Adventure|Drama|Romance|Thriller</t>
  </si>
  <si>
    <t>Biography|Drama|Music|Musical</t>
  </si>
  <si>
    <t>Drama|History</t>
  </si>
  <si>
    <t>Comedy|Western</t>
  </si>
  <si>
    <t>Action|Adventure|Crime|Fantasy|Mystery|Thriller</t>
  </si>
  <si>
    <t>Adventure|Drama|Mystery</t>
  </si>
  <si>
    <t>Biography|Crime|Drama|Music</t>
  </si>
  <si>
    <t>Crime|Drama|Horror|Thriller</t>
  </si>
  <si>
    <t>Horror|Thriller</t>
  </si>
  <si>
    <t>Adventure|Animation|Comedy|Drama|Family|Fantasy|Musical</t>
  </si>
  <si>
    <t>Action|Adventure|Comedy|Music|Thriller</t>
  </si>
  <si>
    <t>Adventure|Animation|Comedy|Crime|Family</t>
  </si>
  <si>
    <t>Comedy|Romance|Sci-Fi|Thriller</t>
  </si>
  <si>
    <t>Comedy|Crime|Family|Romance</t>
  </si>
  <si>
    <t>Crime|Horror|Thriller</t>
  </si>
  <si>
    <t>Action|Horror|Mystery|Sci-Fi|Thriller</t>
  </si>
  <si>
    <t>Comedy|Fantasy|Sci-Fi</t>
  </si>
  <si>
    <t>Adventure|Animation|Comedy|Fantasy|Romance</t>
  </si>
  <si>
    <t>Action|Adventure|Family|Thriller</t>
  </si>
  <si>
    <t>Adventure|Comedy|Drama|Romance|Thriller|War</t>
  </si>
  <si>
    <t>Action|Drama|Fantasy</t>
  </si>
  <si>
    <t>Action|Adventure|Drama|Fantasy|War</t>
  </si>
  <si>
    <t>Drama|Fantasy|Romance|Sci-Fi</t>
  </si>
  <si>
    <t>Animation|Comedy|Family|Horror|Sci-Fi</t>
  </si>
  <si>
    <t>Biography|Drama|Romance|Sport</t>
  </si>
  <si>
    <t>Action|Biography|Drama</t>
  </si>
  <si>
    <t>Adventure|Drama</t>
  </si>
  <si>
    <t>Horror|Mystery|Sci-Fi</t>
  </si>
  <si>
    <t>Action|Adventure|Drama|Thriller|Western</t>
  </si>
  <si>
    <t>Adventure|Family|Fantasy|Sci-Fi</t>
  </si>
  <si>
    <t>Action|Biography|Drama|Sport</t>
  </si>
  <si>
    <t>Drama|Family</t>
  </si>
  <si>
    <t>Action|Adventure|Crime|Drama|Family|Fantasy|Romance|Thriller</t>
  </si>
  <si>
    <t>Biography|Comedy|Romance</t>
  </si>
  <si>
    <t>Action|Biography|Drama|History</t>
  </si>
  <si>
    <t>Biography|Drama|War</t>
  </si>
  <si>
    <t>Drama|Romance|War</t>
  </si>
  <si>
    <t>Adventure|Comedy|Family|Sci-Fi</t>
  </si>
  <si>
    <t>Biography|Drama|Family|History|Sport</t>
  </si>
  <si>
    <t>Biography|Comedy|Drama|History|Music</t>
  </si>
  <si>
    <t>Fantasy|Horror</t>
  </si>
  <si>
    <t>Comedy|Drama|Romance|Sci-Fi</t>
  </si>
  <si>
    <t>Adventure|Animation|Comedy|Family|War</t>
  </si>
  <si>
    <t>Action|Comedy|Sci-Fi|Thriller</t>
  </si>
  <si>
    <t>Comedy|Horror</t>
  </si>
  <si>
    <t>Drama|Thriller|War</t>
  </si>
  <si>
    <t>Comedy|Music</t>
  </si>
  <si>
    <t>Action|Western</t>
  </si>
  <si>
    <t>Action|Adventure|Family|Sci-Fi</t>
  </si>
  <si>
    <t>Adventure|Biography|Drama|Thriller</t>
  </si>
  <si>
    <t>Drama|Romance|War|Western</t>
  </si>
  <si>
    <t>Action|Adventure|Comedy|Drama|Thriller</t>
  </si>
  <si>
    <t>Drama|Music|Romance</t>
  </si>
  <si>
    <t>Action|Adventure|Crime|Drama|Thriller</t>
  </si>
  <si>
    <t>Crime|Horror|Mystery|Thriller</t>
  </si>
  <si>
    <t>Adventure|Comedy|Family|Sport</t>
  </si>
  <si>
    <t>Comedy|Drama|Fantasy</t>
  </si>
  <si>
    <t>Comedy|Family|Sport</t>
  </si>
  <si>
    <t>Action|Adventure|Drama|Family</t>
  </si>
  <si>
    <t>Drama|Family|Sport</t>
  </si>
  <si>
    <t>Action|Thriller|Western</t>
  </si>
  <si>
    <t>Action|Drama|Fantasy|Horror|Thriller</t>
  </si>
  <si>
    <t>Animation|Comedy|Family|Fantasy|Musical</t>
  </si>
  <si>
    <t>Action|Crime|Drama|Mystery|Sci-Fi|Thriller</t>
  </si>
  <si>
    <t>Adventure|Comedy|Crime|Drama</t>
  </si>
  <si>
    <t>Drama|Mystery</t>
  </si>
  <si>
    <t>Comedy|Fantasy|Horror|Thriller</t>
  </si>
  <si>
    <t>Crime|Drama|Mystery|Sci-Fi|Thriller</t>
  </si>
  <si>
    <t>Comedy|Crime|Musical</t>
  </si>
  <si>
    <t>Comedy|Drama|Family|Music|Romance</t>
  </si>
  <si>
    <t>Comedy|Horror|Romance</t>
  </si>
  <si>
    <t>Comedy|Family|Fantasy|Sport</t>
  </si>
  <si>
    <t>Animation|Comedy|Family|Mystery|Sci-Fi</t>
  </si>
  <si>
    <t>Animation|Drama|Family|Fantasy|Musical|Romance</t>
  </si>
  <si>
    <t>Comedy|Horror|Musical|Sci-Fi</t>
  </si>
  <si>
    <t>Crime|Drama|Sport</t>
  </si>
  <si>
    <t>Action|Adventure|Animation|Drama|Mystery|Sci-Fi|Thriller</t>
  </si>
  <si>
    <t>Action|Adventure|Crime|Drama|Romance</t>
  </si>
  <si>
    <t>Action|Comedy|Horror</t>
  </si>
  <si>
    <t>Adventure|Horror|Thriller</t>
  </si>
  <si>
    <t>Adventure|Fantasy|Mystery</t>
  </si>
  <si>
    <t>Biography|Crime|Drama|History|Western</t>
  </si>
  <si>
    <t>Action|Biography|Crime|Drama</t>
  </si>
  <si>
    <t>Biography|Drama|Music|Romance</t>
  </si>
  <si>
    <t>Biography|Crime|Drama|History|Music</t>
  </si>
  <si>
    <t>Adventure|Animation|Comedy|Drama|Family|Musical</t>
  </si>
  <si>
    <t>Comedy|Drama|Music</t>
  </si>
  <si>
    <t>Drama|Romance|Thriller</t>
  </si>
  <si>
    <t>Action|Fantasy|Horror|Thriller</t>
  </si>
  <si>
    <t>Adventure|Biography</t>
  </si>
  <si>
    <t>Documentary</t>
  </si>
  <si>
    <t>Action|Comedy|Family</t>
  </si>
  <si>
    <t>Action|Horror|Romance</t>
  </si>
  <si>
    <t>Action|Comedy|Crime|Music</t>
  </si>
  <si>
    <t>Action|Drama|Fantasy|Mystery|Sci-Fi|Thriller</t>
  </si>
  <si>
    <t>Action|Crime|Drama|History|Western</t>
  </si>
  <si>
    <t>Comedy|Crime|Drama</t>
  </si>
  <si>
    <t>Comedy|Family|Fantasy|Music|Romance</t>
  </si>
  <si>
    <t>Adventure|Comedy|Crime|Music</t>
  </si>
  <si>
    <t>Action|Adventure|Comedy|Sci-Fi|Thriller</t>
  </si>
  <si>
    <t>Action|Crime|Drama|Western</t>
  </si>
  <si>
    <t>Action|Adventure|Comedy|Family|Romance|Sci-Fi</t>
  </si>
  <si>
    <t>Action|Fantasy|Romance|Sci-Fi</t>
  </si>
  <si>
    <t>Comedy|Crime|Mystery|Romance</t>
  </si>
  <si>
    <t>Adventure|Family</t>
  </si>
  <si>
    <t>Comedy|Drama|Family|Romance</t>
  </si>
  <si>
    <t>Action|Drama|Music|Romance</t>
  </si>
  <si>
    <t>Adventure|Comedy|Family|Fantasy|Horror|Mystery</t>
  </si>
  <si>
    <t>Action|Biography|Drama|History|Romance|Western</t>
  </si>
  <si>
    <t>Biography|Drama|Family</t>
  </si>
  <si>
    <t>Action|Adventure|Comedy|Crime|Family|Romance|Thriller</t>
  </si>
  <si>
    <t>Drama|Romance|Sci-Fi</t>
  </si>
  <si>
    <t>Comedy|Fantasy|Horror|Romance</t>
  </si>
  <si>
    <t>Comedy|Family|Music</t>
  </si>
  <si>
    <t>Action|Comedy|Music</t>
  </si>
  <si>
    <t>Adventure|Comedy|Crime</t>
  </si>
  <si>
    <t>Biography|Comedy|Drama|Sport</t>
  </si>
  <si>
    <t>Fantasy|Horror|Thriller</t>
  </si>
  <si>
    <t>Comedy|Drama|Romance|Thriller</t>
  </si>
  <si>
    <t>Adventure|Comedy|Family|Romance</t>
  </si>
  <si>
    <t>Adventure|Family|Fantasy|Musical</t>
  </si>
  <si>
    <t>Biography|Crime|Drama|History|Thriller</t>
  </si>
  <si>
    <t>Crime|Drama|History</t>
  </si>
  <si>
    <t>Biography|Drama|Thriller|War</t>
  </si>
  <si>
    <t>Drama|Music|Mystery|Romance|Thriller</t>
  </si>
  <si>
    <t>Action|Adventure|Fantasy|Horror</t>
  </si>
  <si>
    <t>Crime|Drama|Mystery|Romance</t>
  </si>
  <si>
    <t>Action|Drama|Western</t>
  </si>
  <si>
    <t>Comedy|War</t>
  </si>
  <si>
    <t>Adventure|Comedy|Family|Fantasy|Music|Sci-Fi</t>
  </si>
  <si>
    <t>Adventure|Family|Fantasy|Music|Musical</t>
  </si>
  <si>
    <t>Action|Adventure|Animation|Comedy|Fantasy</t>
  </si>
  <si>
    <t>Adventure|Comedy|Horror|Sci-Fi</t>
  </si>
  <si>
    <t>Horror|Sci-Fi</t>
  </si>
  <si>
    <t>Biography|Comedy|Drama|Family|Sport</t>
  </si>
  <si>
    <t>Action|Crime|Drama|Thriller|Western</t>
  </si>
  <si>
    <t>Drama|Fantasy|Romance|Thriller</t>
  </si>
  <si>
    <t>Comedy|Mystery</t>
  </si>
  <si>
    <t>Comedy|Drama|Musical|Romance|War</t>
  </si>
  <si>
    <t>Drama|History|Music|Romance|War</t>
  </si>
  <si>
    <t>Comedy|History</t>
  </si>
  <si>
    <t>Animation|Comedy|Fantasy|Musical</t>
  </si>
  <si>
    <t>Action|Comedy|Documentary</t>
  </si>
  <si>
    <t>Adventure|Comedy|Drama|Family|Romance</t>
  </si>
  <si>
    <t>Adventure|Comedy|Drama|Family|Mystery</t>
  </si>
  <si>
    <t>Drama|Family|Music|Romance</t>
  </si>
  <si>
    <t>Fantasy|Romance</t>
  </si>
  <si>
    <t>Adventure|Animation|Family|Musical</t>
  </si>
  <si>
    <t>Animation|Comedy|Drama|Family|Musical</t>
  </si>
  <si>
    <t>Biography|Crime|Drama|History</t>
  </si>
  <si>
    <t>Adventure|Comedy|Fantasy|Music|Sci-Fi</t>
  </si>
  <si>
    <t>Action|Adventure|Drama|Mystery</t>
  </si>
  <si>
    <t>Comedy|Crime|Family|Mystery|Romance|Thriller</t>
  </si>
  <si>
    <t>Action|Adventure|Drama|Romance|Western</t>
  </si>
  <si>
    <t>Adventure|Crime|Mystery|Sci-Fi|Thriller</t>
  </si>
  <si>
    <t>Adventure|Biography|Drama</t>
  </si>
  <si>
    <t>Adventure|Drama|Horror|Mystery|Thriller</t>
  </si>
  <si>
    <t>Crime|Fantasy|Horror</t>
  </si>
  <si>
    <t>Animation|Family|Fantasy|Mystery</t>
  </si>
  <si>
    <t>Action|Comedy|Crime|Fantasy</t>
  </si>
  <si>
    <t>Comedy|Family|Music|Musical</t>
  </si>
  <si>
    <t>Drama|Mystery|Romance|Thriller|War</t>
  </si>
  <si>
    <t>Action|Crime|Drama|Sport</t>
  </si>
  <si>
    <t>Drama|Fantasy|Horror|Mystery</t>
  </si>
  <si>
    <t>Comedy|Drama|Music|War</t>
  </si>
  <si>
    <t>Comedy|Musical|Romance</t>
  </si>
  <si>
    <t>Comedy|Crime|Drama|Mystery|Romance</t>
  </si>
  <si>
    <t>Biography|Comedy|Drama|History|Music|Musical</t>
  </si>
  <si>
    <t>Animation|Drama|Mystery|Sci-Fi|Thriller</t>
  </si>
  <si>
    <t>Adventure|Comedy|Drama|Romance</t>
  </si>
  <si>
    <t>Adventure|Animation|Fantasy</t>
  </si>
  <si>
    <t>Comedy|Drama|Mystery|Romance|Thriller|War</t>
  </si>
  <si>
    <t>Biography|Comedy|Musical</t>
  </si>
  <si>
    <t>Crime|Drama|Western</t>
  </si>
  <si>
    <t>Action|Adventure|Animation|Family|Sci-Fi|Thriller</t>
  </si>
  <si>
    <t>Comedy|Family|Fantasy|Sci-Fi</t>
  </si>
  <si>
    <t>Action|Comedy|Crime|Fantasy|Horror|Mystery|Sci-Fi|Thriller</t>
  </si>
  <si>
    <t>Crime|Drama|Mystery</t>
  </si>
  <si>
    <t>Adventure|Comedy|Romance</t>
  </si>
  <si>
    <t>Family|Fantasy|Music</t>
  </si>
  <si>
    <t>Crime|Drama|Music|Thriller</t>
  </si>
  <si>
    <t>Action|Drama|Fantasy|Mystery|Thriller</t>
  </si>
  <si>
    <t>Biography|Drama|History|Music</t>
  </si>
  <si>
    <t>Biography|Drama|Family|Sport</t>
  </si>
  <si>
    <t>Adventure|Fantasy|Mystery|Thriller</t>
  </si>
  <si>
    <t>Biography|Drama|Romance|War</t>
  </si>
  <si>
    <t>Action|Horror|Romance|Sci-Fi|Thriller</t>
  </si>
  <si>
    <t>Action|Drama|History|Romance|War|Western</t>
  </si>
  <si>
    <t>Action|Animation|Sci-Fi|Thriller</t>
  </si>
  <si>
    <t>Action|Animation|Comedy|Crime|Family</t>
  </si>
  <si>
    <t>Drama|Family|Music|Musical</t>
  </si>
  <si>
    <t>Drama|Family|Musical|Romance</t>
  </si>
  <si>
    <t>Comedy|Drama|Family|Fantasy|Sci-Fi</t>
  </si>
  <si>
    <t>Comedy|Music|Romance</t>
  </si>
  <si>
    <t>Adventure|Comedy|Family|Fantasy|Musical</t>
  </si>
  <si>
    <t>Adventure|Crime|Drama|Romance</t>
  </si>
  <si>
    <t>Comedy|Mystery|Sci-Fi|Thriller</t>
  </si>
  <si>
    <t>Drama|Fantasy|War</t>
  </si>
  <si>
    <t>Action|Comedy|Crime|Family</t>
  </si>
  <si>
    <t>Action|Comedy|Mystery</t>
  </si>
  <si>
    <t>Comedy|Crime|Mystery</t>
  </si>
  <si>
    <t>Action|Crime|Sci-Fi</t>
  </si>
  <si>
    <t>Comedy|Horror|Sci-Fi</t>
  </si>
  <si>
    <t>Drama|Family|Romance</t>
  </si>
  <si>
    <t>Adventure|Comedy|Family|Music|Romance</t>
  </si>
  <si>
    <t>Comedy|Horror|Thriller</t>
  </si>
  <si>
    <t>Comedy|Family|Music|Romance</t>
  </si>
  <si>
    <t>Adventure|Fantasy|Horror|Mystery|Thriller</t>
  </si>
  <si>
    <t>Crime|Drama|Musical|Romance</t>
  </si>
  <si>
    <t>Family|Music|Romance</t>
  </si>
  <si>
    <t>Biography|Drama|History|Thriller|War</t>
  </si>
  <si>
    <t>Adventure|Crime|Drama|Mystery|Western</t>
  </si>
  <si>
    <t>Comedy|Crime|Drama|Thriller|War</t>
  </si>
  <si>
    <t>Fantasy|Horror|Mystery</t>
  </si>
  <si>
    <t>Action|Comedy|Drama|War</t>
  </si>
  <si>
    <t>Comedy|Drama|Fantasy|Music|Romance</t>
  </si>
  <si>
    <t>Adventure|Mystery|Thriller</t>
  </si>
  <si>
    <t>Comedy|Drama|War</t>
  </si>
  <si>
    <t>Comedy|Mystery|Romance</t>
  </si>
  <si>
    <t>Biography|Crime|Drama|War</t>
  </si>
  <si>
    <t>Biography|Comedy|Drama|War</t>
  </si>
  <si>
    <t>Comedy|Crime|Family|Sci-Fi</t>
  </si>
  <si>
    <t>Adventure|Family|Sci-Fi</t>
  </si>
  <si>
    <t>Adventure|Comedy|Romance|Sci-Fi</t>
  </si>
  <si>
    <t>Action|Adventure|Comedy|Family</t>
  </si>
  <si>
    <t>Biography|Comedy|Crime|Drama|Romance</t>
  </si>
  <si>
    <t>Crime|Drama|Musical</t>
  </si>
  <si>
    <t>Comedy|Drama|Family|Sport</t>
  </si>
  <si>
    <t>Animation|Comedy|Crime|Drama|Family</t>
  </si>
  <si>
    <t>Action|Adventure|Comedy|Fantasy|Mystery</t>
  </si>
  <si>
    <t>Action|Adventure|Drama|Thriller|War</t>
  </si>
  <si>
    <t>Crime|Drama|Music|Romance</t>
  </si>
  <si>
    <t>Adventure|Animation|Comedy|Crime</t>
  </si>
  <si>
    <t>Adventure|Comedy|Fantasy|Sci-Fi</t>
  </si>
  <si>
    <t>Comedy|Drama|Family|Fantasy|Musical</t>
  </si>
  <si>
    <t>Comedy|Crime|Family</t>
  </si>
  <si>
    <t>Adventure|Drama|Thriller|War</t>
  </si>
  <si>
    <t>Comedy|Drama|Horror|Sci-Fi</t>
  </si>
  <si>
    <t>Crime|Drama|Romance</t>
  </si>
  <si>
    <t>Drama|Fantasy|Music|Romance</t>
  </si>
  <si>
    <t>Family|Sci-Fi</t>
  </si>
  <si>
    <t>Action|Comedy|War</t>
  </si>
  <si>
    <t>Adventure|Comedy|Music|Sci-Fi</t>
  </si>
  <si>
    <t>Drama|Family|Musical</t>
  </si>
  <si>
    <t>Action|Comedy|Drama|Music</t>
  </si>
  <si>
    <t>Adventure|Comedy|Drama|Fantasy</t>
  </si>
  <si>
    <t>Fantasy|Horror|Sci-Fi</t>
  </si>
  <si>
    <t>Comedy|Romance|Thriller</t>
  </si>
  <si>
    <t>Biography|Crime|Drama|Romance</t>
  </si>
  <si>
    <t>Adventure|Comedy|Drama|Romance|Sci-Fi</t>
  </si>
  <si>
    <t>Drama|Music|Mystery|Romance</t>
  </si>
  <si>
    <t>Action|Crime|Drama</t>
  </si>
  <si>
    <t>Adventure|Biography|Drama|War</t>
  </si>
  <si>
    <t>Action|Comedy|Drama</t>
  </si>
  <si>
    <t>Action|Drama|Romance|Thriller</t>
  </si>
  <si>
    <t>Action|Biography|Drama|History|Romance|War</t>
  </si>
  <si>
    <t>Horror|Musical|Sci-Fi</t>
  </si>
  <si>
    <t>Biography|Drama|Family|Musical|Romance</t>
  </si>
  <si>
    <t>Comedy|Crime|Drama|Romance|Thriller</t>
  </si>
  <si>
    <t>Drama|Horror</t>
  </si>
  <si>
    <t>Animation|Comedy|Drama|Romance</t>
  </si>
  <si>
    <t>Comedy|Crime|Musical|Romance</t>
  </si>
  <si>
    <t>Comedy|Crime|Musical|Mystery</t>
  </si>
  <si>
    <t>Action|Animation|Sci-Fi</t>
  </si>
  <si>
    <t>Drama|Romance|Sci-Fi|Thriller</t>
  </si>
  <si>
    <t>Animation|Biography|Drama|War</t>
  </si>
  <si>
    <t>Crime|Horror</t>
  </si>
  <si>
    <t>Adventure|Biography|Drama|History</t>
  </si>
  <si>
    <t>Action|Crime|Horror|Sci-Fi|Thriller</t>
  </si>
  <si>
    <t>Western</t>
  </si>
  <si>
    <t>Drama|Mystery|War</t>
  </si>
  <si>
    <t>Comedy|Drama|Musical</t>
  </si>
  <si>
    <t>Mystery|Romance|Thriller</t>
  </si>
  <si>
    <t>Adventure|Comedy|Drama|Family</t>
  </si>
  <si>
    <t>Musical|Romance</t>
  </si>
  <si>
    <t>Documentary|Drama|War</t>
  </si>
  <si>
    <t>Biography|Crime|Drama|Western</t>
  </si>
  <si>
    <t>Comedy|Family|Fantasy|Musical</t>
  </si>
  <si>
    <t>Crime|Drama|Musical|Romance|Thriller</t>
  </si>
  <si>
    <t>Fantasy|Horror|Romance|Thriller</t>
  </si>
  <si>
    <t>Adventure|Documentary|Short</t>
  </si>
  <si>
    <t>Comedy|Drama|Music|Musical</t>
  </si>
  <si>
    <t>Action|Sport</t>
  </si>
  <si>
    <t>Action|Comedy|Drama|Thriller</t>
  </si>
  <si>
    <t>Drama|Horror|Mystery|Sci-Fi|Thriller</t>
  </si>
  <si>
    <t>Comedy|Documentary</t>
  </si>
  <si>
    <t>Adventure|Horror</t>
  </si>
  <si>
    <t>Biography|Crime|Drama|Romance|Thriller</t>
  </si>
  <si>
    <t>Comedy|Crime|Drama|Mystery|Thriller</t>
  </si>
  <si>
    <t>Biography|Crime|Drama|Mystery|Thriller</t>
  </si>
  <si>
    <t>Crime|Horror|Music|Thriller</t>
  </si>
  <si>
    <t>Crime|Thriller|War</t>
  </si>
  <si>
    <t>Comedy|Drama|Romance|War</t>
  </si>
  <si>
    <t>Drama|Musical</t>
  </si>
  <si>
    <t>Fantasy|Thriller</t>
  </si>
  <si>
    <t>Crime|Drama|Fantasy|Romance</t>
  </si>
  <si>
    <t>Comedy|Horror|Mystery</t>
  </si>
  <si>
    <t>Adventure|War|Western</t>
  </si>
  <si>
    <t>Biography|Comedy|Musical|Romance|Western</t>
  </si>
  <si>
    <t>Adventure|Comedy|Musical|Romance</t>
  </si>
  <si>
    <t>Action|Adventure|Comedy|Musical</t>
  </si>
  <si>
    <t>Comedy|Drama|Fantasy|Horror</t>
  </si>
  <si>
    <t>Action|Biography|Crime|Drama|Family|Fantasy</t>
  </si>
  <si>
    <t>Crime|Documentary|Drama</t>
  </si>
  <si>
    <t>Biography|Comedy|Documentary</t>
  </si>
  <si>
    <t>Comedy|Documentary|Music</t>
  </si>
  <si>
    <t>Crime|Drama|History|Romance</t>
  </si>
  <si>
    <t>Comedy|Drama|Horror</t>
  </si>
  <si>
    <t>Comedy|Crime|Drama|Sci-Fi</t>
  </si>
  <si>
    <t>Comedy|Family|Musical|Romance|Short</t>
  </si>
  <si>
    <t>Comedy|Documentary|War</t>
  </si>
  <si>
    <t>Action|Comedy|Horror|Sci-Fi</t>
  </si>
  <si>
    <t>Animation|Comedy|Drama</t>
  </si>
  <si>
    <t>Animation|Biography|Documentary|Drama|History|War</t>
  </si>
  <si>
    <t>Documentary|War</t>
  </si>
  <si>
    <t>Documentary|History</t>
  </si>
  <si>
    <t>Biography|Documentary|History</t>
  </si>
  <si>
    <t>Action|Adventure|Comedy|Drama|Music|Sci-Fi</t>
  </si>
  <si>
    <t>Crime|Drama|Film-Noir|Mystery|Thriller</t>
  </si>
  <si>
    <t>Comedy|Fantasy|Musical|Sci-Fi</t>
  </si>
  <si>
    <t>Biography|Crime|Documentary|History|Thriller</t>
  </si>
  <si>
    <t>Adventure|Comedy|Horror</t>
  </si>
  <si>
    <t>Adventure|Comedy|Sport</t>
  </si>
  <si>
    <t>Action|Drama|Horror|Thriller</t>
  </si>
  <si>
    <t>Comedy|Horror|Musical</t>
  </si>
  <si>
    <t>Biography|Crime|Documentary|History</t>
  </si>
  <si>
    <t>Crime|Documentary|War</t>
  </si>
  <si>
    <t>Documentary|Sport</t>
  </si>
  <si>
    <t>Adventure|Biography|Documentary|Drama</t>
  </si>
  <si>
    <t>Comedy|Fantasy|Thriller</t>
  </si>
  <si>
    <t>Drama|Fantasy|Sci-Fi</t>
  </si>
  <si>
    <t>Action|Adventure|Drama|War</t>
  </si>
  <si>
    <t>Action|Adventure|Animation|Comedy|Fantasy|Sci-Fi</t>
  </si>
  <si>
    <t>Documentary|Drama|Sport</t>
  </si>
  <si>
    <t>Documentary|History|Music</t>
  </si>
  <si>
    <t>Adventure|Family|Romance</t>
  </si>
  <si>
    <t>Adventure|Biography|Drama|Horror|Thriller</t>
  </si>
  <si>
    <t>Biography|Documentary|Sport</t>
  </si>
  <si>
    <t>Action|Biography|Documentary|Sport</t>
  </si>
  <si>
    <t>Comedy|Fantasy|Horror|Musical</t>
  </si>
  <si>
    <t>Biography|Documentary</t>
  </si>
  <si>
    <t>Action|Fantasy|Horror|Mystery|Thriller</t>
  </si>
  <si>
    <t>Animation|Comedy|Drama|Fantasy|Sci-Fi</t>
  </si>
  <si>
    <t>Adventure|Horror|Sci-Fi</t>
  </si>
  <si>
    <t>Crime|Documentary</t>
  </si>
  <si>
    <t>Adventure|Documentary</t>
  </si>
  <si>
    <t>Comedy|Crime|Drama|Horror|Thriller</t>
  </si>
  <si>
    <t>Comedy|Documentary|Drama</t>
  </si>
  <si>
    <t>Comedy|Crime|Horror</t>
  </si>
  <si>
    <t>Movies</t>
  </si>
  <si>
    <t>Profits in Millions</t>
  </si>
  <si>
    <t>AvatarÂ</t>
  </si>
  <si>
    <t>Jurassic WorldÂ</t>
  </si>
  <si>
    <t>TitanicÂ</t>
  </si>
  <si>
    <t>Star Wars: Episode IV - A New HopeÂ</t>
  </si>
  <si>
    <t>E.T. the Extra-TerrestrialÂ</t>
  </si>
  <si>
    <t>The Lion KingÂ</t>
  </si>
  <si>
    <t>The Jungle BookÂ</t>
  </si>
  <si>
    <t>Star Wars: Episode I - The Phantom MenaceÂ</t>
  </si>
  <si>
    <t>The Dark KnightÂ</t>
  </si>
  <si>
    <t>The Twilight Saga: Breaking Dawn - Part 2Â</t>
  </si>
  <si>
    <t>Movie_Title</t>
  </si>
  <si>
    <t>Profit</t>
  </si>
  <si>
    <t>2) PROFIT ANALYSIS:-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</si>
</sst>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Calibri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6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7" borderId="0" applyNumberFormat="0" applyBorder="0" applyAlignment="0" applyProtection="0"/>
    <xf numFmtId="0" fontId="3" fillId="19" borderId="0" applyNumberFormat="0" applyBorder="0" applyAlignment="0" applyProtection="0"/>
    <xf numFmtId="0" fontId="3" fillId="3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22" borderId="0" applyNumberFormat="0" applyBorder="0" applyAlignment="0" applyProtection="0"/>
    <xf numFmtId="0" fontId="3" fillId="10" borderId="0" applyNumberFormat="0" applyBorder="0" applyAlignment="0" applyProtection="0"/>
    <xf numFmtId="0" fontId="3" fillId="23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2" applyNumberFormat="0" applyAlignment="0" applyProtection="0"/>
    <xf numFmtId="0" fontId="6" fillId="24" borderId="3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2" applyNumberFormat="0" applyAlignment="0" applyProtection="0"/>
    <xf numFmtId="0" fontId="13" fillId="0" borderId="1" applyNumberFormat="0" applyFill="0" applyAlignment="0" applyProtection="0"/>
    <xf numFmtId="0" fontId="14" fillId="25" borderId="0" applyNumberFormat="0" applyBorder="0" applyAlignment="0" applyProtection="0"/>
    <xf numFmtId="0" fontId="1" fillId="26" borderId="7" applyNumberFormat="0" applyFont="0" applyAlignment="0" applyProtection="0"/>
    <xf numFmtId="0" fontId="15" fillId="3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7" fillId="0" borderId="0"/>
  </cellStyleXfs>
  <cellXfs count="14">
    <xf numFmtId="0" fontId="0" fillId="0" borderId="0" xfId="0"/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/>
    <xf numFmtId="1" fontId="0" fillId="14" borderId="0" xfId="0" applyNumberForma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27" borderId="0" xfId="0" applyFont="1" applyFill="1" applyAlignment="1">
      <alignment horizontal="center" vertical="center"/>
    </xf>
    <xf numFmtId="0" fontId="22" fillId="28" borderId="0" xfId="0" applyFont="1" applyFill="1" applyAlignment="1">
      <alignment horizontal="center" vertical="center"/>
    </xf>
    <xf numFmtId="0" fontId="23" fillId="29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center" vertical="center"/>
    </xf>
    <xf numFmtId="0" fontId="24" fillId="30" borderId="0" xfId="0" applyFont="1" applyFill="1" applyAlignment="1">
      <alignment horizontal="center" vertical="center"/>
    </xf>
    <xf numFmtId="0" fontId="25" fillId="29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 xr:uid="{00000000-0005-0000-0000-000031000000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4.9989318521683403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5" defaultTableStyle="TableStyleMedium2" defaultPivotStyle="PivotStyleLight16">
    <tableStyle name="IMDB_Movies-style" pivot="0" count="3" xr9:uid="{00000000-0011-0000-FFFF-FFFF00000000}">
      <tableStyleElement type="headerRow" dxfId="24"/>
      <tableStyleElement type="firstRowStripe" dxfId="23"/>
      <tableStyleElement type="secondRowStripe" dxfId="22"/>
    </tableStyle>
    <tableStyle name="IMDB_Movies-style 2" pivot="0" count="3" xr9:uid="{00000000-0011-0000-FFFF-FFFF01000000}">
      <tableStyleElement type="headerRow" dxfId="21"/>
      <tableStyleElement type="firstRowStripe" dxfId="20"/>
      <tableStyleElement type="secondRowStripe" dxfId="19"/>
    </tableStyle>
    <tableStyle name="IMDB_Movies-style 3" pivot="0" count="3" xr9:uid="{00000000-0011-0000-FFFF-FFFF02000000}">
      <tableStyleElement type="headerRow" dxfId="18"/>
      <tableStyleElement type="firstRowStripe" dxfId="17"/>
      <tableStyleElement type="secondRowStripe" dxfId="16"/>
    </tableStyle>
    <tableStyle name="IMDB_Movies-style 4" pivot="0" count="3" xr9:uid="{00000000-0011-0000-FFFF-FFFF03000000}">
      <tableStyleElement type="headerRow" dxfId="15"/>
      <tableStyleElement type="firstRowStripe" dxfId="14"/>
      <tableStyleElement type="secondRowStripe" dxfId="13"/>
    </tableStyle>
    <tableStyle name="IMDB_Movies-style 5" pivot="0" count="3" xr9:uid="{00000000-0011-0000-FFFF-FFFF04000000}">
      <tableStyleElement type="headerRow" dxfId="12"/>
      <tableStyleElement type="firstRowStripe" dxfId="11"/>
      <tableStyleElement type="secondRowStripe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[1]Solution!$I$1</c:f>
              <c:strCache>
                <c:ptCount val="1"/>
                <c:pt idx="0">
                  <c:v>imdb_score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imdb_score</c:name>
            <c:spPr>
              <a:ln w="19050">
                <a:solidFill>
                  <a:srgbClr val="FF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[1]Solution!$B$2:$B$3890</c:f>
              <c:numCache>
                <c:formatCode>General</c:formatCode>
                <c:ptCount val="3889"/>
                <c:pt idx="0">
                  <c:v>178</c:v>
                </c:pt>
                <c:pt idx="1">
                  <c:v>169</c:v>
                </c:pt>
                <c:pt idx="2">
                  <c:v>148</c:v>
                </c:pt>
                <c:pt idx="3">
                  <c:v>164</c:v>
                </c:pt>
                <c:pt idx="4">
                  <c:v>132</c:v>
                </c:pt>
                <c:pt idx="5">
                  <c:v>156</c:v>
                </c:pt>
                <c:pt idx="6">
                  <c:v>100</c:v>
                </c:pt>
                <c:pt idx="7">
                  <c:v>141</c:v>
                </c:pt>
                <c:pt idx="8">
                  <c:v>153</c:v>
                </c:pt>
                <c:pt idx="9">
                  <c:v>183</c:v>
                </c:pt>
                <c:pt idx="10">
                  <c:v>169</c:v>
                </c:pt>
                <c:pt idx="11">
                  <c:v>106</c:v>
                </c:pt>
                <c:pt idx="12">
                  <c:v>151</c:v>
                </c:pt>
                <c:pt idx="13">
                  <c:v>150</c:v>
                </c:pt>
                <c:pt idx="14">
                  <c:v>143</c:v>
                </c:pt>
                <c:pt idx="15">
                  <c:v>150</c:v>
                </c:pt>
                <c:pt idx="16">
                  <c:v>173</c:v>
                </c:pt>
                <c:pt idx="17">
                  <c:v>136</c:v>
                </c:pt>
                <c:pt idx="18">
                  <c:v>106</c:v>
                </c:pt>
                <c:pt idx="19">
                  <c:v>164</c:v>
                </c:pt>
                <c:pt idx="20">
                  <c:v>153</c:v>
                </c:pt>
                <c:pt idx="21">
                  <c:v>156</c:v>
                </c:pt>
                <c:pt idx="22">
                  <c:v>186</c:v>
                </c:pt>
                <c:pt idx="23">
                  <c:v>113</c:v>
                </c:pt>
                <c:pt idx="24">
                  <c:v>201</c:v>
                </c:pt>
                <c:pt idx="25">
                  <c:v>194</c:v>
                </c:pt>
                <c:pt idx="26">
                  <c:v>147</c:v>
                </c:pt>
                <c:pt idx="27">
                  <c:v>131</c:v>
                </c:pt>
                <c:pt idx="28">
                  <c:v>124</c:v>
                </c:pt>
                <c:pt idx="29">
                  <c:v>143</c:v>
                </c:pt>
                <c:pt idx="30">
                  <c:v>135</c:v>
                </c:pt>
                <c:pt idx="31">
                  <c:v>195</c:v>
                </c:pt>
                <c:pt idx="32">
                  <c:v>108</c:v>
                </c:pt>
                <c:pt idx="33">
                  <c:v>104</c:v>
                </c:pt>
                <c:pt idx="34">
                  <c:v>104</c:v>
                </c:pt>
                <c:pt idx="35">
                  <c:v>150</c:v>
                </c:pt>
                <c:pt idx="36">
                  <c:v>165</c:v>
                </c:pt>
                <c:pt idx="37">
                  <c:v>130</c:v>
                </c:pt>
                <c:pt idx="38">
                  <c:v>142</c:v>
                </c:pt>
                <c:pt idx="39">
                  <c:v>125</c:v>
                </c:pt>
                <c:pt idx="40">
                  <c:v>106</c:v>
                </c:pt>
                <c:pt idx="41">
                  <c:v>123</c:v>
                </c:pt>
                <c:pt idx="42">
                  <c:v>103</c:v>
                </c:pt>
                <c:pt idx="43">
                  <c:v>118</c:v>
                </c:pt>
                <c:pt idx="44">
                  <c:v>140</c:v>
                </c:pt>
                <c:pt idx="45">
                  <c:v>123</c:v>
                </c:pt>
                <c:pt idx="46">
                  <c:v>149</c:v>
                </c:pt>
                <c:pt idx="47">
                  <c:v>132</c:v>
                </c:pt>
                <c:pt idx="48">
                  <c:v>114</c:v>
                </c:pt>
                <c:pt idx="49">
                  <c:v>143</c:v>
                </c:pt>
                <c:pt idx="50">
                  <c:v>116</c:v>
                </c:pt>
                <c:pt idx="51">
                  <c:v>131</c:v>
                </c:pt>
                <c:pt idx="52">
                  <c:v>154</c:v>
                </c:pt>
                <c:pt idx="53">
                  <c:v>122</c:v>
                </c:pt>
                <c:pt idx="54">
                  <c:v>93</c:v>
                </c:pt>
                <c:pt idx="55">
                  <c:v>122</c:v>
                </c:pt>
                <c:pt idx="56">
                  <c:v>98</c:v>
                </c:pt>
                <c:pt idx="57">
                  <c:v>91</c:v>
                </c:pt>
                <c:pt idx="58">
                  <c:v>158</c:v>
                </c:pt>
                <c:pt idx="59">
                  <c:v>96</c:v>
                </c:pt>
                <c:pt idx="60">
                  <c:v>127</c:v>
                </c:pt>
                <c:pt idx="61">
                  <c:v>110</c:v>
                </c:pt>
                <c:pt idx="62">
                  <c:v>150</c:v>
                </c:pt>
                <c:pt idx="63">
                  <c:v>144</c:v>
                </c:pt>
                <c:pt idx="64">
                  <c:v>152</c:v>
                </c:pt>
                <c:pt idx="65">
                  <c:v>96</c:v>
                </c:pt>
                <c:pt idx="66">
                  <c:v>94</c:v>
                </c:pt>
                <c:pt idx="67">
                  <c:v>126</c:v>
                </c:pt>
                <c:pt idx="68">
                  <c:v>126</c:v>
                </c:pt>
                <c:pt idx="69">
                  <c:v>106</c:v>
                </c:pt>
                <c:pt idx="70">
                  <c:v>112</c:v>
                </c:pt>
                <c:pt idx="71">
                  <c:v>123</c:v>
                </c:pt>
                <c:pt idx="72">
                  <c:v>96</c:v>
                </c:pt>
                <c:pt idx="73">
                  <c:v>113</c:v>
                </c:pt>
                <c:pt idx="74">
                  <c:v>176</c:v>
                </c:pt>
                <c:pt idx="75">
                  <c:v>118</c:v>
                </c:pt>
                <c:pt idx="76">
                  <c:v>95</c:v>
                </c:pt>
                <c:pt idx="77">
                  <c:v>106</c:v>
                </c:pt>
                <c:pt idx="78">
                  <c:v>124</c:v>
                </c:pt>
                <c:pt idx="79">
                  <c:v>132</c:v>
                </c:pt>
                <c:pt idx="80">
                  <c:v>97</c:v>
                </c:pt>
                <c:pt idx="81">
                  <c:v>130</c:v>
                </c:pt>
                <c:pt idx="82">
                  <c:v>128</c:v>
                </c:pt>
                <c:pt idx="83">
                  <c:v>136</c:v>
                </c:pt>
                <c:pt idx="84">
                  <c:v>93</c:v>
                </c:pt>
                <c:pt idx="85">
                  <c:v>130</c:v>
                </c:pt>
                <c:pt idx="86">
                  <c:v>102</c:v>
                </c:pt>
                <c:pt idx="87">
                  <c:v>101</c:v>
                </c:pt>
                <c:pt idx="88">
                  <c:v>100</c:v>
                </c:pt>
                <c:pt idx="89">
                  <c:v>120</c:v>
                </c:pt>
                <c:pt idx="90">
                  <c:v>98</c:v>
                </c:pt>
                <c:pt idx="91">
                  <c:v>109</c:v>
                </c:pt>
                <c:pt idx="92">
                  <c:v>121</c:v>
                </c:pt>
                <c:pt idx="93">
                  <c:v>169</c:v>
                </c:pt>
                <c:pt idx="94">
                  <c:v>148</c:v>
                </c:pt>
                <c:pt idx="95">
                  <c:v>182</c:v>
                </c:pt>
                <c:pt idx="96">
                  <c:v>106</c:v>
                </c:pt>
                <c:pt idx="97">
                  <c:v>166</c:v>
                </c:pt>
                <c:pt idx="98">
                  <c:v>132</c:v>
                </c:pt>
                <c:pt idx="99">
                  <c:v>137</c:v>
                </c:pt>
                <c:pt idx="100">
                  <c:v>109</c:v>
                </c:pt>
                <c:pt idx="101">
                  <c:v>98</c:v>
                </c:pt>
                <c:pt idx="102">
                  <c:v>113</c:v>
                </c:pt>
                <c:pt idx="103">
                  <c:v>93</c:v>
                </c:pt>
                <c:pt idx="104">
                  <c:v>123</c:v>
                </c:pt>
                <c:pt idx="105">
                  <c:v>126</c:v>
                </c:pt>
                <c:pt idx="106">
                  <c:v>113</c:v>
                </c:pt>
                <c:pt idx="107">
                  <c:v>184</c:v>
                </c:pt>
                <c:pt idx="108">
                  <c:v>144</c:v>
                </c:pt>
                <c:pt idx="109">
                  <c:v>206</c:v>
                </c:pt>
                <c:pt idx="110">
                  <c:v>138</c:v>
                </c:pt>
                <c:pt idx="111">
                  <c:v>157</c:v>
                </c:pt>
                <c:pt idx="112">
                  <c:v>102</c:v>
                </c:pt>
                <c:pt idx="113">
                  <c:v>104</c:v>
                </c:pt>
                <c:pt idx="114">
                  <c:v>115</c:v>
                </c:pt>
                <c:pt idx="115">
                  <c:v>111</c:v>
                </c:pt>
                <c:pt idx="116">
                  <c:v>128</c:v>
                </c:pt>
                <c:pt idx="117">
                  <c:v>89</c:v>
                </c:pt>
                <c:pt idx="118">
                  <c:v>105</c:v>
                </c:pt>
                <c:pt idx="119">
                  <c:v>119</c:v>
                </c:pt>
                <c:pt idx="120">
                  <c:v>129</c:v>
                </c:pt>
                <c:pt idx="121">
                  <c:v>102</c:v>
                </c:pt>
                <c:pt idx="122">
                  <c:v>138</c:v>
                </c:pt>
                <c:pt idx="123">
                  <c:v>112</c:v>
                </c:pt>
                <c:pt idx="124">
                  <c:v>120</c:v>
                </c:pt>
                <c:pt idx="125">
                  <c:v>146</c:v>
                </c:pt>
                <c:pt idx="126">
                  <c:v>115</c:v>
                </c:pt>
                <c:pt idx="127">
                  <c:v>96</c:v>
                </c:pt>
                <c:pt idx="128">
                  <c:v>88</c:v>
                </c:pt>
                <c:pt idx="129">
                  <c:v>99</c:v>
                </c:pt>
                <c:pt idx="130">
                  <c:v>113</c:v>
                </c:pt>
                <c:pt idx="131">
                  <c:v>131</c:v>
                </c:pt>
                <c:pt idx="132">
                  <c:v>119</c:v>
                </c:pt>
                <c:pt idx="133">
                  <c:v>91</c:v>
                </c:pt>
                <c:pt idx="134">
                  <c:v>90</c:v>
                </c:pt>
                <c:pt idx="135">
                  <c:v>103</c:v>
                </c:pt>
                <c:pt idx="136">
                  <c:v>124</c:v>
                </c:pt>
                <c:pt idx="137">
                  <c:v>131</c:v>
                </c:pt>
                <c:pt idx="138">
                  <c:v>88</c:v>
                </c:pt>
                <c:pt idx="139">
                  <c:v>85</c:v>
                </c:pt>
                <c:pt idx="140">
                  <c:v>111</c:v>
                </c:pt>
                <c:pt idx="141">
                  <c:v>92</c:v>
                </c:pt>
                <c:pt idx="142">
                  <c:v>196</c:v>
                </c:pt>
                <c:pt idx="143">
                  <c:v>93</c:v>
                </c:pt>
                <c:pt idx="144">
                  <c:v>133</c:v>
                </c:pt>
                <c:pt idx="145">
                  <c:v>116</c:v>
                </c:pt>
                <c:pt idx="146">
                  <c:v>153</c:v>
                </c:pt>
                <c:pt idx="147">
                  <c:v>88</c:v>
                </c:pt>
                <c:pt idx="148">
                  <c:v>115</c:v>
                </c:pt>
                <c:pt idx="149">
                  <c:v>95</c:v>
                </c:pt>
                <c:pt idx="150">
                  <c:v>133</c:v>
                </c:pt>
                <c:pt idx="151">
                  <c:v>97</c:v>
                </c:pt>
                <c:pt idx="152">
                  <c:v>90</c:v>
                </c:pt>
                <c:pt idx="153">
                  <c:v>154</c:v>
                </c:pt>
                <c:pt idx="154">
                  <c:v>150</c:v>
                </c:pt>
                <c:pt idx="155">
                  <c:v>127</c:v>
                </c:pt>
                <c:pt idx="156">
                  <c:v>121</c:v>
                </c:pt>
                <c:pt idx="157">
                  <c:v>102</c:v>
                </c:pt>
                <c:pt idx="158">
                  <c:v>126</c:v>
                </c:pt>
                <c:pt idx="159">
                  <c:v>121</c:v>
                </c:pt>
                <c:pt idx="160">
                  <c:v>215</c:v>
                </c:pt>
                <c:pt idx="161">
                  <c:v>127</c:v>
                </c:pt>
                <c:pt idx="162">
                  <c:v>138</c:v>
                </c:pt>
                <c:pt idx="163">
                  <c:v>122</c:v>
                </c:pt>
                <c:pt idx="164">
                  <c:v>124</c:v>
                </c:pt>
                <c:pt idx="165">
                  <c:v>106</c:v>
                </c:pt>
                <c:pt idx="166">
                  <c:v>124</c:v>
                </c:pt>
                <c:pt idx="167">
                  <c:v>128</c:v>
                </c:pt>
                <c:pt idx="168">
                  <c:v>138</c:v>
                </c:pt>
                <c:pt idx="169">
                  <c:v>115</c:v>
                </c:pt>
                <c:pt idx="170">
                  <c:v>100</c:v>
                </c:pt>
                <c:pt idx="171">
                  <c:v>135</c:v>
                </c:pt>
                <c:pt idx="172">
                  <c:v>117</c:v>
                </c:pt>
                <c:pt idx="173">
                  <c:v>156</c:v>
                </c:pt>
                <c:pt idx="174">
                  <c:v>96</c:v>
                </c:pt>
                <c:pt idx="175">
                  <c:v>107</c:v>
                </c:pt>
                <c:pt idx="176">
                  <c:v>92</c:v>
                </c:pt>
                <c:pt idx="177">
                  <c:v>115</c:v>
                </c:pt>
                <c:pt idx="178">
                  <c:v>92</c:v>
                </c:pt>
                <c:pt idx="179">
                  <c:v>117</c:v>
                </c:pt>
                <c:pt idx="180">
                  <c:v>146</c:v>
                </c:pt>
                <c:pt idx="181">
                  <c:v>94</c:v>
                </c:pt>
                <c:pt idx="182">
                  <c:v>116</c:v>
                </c:pt>
                <c:pt idx="183">
                  <c:v>147</c:v>
                </c:pt>
                <c:pt idx="184">
                  <c:v>90</c:v>
                </c:pt>
                <c:pt idx="185">
                  <c:v>101</c:v>
                </c:pt>
                <c:pt idx="186">
                  <c:v>138</c:v>
                </c:pt>
                <c:pt idx="187">
                  <c:v>107</c:v>
                </c:pt>
                <c:pt idx="188">
                  <c:v>142</c:v>
                </c:pt>
                <c:pt idx="189">
                  <c:v>165</c:v>
                </c:pt>
                <c:pt idx="190">
                  <c:v>100</c:v>
                </c:pt>
                <c:pt idx="191">
                  <c:v>82</c:v>
                </c:pt>
                <c:pt idx="192">
                  <c:v>98</c:v>
                </c:pt>
                <c:pt idx="193">
                  <c:v>95</c:v>
                </c:pt>
                <c:pt idx="194">
                  <c:v>159</c:v>
                </c:pt>
                <c:pt idx="195">
                  <c:v>96</c:v>
                </c:pt>
                <c:pt idx="196">
                  <c:v>143</c:v>
                </c:pt>
                <c:pt idx="197">
                  <c:v>123</c:v>
                </c:pt>
                <c:pt idx="198">
                  <c:v>174</c:v>
                </c:pt>
                <c:pt idx="199">
                  <c:v>101</c:v>
                </c:pt>
                <c:pt idx="200">
                  <c:v>134</c:v>
                </c:pt>
                <c:pt idx="201">
                  <c:v>132</c:v>
                </c:pt>
                <c:pt idx="202">
                  <c:v>129</c:v>
                </c:pt>
                <c:pt idx="203">
                  <c:v>106</c:v>
                </c:pt>
                <c:pt idx="204">
                  <c:v>113</c:v>
                </c:pt>
                <c:pt idx="205">
                  <c:v>102</c:v>
                </c:pt>
                <c:pt idx="206">
                  <c:v>135</c:v>
                </c:pt>
                <c:pt idx="207">
                  <c:v>125</c:v>
                </c:pt>
                <c:pt idx="208">
                  <c:v>110</c:v>
                </c:pt>
                <c:pt idx="209">
                  <c:v>124</c:v>
                </c:pt>
                <c:pt idx="210">
                  <c:v>123</c:v>
                </c:pt>
                <c:pt idx="211">
                  <c:v>130</c:v>
                </c:pt>
                <c:pt idx="212">
                  <c:v>92</c:v>
                </c:pt>
                <c:pt idx="213">
                  <c:v>127</c:v>
                </c:pt>
                <c:pt idx="214">
                  <c:v>123</c:v>
                </c:pt>
                <c:pt idx="215">
                  <c:v>123</c:v>
                </c:pt>
                <c:pt idx="216">
                  <c:v>107</c:v>
                </c:pt>
                <c:pt idx="217">
                  <c:v>124</c:v>
                </c:pt>
                <c:pt idx="218">
                  <c:v>77</c:v>
                </c:pt>
                <c:pt idx="219">
                  <c:v>109</c:v>
                </c:pt>
                <c:pt idx="220">
                  <c:v>134</c:v>
                </c:pt>
                <c:pt idx="221">
                  <c:v>117</c:v>
                </c:pt>
                <c:pt idx="222">
                  <c:v>135</c:v>
                </c:pt>
                <c:pt idx="223">
                  <c:v>121</c:v>
                </c:pt>
                <c:pt idx="224">
                  <c:v>117</c:v>
                </c:pt>
                <c:pt idx="225">
                  <c:v>124</c:v>
                </c:pt>
                <c:pt idx="226">
                  <c:v>140</c:v>
                </c:pt>
                <c:pt idx="227">
                  <c:v>142</c:v>
                </c:pt>
                <c:pt idx="228">
                  <c:v>92</c:v>
                </c:pt>
                <c:pt idx="229">
                  <c:v>138</c:v>
                </c:pt>
                <c:pt idx="230">
                  <c:v>136</c:v>
                </c:pt>
                <c:pt idx="231">
                  <c:v>98</c:v>
                </c:pt>
                <c:pt idx="232">
                  <c:v>153</c:v>
                </c:pt>
                <c:pt idx="233">
                  <c:v>120</c:v>
                </c:pt>
                <c:pt idx="234">
                  <c:v>101</c:v>
                </c:pt>
                <c:pt idx="235">
                  <c:v>91</c:v>
                </c:pt>
                <c:pt idx="236">
                  <c:v>108</c:v>
                </c:pt>
                <c:pt idx="237">
                  <c:v>112</c:v>
                </c:pt>
                <c:pt idx="238">
                  <c:v>100</c:v>
                </c:pt>
                <c:pt idx="239">
                  <c:v>108</c:v>
                </c:pt>
                <c:pt idx="240">
                  <c:v>114</c:v>
                </c:pt>
                <c:pt idx="241">
                  <c:v>119</c:v>
                </c:pt>
                <c:pt idx="242">
                  <c:v>142</c:v>
                </c:pt>
                <c:pt idx="243">
                  <c:v>125</c:v>
                </c:pt>
                <c:pt idx="244">
                  <c:v>126</c:v>
                </c:pt>
                <c:pt idx="245">
                  <c:v>119</c:v>
                </c:pt>
                <c:pt idx="246">
                  <c:v>170</c:v>
                </c:pt>
                <c:pt idx="247">
                  <c:v>85</c:v>
                </c:pt>
                <c:pt idx="248">
                  <c:v>119</c:v>
                </c:pt>
                <c:pt idx="249">
                  <c:v>102</c:v>
                </c:pt>
                <c:pt idx="250">
                  <c:v>103</c:v>
                </c:pt>
                <c:pt idx="251">
                  <c:v>76</c:v>
                </c:pt>
                <c:pt idx="252">
                  <c:v>120</c:v>
                </c:pt>
                <c:pt idx="253">
                  <c:v>127</c:v>
                </c:pt>
                <c:pt idx="254">
                  <c:v>105</c:v>
                </c:pt>
                <c:pt idx="255">
                  <c:v>121</c:v>
                </c:pt>
                <c:pt idx="256">
                  <c:v>114</c:v>
                </c:pt>
                <c:pt idx="257">
                  <c:v>129</c:v>
                </c:pt>
                <c:pt idx="258">
                  <c:v>171</c:v>
                </c:pt>
                <c:pt idx="259">
                  <c:v>120</c:v>
                </c:pt>
                <c:pt idx="260">
                  <c:v>165</c:v>
                </c:pt>
                <c:pt idx="261">
                  <c:v>82</c:v>
                </c:pt>
                <c:pt idx="262">
                  <c:v>115</c:v>
                </c:pt>
                <c:pt idx="263">
                  <c:v>194</c:v>
                </c:pt>
                <c:pt idx="264">
                  <c:v>84</c:v>
                </c:pt>
                <c:pt idx="265">
                  <c:v>97</c:v>
                </c:pt>
                <c:pt idx="266">
                  <c:v>151</c:v>
                </c:pt>
                <c:pt idx="267">
                  <c:v>136</c:v>
                </c:pt>
                <c:pt idx="268">
                  <c:v>104</c:v>
                </c:pt>
                <c:pt idx="269">
                  <c:v>127</c:v>
                </c:pt>
                <c:pt idx="270">
                  <c:v>171</c:v>
                </c:pt>
                <c:pt idx="271">
                  <c:v>145</c:v>
                </c:pt>
                <c:pt idx="272">
                  <c:v>174</c:v>
                </c:pt>
                <c:pt idx="273">
                  <c:v>144</c:v>
                </c:pt>
                <c:pt idx="274">
                  <c:v>119</c:v>
                </c:pt>
                <c:pt idx="275">
                  <c:v>153</c:v>
                </c:pt>
                <c:pt idx="276">
                  <c:v>140</c:v>
                </c:pt>
                <c:pt idx="277">
                  <c:v>176</c:v>
                </c:pt>
                <c:pt idx="278">
                  <c:v>141</c:v>
                </c:pt>
                <c:pt idx="279">
                  <c:v>106</c:v>
                </c:pt>
                <c:pt idx="280">
                  <c:v>98</c:v>
                </c:pt>
                <c:pt idx="281">
                  <c:v>116</c:v>
                </c:pt>
                <c:pt idx="282">
                  <c:v>115</c:v>
                </c:pt>
                <c:pt idx="283">
                  <c:v>165</c:v>
                </c:pt>
                <c:pt idx="284">
                  <c:v>91</c:v>
                </c:pt>
                <c:pt idx="285">
                  <c:v>78</c:v>
                </c:pt>
                <c:pt idx="286">
                  <c:v>103</c:v>
                </c:pt>
                <c:pt idx="287">
                  <c:v>131</c:v>
                </c:pt>
                <c:pt idx="288">
                  <c:v>104</c:v>
                </c:pt>
                <c:pt idx="289">
                  <c:v>101</c:v>
                </c:pt>
                <c:pt idx="290">
                  <c:v>102</c:v>
                </c:pt>
                <c:pt idx="291">
                  <c:v>103</c:v>
                </c:pt>
                <c:pt idx="292">
                  <c:v>121</c:v>
                </c:pt>
                <c:pt idx="293">
                  <c:v>143</c:v>
                </c:pt>
                <c:pt idx="294">
                  <c:v>240</c:v>
                </c:pt>
                <c:pt idx="295">
                  <c:v>121</c:v>
                </c:pt>
                <c:pt idx="296">
                  <c:v>129</c:v>
                </c:pt>
                <c:pt idx="297">
                  <c:v>172</c:v>
                </c:pt>
                <c:pt idx="298">
                  <c:v>101</c:v>
                </c:pt>
                <c:pt idx="299">
                  <c:v>87</c:v>
                </c:pt>
                <c:pt idx="300">
                  <c:v>101</c:v>
                </c:pt>
                <c:pt idx="301">
                  <c:v>95</c:v>
                </c:pt>
                <c:pt idx="302">
                  <c:v>102</c:v>
                </c:pt>
                <c:pt idx="303">
                  <c:v>131</c:v>
                </c:pt>
                <c:pt idx="304">
                  <c:v>114</c:v>
                </c:pt>
                <c:pt idx="305">
                  <c:v>94</c:v>
                </c:pt>
                <c:pt idx="306">
                  <c:v>122</c:v>
                </c:pt>
                <c:pt idx="307">
                  <c:v>95</c:v>
                </c:pt>
                <c:pt idx="308">
                  <c:v>115</c:v>
                </c:pt>
                <c:pt idx="309">
                  <c:v>88</c:v>
                </c:pt>
                <c:pt idx="310">
                  <c:v>110</c:v>
                </c:pt>
                <c:pt idx="311">
                  <c:v>130</c:v>
                </c:pt>
                <c:pt idx="312">
                  <c:v>216</c:v>
                </c:pt>
                <c:pt idx="313">
                  <c:v>146</c:v>
                </c:pt>
                <c:pt idx="314">
                  <c:v>85</c:v>
                </c:pt>
                <c:pt idx="315">
                  <c:v>93</c:v>
                </c:pt>
                <c:pt idx="316">
                  <c:v>152</c:v>
                </c:pt>
                <c:pt idx="317">
                  <c:v>85</c:v>
                </c:pt>
                <c:pt idx="318">
                  <c:v>126</c:v>
                </c:pt>
                <c:pt idx="319">
                  <c:v>146</c:v>
                </c:pt>
                <c:pt idx="320">
                  <c:v>89</c:v>
                </c:pt>
                <c:pt idx="321">
                  <c:v>88</c:v>
                </c:pt>
                <c:pt idx="322">
                  <c:v>105</c:v>
                </c:pt>
                <c:pt idx="323">
                  <c:v>135</c:v>
                </c:pt>
                <c:pt idx="324">
                  <c:v>100</c:v>
                </c:pt>
                <c:pt idx="325">
                  <c:v>192</c:v>
                </c:pt>
                <c:pt idx="326">
                  <c:v>172</c:v>
                </c:pt>
                <c:pt idx="327">
                  <c:v>102</c:v>
                </c:pt>
                <c:pt idx="328">
                  <c:v>100</c:v>
                </c:pt>
                <c:pt idx="329">
                  <c:v>119</c:v>
                </c:pt>
                <c:pt idx="330">
                  <c:v>92</c:v>
                </c:pt>
                <c:pt idx="331">
                  <c:v>105</c:v>
                </c:pt>
                <c:pt idx="332">
                  <c:v>107</c:v>
                </c:pt>
                <c:pt idx="333">
                  <c:v>101</c:v>
                </c:pt>
                <c:pt idx="334">
                  <c:v>137</c:v>
                </c:pt>
                <c:pt idx="335">
                  <c:v>115</c:v>
                </c:pt>
                <c:pt idx="336">
                  <c:v>124</c:v>
                </c:pt>
                <c:pt idx="337">
                  <c:v>118</c:v>
                </c:pt>
                <c:pt idx="338">
                  <c:v>98</c:v>
                </c:pt>
                <c:pt idx="339">
                  <c:v>82</c:v>
                </c:pt>
                <c:pt idx="340">
                  <c:v>98</c:v>
                </c:pt>
                <c:pt idx="341">
                  <c:v>90</c:v>
                </c:pt>
                <c:pt idx="342">
                  <c:v>130</c:v>
                </c:pt>
                <c:pt idx="343">
                  <c:v>90</c:v>
                </c:pt>
                <c:pt idx="344">
                  <c:v>94</c:v>
                </c:pt>
                <c:pt idx="345">
                  <c:v>114</c:v>
                </c:pt>
                <c:pt idx="346">
                  <c:v>94</c:v>
                </c:pt>
                <c:pt idx="347">
                  <c:v>151</c:v>
                </c:pt>
                <c:pt idx="348">
                  <c:v>88</c:v>
                </c:pt>
                <c:pt idx="349">
                  <c:v>121</c:v>
                </c:pt>
                <c:pt idx="350">
                  <c:v>158</c:v>
                </c:pt>
                <c:pt idx="351">
                  <c:v>128</c:v>
                </c:pt>
                <c:pt idx="352">
                  <c:v>128</c:v>
                </c:pt>
                <c:pt idx="353">
                  <c:v>95</c:v>
                </c:pt>
                <c:pt idx="354">
                  <c:v>92</c:v>
                </c:pt>
                <c:pt idx="355">
                  <c:v>121</c:v>
                </c:pt>
                <c:pt idx="356">
                  <c:v>113</c:v>
                </c:pt>
                <c:pt idx="357">
                  <c:v>106</c:v>
                </c:pt>
                <c:pt idx="358">
                  <c:v>146</c:v>
                </c:pt>
                <c:pt idx="359">
                  <c:v>88</c:v>
                </c:pt>
                <c:pt idx="360">
                  <c:v>150</c:v>
                </c:pt>
                <c:pt idx="361">
                  <c:v>119</c:v>
                </c:pt>
                <c:pt idx="362">
                  <c:v>128</c:v>
                </c:pt>
                <c:pt idx="363">
                  <c:v>106</c:v>
                </c:pt>
                <c:pt idx="364">
                  <c:v>117</c:v>
                </c:pt>
                <c:pt idx="365">
                  <c:v>129</c:v>
                </c:pt>
                <c:pt idx="366">
                  <c:v>116</c:v>
                </c:pt>
                <c:pt idx="367">
                  <c:v>114</c:v>
                </c:pt>
                <c:pt idx="368">
                  <c:v>114</c:v>
                </c:pt>
                <c:pt idx="369">
                  <c:v>96</c:v>
                </c:pt>
                <c:pt idx="370">
                  <c:v>132</c:v>
                </c:pt>
                <c:pt idx="371">
                  <c:v>104</c:v>
                </c:pt>
                <c:pt idx="372">
                  <c:v>111</c:v>
                </c:pt>
                <c:pt idx="373">
                  <c:v>138</c:v>
                </c:pt>
                <c:pt idx="374">
                  <c:v>129</c:v>
                </c:pt>
                <c:pt idx="375">
                  <c:v>144</c:v>
                </c:pt>
                <c:pt idx="376">
                  <c:v>110</c:v>
                </c:pt>
                <c:pt idx="377">
                  <c:v>140</c:v>
                </c:pt>
                <c:pt idx="378">
                  <c:v>113</c:v>
                </c:pt>
                <c:pt idx="379">
                  <c:v>143</c:v>
                </c:pt>
                <c:pt idx="380">
                  <c:v>108</c:v>
                </c:pt>
                <c:pt idx="381">
                  <c:v>108</c:v>
                </c:pt>
                <c:pt idx="382">
                  <c:v>124</c:v>
                </c:pt>
                <c:pt idx="383">
                  <c:v>116</c:v>
                </c:pt>
                <c:pt idx="384">
                  <c:v>110</c:v>
                </c:pt>
                <c:pt idx="385">
                  <c:v>91</c:v>
                </c:pt>
                <c:pt idx="386">
                  <c:v>107</c:v>
                </c:pt>
                <c:pt idx="387">
                  <c:v>115</c:v>
                </c:pt>
                <c:pt idx="388">
                  <c:v>100</c:v>
                </c:pt>
                <c:pt idx="389">
                  <c:v>104</c:v>
                </c:pt>
                <c:pt idx="390">
                  <c:v>138</c:v>
                </c:pt>
                <c:pt idx="391">
                  <c:v>140</c:v>
                </c:pt>
                <c:pt idx="392">
                  <c:v>120</c:v>
                </c:pt>
                <c:pt idx="393">
                  <c:v>122</c:v>
                </c:pt>
                <c:pt idx="394">
                  <c:v>83</c:v>
                </c:pt>
                <c:pt idx="395">
                  <c:v>139</c:v>
                </c:pt>
                <c:pt idx="396">
                  <c:v>131</c:v>
                </c:pt>
                <c:pt idx="397">
                  <c:v>104</c:v>
                </c:pt>
                <c:pt idx="398">
                  <c:v>130</c:v>
                </c:pt>
                <c:pt idx="399">
                  <c:v>145</c:v>
                </c:pt>
                <c:pt idx="400">
                  <c:v>104</c:v>
                </c:pt>
                <c:pt idx="401">
                  <c:v>97</c:v>
                </c:pt>
                <c:pt idx="402">
                  <c:v>178</c:v>
                </c:pt>
                <c:pt idx="403">
                  <c:v>108</c:v>
                </c:pt>
                <c:pt idx="404">
                  <c:v>106</c:v>
                </c:pt>
                <c:pt idx="405">
                  <c:v>112</c:v>
                </c:pt>
                <c:pt idx="406">
                  <c:v>135</c:v>
                </c:pt>
                <c:pt idx="407">
                  <c:v>109</c:v>
                </c:pt>
                <c:pt idx="408">
                  <c:v>86</c:v>
                </c:pt>
                <c:pt idx="409">
                  <c:v>95</c:v>
                </c:pt>
                <c:pt idx="410">
                  <c:v>107</c:v>
                </c:pt>
                <c:pt idx="411">
                  <c:v>82</c:v>
                </c:pt>
                <c:pt idx="412">
                  <c:v>88</c:v>
                </c:pt>
                <c:pt idx="413">
                  <c:v>120</c:v>
                </c:pt>
                <c:pt idx="414">
                  <c:v>162</c:v>
                </c:pt>
                <c:pt idx="415">
                  <c:v>123</c:v>
                </c:pt>
                <c:pt idx="416">
                  <c:v>101</c:v>
                </c:pt>
                <c:pt idx="417">
                  <c:v>113</c:v>
                </c:pt>
                <c:pt idx="418">
                  <c:v>110</c:v>
                </c:pt>
                <c:pt idx="419">
                  <c:v>142</c:v>
                </c:pt>
                <c:pt idx="420">
                  <c:v>102</c:v>
                </c:pt>
                <c:pt idx="421">
                  <c:v>126</c:v>
                </c:pt>
                <c:pt idx="422">
                  <c:v>83</c:v>
                </c:pt>
                <c:pt idx="423">
                  <c:v>85</c:v>
                </c:pt>
                <c:pt idx="424">
                  <c:v>120</c:v>
                </c:pt>
                <c:pt idx="425">
                  <c:v>116</c:v>
                </c:pt>
                <c:pt idx="426">
                  <c:v>113</c:v>
                </c:pt>
                <c:pt idx="427">
                  <c:v>87</c:v>
                </c:pt>
                <c:pt idx="428">
                  <c:v>101</c:v>
                </c:pt>
                <c:pt idx="429">
                  <c:v>110</c:v>
                </c:pt>
                <c:pt idx="430">
                  <c:v>128</c:v>
                </c:pt>
                <c:pt idx="431">
                  <c:v>138</c:v>
                </c:pt>
                <c:pt idx="432">
                  <c:v>88</c:v>
                </c:pt>
                <c:pt idx="433">
                  <c:v>91</c:v>
                </c:pt>
                <c:pt idx="434">
                  <c:v>138</c:v>
                </c:pt>
                <c:pt idx="435">
                  <c:v>99</c:v>
                </c:pt>
                <c:pt idx="436">
                  <c:v>117</c:v>
                </c:pt>
                <c:pt idx="437">
                  <c:v>117</c:v>
                </c:pt>
                <c:pt idx="438">
                  <c:v>123</c:v>
                </c:pt>
                <c:pt idx="439">
                  <c:v>118</c:v>
                </c:pt>
                <c:pt idx="440">
                  <c:v>154</c:v>
                </c:pt>
                <c:pt idx="441">
                  <c:v>118</c:v>
                </c:pt>
                <c:pt idx="442">
                  <c:v>90</c:v>
                </c:pt>
                <c:pt idx="443">
                  <c:v>113</c:v>
                </c:pt>
                <c:pt idx="444">
                  <c:v>88</c:v>
                </c:pt>
                <c:pt idx="445">
                  <c:v>93</c:v>
                </c:pt>
                <c:pt idx="446">
                  <c:v>104</c:v>
                </c:pt>
                <c:pt idx="447">
                  <c:v>135</c:v>
                </c:pt>
                <c:pt idx="448">
                  <c:v>134</c:v>
                </c:pt>
                <c:pt idx="449">
                  <c:v>98</c:v>
                </c:pt>
                <c:pt idx="450">
                  <c:v>80</c:v>
                </c:pt>
                <c:pt idx="451">
                  <c:v>83</c:v>
                </c:pt>
                <c:pt idx="452">
                  <c:v>102</c:v>
                </c:pt>
                <c:pt idx="453">
                  <c:v>130</c:v>
                </c:pt>
                <c:pt idx="454">
                  <c:v>129</c:v>
                </c:pt>
                <c:pt idx="455">
                  <c:v>89</c:v>
                </c:pt>
                <c:pt idx="456">
                  <c:v>74</c:v>
                </c:pt>
                <c:pt idx="457">
                  <c:v>96</c:v>
                </c:pt>
                <c:pt idx="458">
                  <c:v>114</c:v>
                </c:pt>
                <c:pt idx="459">
                  <c:v>99</c:v>
                </c:pt>
                <c:pt idx="460">
                  <c:v>129</c:v>
                </c:pt>
                <c:pt idx="461">
                  <c:v>113</c:v>
                </c:pt>
                <c:pt idx="462">
                  <c:v>90</c:v>
                </c:pt>
                <c:pt idx="463">
                  <c:v>118</c:v>
                </c:pt>
                <c:pt idx="464">
                  <c:v>106</c:v>
                </c:pt>
                <c:pt idx="465">
                  <c:v>89</c:v>
                </c:pt>
                <c:pt idx="466">
                  <c:v>145</c:v>
                </c:pt>
                <c:pt idx="467">
                  <c:v>114</c:v>
                </c:pt>
                <c:pt idx="468">
                  <c:v>87</c:v>
                </c:pt>
                <c:pt idx="469">
                  <c:v>119</c:v>
                </c:pt>
                <c:pt idx="470">
                  <c:v>91</c:v>
                </c:pt>
                <c:pt idx="471">
                  <c:v>118</c:v>
                </c:pt>
                <c:pt idx="472">
                  <c:v>116</c:v>
                </c:pt>
                <c:pt idx="473">
                  <c:v>177</c:v>
                </c:pt>
                <c:pt idx="474">
                  <c:v>97</c:v>
                </c:pt>
                <c:pt idx="475">
                  <c:v>106</c:v>
                </c:pt>
                <c:pt idx="476">
                  <c:v>106</c:v>
                </c:pt>
                <c:pt idx="477">
                  <c:v>94</c:v>
                </c:pt>
                <c:pt idx="478">
                  <c:v>104</c:v>
                </c:pt>
                <c:pt idx="479">
                  <c:v>102</c:v>
                </c:pt>
                <c:pt idx="480">
                  <c:v>105</c:v>
                </c:pt>
                <c:pt idx="481">
                  <c:v>135</c:v>
                </c:pt>
                <c:pt idx="482">
                  <c:v>73</c:v>
                </c:pt>
                <c:pt idx="483">
                  <c:v>94</c:v>
                </c:pt>
                <c:pt idx="484">
                  <c:v>95</c:v>
                </c:pt>
                <c:pt idx="485">
                  <c:v>124</c:v>
                </c:pt>
                <c:pt idx="486">
                  <c:v>136</c:v>
                </c:pt>
                <c:pt idx="487">
                  <c:v>91</c:v>
                </c:pt>
                <c:pt idx="488">
                  <c:v>107</c:v>
                </c:pt>
                <c:pt idx="489">
                  <c:v>108</c:v>
                </c:pt>
                <c:pt idx="490">
                  <c:v>99</c:v>
                </c:pt>
                <c:pt idx="491">
                  <c:v>92</c:v>
                </c:pt>
                <c:pt idx="492">
                  <c:v>87</c:v>
                </c:pt>
                <c:pt idx="493">
                  <c:v>110</c:v>
                </c:pt>
                <c:pt idx="494">
                  <c:v>98</c:v>
                </c:pt>
                <c:pt idx="495">
                  <c:v>154</c:v>
                </c:pt>
                <c:pt idx="496">
                  <c:v>129</c:v>
                </c:pt>
                <c:pt idx="497">
                  <c:v>86</c:v>
                </c:pt>
                <c:pt idx="498">
                  <c:v>109</c:v>
                </c:pt>
                <c:pt idx="499">
                  <c:v>104</c:v>
                </c:pt>
                <c:pt idx="500">
                  <c:v>110</c:v>
                </c:pt>
                <c:pt idx="501">
                  <c:v>136</c:v>
                </c:pt>
                <c:pt idx="502">
                  <c:v>115</c:v>
                </c:pt>
                <c:pt idx="503">
                  <c:v>99</c:v>
                </c:pt>
                <c:pt idx="504">
                  <c:v>117</c:v>
                </c:pt>
                <c:pt idx="505">
                  <c:v>125</c:v>
                </c:pt>
                <c:pt idx="506">
                  <c:v>110</c:v>
                </c:pt>
                <c:pt idx="507">
                  <c:v>125</c:v>
                </c:pt>
                <c:pt idx="508">
                  <c:v>102</c:v>
                </c:pt>
                <c:pt idx="509">
                  <c:v>128</c:v>
                </c:pt>
                <c:pt idx="510">
                  <c:v>100</c:v>
                </c:pt>
                <c:pt idx="511">
                  <c:v>124</c:v>
                </c:pt>
                <c:pt idx="512">
                  <c:v>102</c:v>
                </c:pt>
                <c:pt idx="513">
                  <c:v>90</c:v>
                </c:pt>
                <c:pt idx="514">
                  <c:v>130</c:v>
                </c:pt>
                <c:pt idx="515">
                  <c:v>118</c:v>
                </c:pt>
                <c:pt idx="516">
                  <c:v>163</c:v>
                </c:pt>
                <c:pt idx="517">
                  <c:v>142</c:v>
                </c:pt>
                <c:pt idx="518">
                  <c:v>100</c:v>
                </c:pt>
                <c:pt idx="519">
                  <c:v>116</c:v>
                </c:pt>
                <c:pt idx="520">
                  <c:v>131</c:v>
                </c:pt>
                <c:pt idx="521">
                  <c:v>91</c:v>
                </c:pt>
                <c:pt idx="522">
                  <c:v>123</c:v>
                </c:pt>
                <c:pt idx="523">
                  <c:v>134</c:v>
                </c:pt>
                <c:pt idx="524">
                  <c:v>148</c:v>
                </c:pt>
                <c:pt idx="525">
                  <c:v>110</c:v>
                </c:pt>
                <c:pt idx="526">
                  <c:v>113</c:v>
                </c:pt>
                <c:pt idx="527">
                  <c:v>94</c:v>
                </c:pt>
                <c:pt idx="528">
                  <c:v>116</c:v>
                </c:pt>
                <c:pt idx="529">
                  <c:v>99</c:v>
                </c:pt>
                <c:pt idx="530">
                  <c:v>93</c:v>
                </c:pt>
                <c:pt idx="531">
                  <c:v>113</c:v>
                </c:pt>
                <c:pt idx="532">
                  <c:v>106</c:v>
                </c:pt>
                <c:pt idx="533">
                  <c:v>91</c:v>
                </c:pt>
                <c:pt idx="534">
                  <c:v>128</c:v>
                </c:pt>
                <c:pt idx="535">
                  <c:v>98</c:v>
                </c:pt>
                <c:pt idx="536">
                  <c:v>134</c:v>
                </c:pt>
                <c:pt idx="537">
                  <c:v>97</c:v>
                </c:pt>
                <c:pt idx="538">
                  <c:v>112</c:v>
                </c:pt>
                <c:pt idx="539">
                  <c:v>153</c:v>
                </c:pt>
                <c:pt idx="540">
                  <c:v>110</c:v>
                </c:pt>
                <c:pt idx="541">
                  <c:v>122</c:v>
                </c:pt>
                <c:pt idx="542">
                  <c:v>87</c:v>
                </c:pt>
                <c:pt idx="543">
                  <c:v>178</c:v>
                </c:pt>
                <c:pt idx="544">
                  <c:v>125</c:v>
                </c:pt>
                <c:pt idx="545">
                  <c:v>87</c:v>
                </c:pt>
                <c:pt idx="546">
                  <c:v>152</c:v>
                </c:pt>
                <c:pt idx="547">
                  <c:v>116</c:v>
                </c:pt>
                <c:pt idx="548">
                  <c:v>109</c:v>
                </c:pt>
                <c:pt idx="549">
                  <c:v>108</c:v>
                </c:pt>
                <c:pt idx="550">
                  <c:v>85</c:v>
                </c:pt>
                <c:pt idx="551">
                  <c:v>106</c:v>
                </c:pt>
                <c:pt idx="552">
                  <c:v>93</c:v>
                </c:pt>
                <c:pt idx="553">
                  <c:v>117</c:v>
                </c:pt>
                <c:pt idx="554">
                  <c:v>116</c:v>
                </c:pt>
                <c:pt idx="555">
                  <c:v>132</c:v>
                </c:pt>
                <c:pt idx="556">
                  <c:v>92</c:v>
                </c:pt>
                <c:pt idx="557">
                  <c:v>139</c:v>
                </c:pt>
                <c:pt idx="558">
                  <c:v>153</c:v>
                </c:pt>
                <c:pt idx="559">
                  <c:v>142</c:v>
                </c:pt>
                <c:pt idx="560">
                  <c:v>124</c:v>
                </c:pt>
                <c:pt idx="561">
                  <c:v>117</c:v>
                </c:pt>
                <c:pt idx="562">
                  <c:v>141</c:v>
                </c:pt>
                <c:pt idx="563">
                  <c:v>110</c:v>
                </c:pt>
                <c:pt idx="564">
                  <c:v>109</c:v>
                </c:pt>
                <c:pt idx="565">
                  <c:v>88</c:v>
                </c:pt>
                <c:pt idx="566">
                  <c:v>124</c:v>
                </c:pt>
                <c:pt idx="567">
                  <c:v>119</c:v>
                </c:pt>
                <c:pt idx="568">
                  <c:v>103</c:v>
                </c:pt>
                <c:pt idx="569">
                  <c:v>116</c:v>
                </c:pt>
                <c:pt idx="570">
                  <c:v>125</c:v>
                </c:pt>
                <c:pt idx="571">
                  <c:v>125</c:v>
                </c:pt>
                <c:pt idx="572">
                  <c:v>146</c:v>
                </c:pt>
                <c:pt idx="573">
                  <c:v>118</c:v>
                </c:pt>
                <c:pt idx="574">
                  <c:v>171</c:v>
                </c:pt>
                <c:pt idx="575">
                  <c:v>136</c:v>
                </c:pt>
                <c:pt idx="576">
                  <c:v>92</c:v>
                </c:pt>
                <c:pt idx="577">
                  <c:v>116</c:v>
                </c:pt>
                <c:pt idx="578">
                  <c:v>127</c:v>
                </c:pt>
                <c:pt idx="579">
                  <c:v>136</c:v>
                </c:pt>
                <c:pt idx="580">
                  <c:v>111</c:v>
                </c:pt>
                <c:pt idx="581">
                  <c:v>116</c:v>
                </c:pt>
                <c:pt idx="582">
                  <c:v>113</c:v>
                </c:pt>
                <c:pt idx="583">
                  <c:v>97</c:v>
                </c:pt>
                <c:pt idx="584">
                  <c:v>88</c:v>
                </c:pt>
                <c:pt idx="585">
                  <c:v>136</c:v>
                </c:pt>
                <c:pt idx="586">
                  <c:v>125</c:v>
                </c:pt>
                <c:pt idx="587">
                  <c:v>116</c:v>
                </c:pt>
                <c:pt idx="588">
                  <c:v>98</c:v>
                </c:pt>
                <c:pt idx="589">
                  <c:v>91</c:v>
                </c:pt>
                <c:pt idx="590">
                  <c:v>97</c:v>
                </c:pt>
                <c:pt idx="591">
                  <c:v>95</c:v>
                </c:pt>
                <c:pt idx="592">
                  <c:v>88</c:v>
                </c:pt>
                <c:pt idx="593">
                  <c:v>133</c:v>
                </c:pt>
                <c:pt idx="594">
                  <c:v>106</c:v>
                </c:pt>
                <c:pt idx="595">
                  <c:v>116</c:v>
                </c:pt>
                <c:pt idx="596">
                  <c:v>115</c:v>
                </c:pt>
                <c:pt idx="597">
                  <c:v>99</c:v>
                </c:pt>
                <c:pt idx="598">
                  <c:v>124</c:v>
                </c:pt>
                <c:pt idx="599">
                  <c:v>124</c:v>
                </c:pt>
                <c:pt idx="600">
                  <c:v>124</c:v>
                </c:pt>
                <c:pt idx="601">
                  <c:v>87</c:v>
                </c:pt>
                <c:pt idx="602">
                  <c:v>105</c:v>
                </c:pt>
                <c:pt idx="603">
                  <c:v>125</c:v>
                </c:pt>
                <c:pt idx="604">
                  <c:v>141</c:v>
                </c:pt>
                <c:pt idx="605">
                  <c:v>121</c:v>
                </c:pt>
                <c:pt idx="606">
                  <c:v>111</c:v>
                </c:pt>
                <c:pt idx="607">
                  <c:v>157</c:v>
                </c:pt>
                <c:pt idx="608">
                  <c:v>128</c:v>
                </c:pt>
                <c:pt idx="609">
                  <c:v>105</c:v>
                </c:pt>
                <c:pt idx="610">
                  <c:v>113</c:v>
                </c:pt>
                <c:pt idx="611">
                  <c:v>121</c:v>
                </c:pt>
                <c:pt idx="612">
                  <c:v>102</c:v>
                </c:pt>
                <c:pt idx="613">
                  <c:v>169</c:v>
                </c:pt>
                <c:pt idx="614">
                  <c:v>132</c:v>
                </c:pt>
                <c:pt idx="615">
                  <c:v>127</c:v>
                </c:pt>
                <c:pt idx="616">
                  <c:v>103</c:v>
                </c:pt>
                <c:pt idx="617">
                  <c:v>136</c:v>
                </c:pt>
                <c:pt idx="618">
                  <c:v>150</c:v>
                </c:pt>
                <c:pt idx="619">
                  <c:v>136</c:v>
                </c:pt>
                <c:pt idx="620">
                  <c:v>140</c:v>
                </c:pt>
                <c:pt idx="621">
                  <c:v>104</c:v>
                </c:pt>
                <c:pt idx="622">
                  <c:v>158</c:v>
                </c:pt>
                <c:pt idx="623">
                  <c:v>119</c:v>
                </c:pt>
                <c:pt idx="624">
                  <c:v>106</c:v>
                </c:pt>
                <c:pt idx="625">
                  <c:v>136</c:v>
                </c:pt>
                <c:pt idx="626">
                  <c:v>95</c:v>
                </c:pt>
                <c:pt idx="627">
                  <c:v>137</c:v>
                </c:pt>
                <c:pt idx="628">
                  <c:v>130</c:v>
                </c:pt>
                <c:pt idx="629">
                  <c:v>124</c:v>
                </c:pt>
                <c:pt idx="630">
                  <c:v>108</c:v>
                </c:pt>
                <c:pt idx="631">
                  <c:v>104</c:v>
                </c:pt>
                <c:pt idx="632">
                  <c:v>129</c:v>
                </c:pt>
                <c:pt idx="633">
                  <c:v>117</c:v>
                </c:pt>
                <c:pt idx="634">
                  <c:v>99</c:v>
                </c:pt>
                <c:pt idx="635">
                  <c:v>159</c:v>
                </c:pt>
                <c:pt idx="636">
                  <c:v>118</c:v>
                </c:pt>
                <c:pt idx="637">
                  <c:v>105</c:v>
                </c:pt>
                <c:pt idx="638">
                  <c:v>103</c:v>
                </c:pt>
                <c:pt idx="639">
                  <c:v>122</c:v>
                </c:pt>
                <c:pt idx="640">
                  <c:v>143</c:v>
                </c:pt>
                <c:pt idx="641">
                  <c:v>96</c:v>
                </c:pt>
                <c:pt idx="642">
                  <c:v>111</c:v>
                </c:pt>
                <c:pt idx="643">
                  <c:v>121</c:v>
                </c:pt>
                <c:pt idx="644">
                  <c:v>135</c:v>
                </c:pt>
                <c:pt idx="645">
                  <c:v>101</c:v>
                </c:pt>
                <c:pt idx="646">
                  <c:v>151</c:v>
                </c:pt>
                <c:pt idx="647">
                  <c:v>131</c:v>
                </c:pt>
                <c:pt idx="648">
                  <c:v>100</c:v>
                </c:pt>
                <c:pt idx="649">
                  <c:v>105</c:v>
                </c:pt>
                <c:pt idx="650">
                  <c:v>92</c:v>
                </c:pt>
                <c:pt idx="651">
                  <c:v>130</c:v>
                </c:pt>
                <c:pt idx="652">
                  <c:v>100</c:v>
                </c:pt>
                <c:pt idx="653">
                  <c:v>102</c:v>
                </c:pt>
                <c:pt idx="654">
                  <c:v>133</c:v>
                </c:pt>
                <c:pt idx="655">
                  <c:v>121</c:v>
                </c:pt>
                <c:pt idx="656">
                  <c:v>147</c:v>
                </c:pt>
                <c:pt idx="657">
                  <c:v>94</c:v>
                </c:pt>
                <c:pt idx="658">
                  <c:v>94</c:v>
                </c:pt>
                <c:pt idx="659">
                  <c:v>127</c:v>
                </c:pt>
                <c:pt idx="660">
                  <c:v>212</c:v>
                </c:pt>
                <c:pt idx="661">
                  <c:v>141</c:v>
                </c:pt>
                <c:pt idx="662">
                  <c:v>103</c:v>
                </c:pt>
                <c:pt idx="663">
                  <c:v>98</c:v>
                </c:pt>
                <c:pt idx="664">
                  <c:v>116</c:v>
                </c:pt>
                <c:pt idx="665">
                  <c:v>114</c:v>
                </c:pt>
                <c:pt idx="666">
                  <c:v>87</c:v>
                </c:pt>
                <c:pt idx="667">
                  <c:v>125</c:v>
                </c:pt>
                <c:pt idx="668">
                  <c:v>187</c:v>
                </c:pt>
                <c:pt idx="669">
                  <c:v>93</c:v>
                </c:pt>
                <c:pt idx="670">
                  <c:v>95</c:v>
                </c:pt>
                <c:pt idx="671">
                  <c:v>117</c:v>
                </c:pt>
                <c:pt idx="672">
                  <c:v>106</c:v>
                </c:pt>
                <c:pt idx="673">
                  <c:v>115</c:v>
                </c:pt>
                <c:pt idx="674">
                  <c:v>189</c:v>
                </c:pt>
                <c:pt idx="675">
                  <c:v>81</c:v>
                </c:pt>
                <c:pt idx="676">
                  <c:v>149</c:v>
                </c:pt>
                <c:pt idx="677">
                  <c:v>119</c:v>
                </c:pt>
                <c:pt idx="678">
                  <c:v>130</c:v>
                </c:pt>
                <c:pt idx="679">
                  <c:v>116</c:v>
                </c:pt>
                <c:pt idx="680">
                  <c:v>103</c:v>
                </c:pt>
                <c:pt idx="681">
                  <c:v>99</c:v>
                </c:pt>
                <c:pt idx="682">
                  <c:v>92</c:v>
                </c:pt>
                <c:pt idx="683">
                  <c:v>109</c:v>
                </c:pt>
                <c:pt idx="684">
                  <c:v>87</c:v>
                </c:pt>
                <c:pt idx="685">
                  <c:v>111</c:v>
                </c:pt>
                <c:pt idx="686">
                  <c:v>101</c:v>
                </c:pt>
                <c:pt idx="687">
                  <c:v>83</c:v>
                </c:pt>
                <c:pt idx="688">
                  <c:v>113</c:v>
                </c:pt>
                <c:pt idx="689">
                  <c:v>107</c:v>
                </c:pt>
                <c:pt idx="690">
                  <c:v>94</c:v>
                </c:pt>
                <c:pt idx="691">
                  <c:v>132</c:v>
                </c:pt>
                <c:pt idx="692">
                  <c:v>140</c:v>
                </c:pt>
                <c:pt idx="693">
                  <c:v>125</c:v>
                </c:pt>
                <c:pt idx="694">
                  <c:v>111</c:v>
                </c:pt>
                <c:pt idx="695">
                  <c:v>156</c:v>
                </c:pt>
                <c:pt idx="696">
                  <c:v>170</c:v>
                </c:pt>
                <c:pt idx="697">
                  <c:v>120</c:v>
                </c:pt>
                <c:pt idx="698">
                  <c:v>100</c:v>
                </c:pt>
                <c:pt idx="699">
                  <c:v>115</c:v>
                </c:pt>
                <c:pt idx="700">
                  <c:v>130</c:v>
                </c:pt>
                <c:pt idx="701">
                  <c:v>105</c:v>
                </c:pt>
                <c:pt idx="702">
                  <c:v>111</c:v>
                </c:pt>
                <c:pt idx="703">
                  <c:v>106</c:v>
                </c:pt>
                <c:pt idx="704">
                  <c:v>89</c:v>
                </c:pt>
                <c:pt idx="705">
                  <c:v>100</c:v>
                </c:pt>
                <c:pt idx="706">
                  <c:v>91</c:v>
                </c:pt>
                <c:pt idx="707">
                  <c:v>146</c:v>
                </c:pt>
                <c:pt idx="708">
                  <c:v>98</c:v>
                </c:pt>
                <c:pt idx="709">
                  <c:v>101</c:v>
                </c:pt>
                <c:pt idx="710">
                  <c:v>94</c:v>
                </c:pt>
                <c:pt idx="711">
                  <c:v>132</c:v>
                </c:pt>
                <c:pt idx="712">
                  <c:v>115</c:v>
                </c:pt>
                <c:pt idx="713">
                  <c:v>92</c:v>
                </c:pt>
                <c:pt idx="714">
                  <c:v>124</c:v>
                </c:pt>
                <c:pt idx="715">
                  <c:v>119</c:v>
                </c:pt>
                <c:pt idx="716">
                  <c:v>124</c:v>
                </c:pt>
                <c:pt idx="717">
                  <c:v>93</c:v>
                </c:pt>
                <c:pt idx="718">
                  <c:v>98</c:v>
                </c:pt>
                <c:pt idx="719">
                  <c:v>92</c:v>
                </c:pt>
                <c:pt idx="720">
                  <c:v>105</c:v>
                </c:pt>
                <c:pt idx="721">
                  <c:v>124</c:v>
                </c:pt>
                <c:pt idx="722">
                  <c:v>99</c:v>
                </c:pt>
                <c:pt idx="723">
                  <c:v>116</c:v>
                </c:pt>
                <c:pt idx="724">
                  <c:v>124</c:v>
                </c:pt>
                <c:pt idx="725">
                  <c:v>96</c:v>
                </c:pt>
                <c:pt idx="726">
                  <c:v>104</c:v>
                </c:pt>
                <c:pt idx="727">
                  <c:v>100</c:v>
                </c:pt>
                <c:pt idx="728">
                  <c:v>115</c:v>
                </c:pt>
                <c:pt idx="729">
                  <c:v>101</c:v>
                </c:pt>
                <c:pt idx="730">
                  <c:v>113</c:v>
                </c:pt>
                <c:pt idx="731">
                  <c:v>100</c:v>
                </c:pt>
                <c:pt idx="732">
                  <c:v>134</c:v>
                </c:pt>
                <c:pt idx="733">
                  <c:v>125</c:v>
                </c:pt>
                <c:pt idx="734">
                  <c:v>94</c:v>
                </c:pt>
                <c:pt idx="735">
                  <c:v>107</c:v>
                </c:pt>
                <c:pt idx="736">
                  <c:v>91</c:v>
                </c:pt>
                <c:pt idx="737">
                  <c:v>116</c:v>
                </c:pt>
                <c:pt idx="738">
                  <c:v>100</c:v>
                </c:pt>
                <c:pt idx="739">
                  <c:v>117</c:v>
                </c:pt>
                <c:pt idx="740">
                  <c:v>110</c:v>
                </c:pt>
                <c:pt idx="741">
                  <c:v>96</c:v>
                </c:pt>
                <c:pt idx="742">
                  <c:v>101</c:v>
                </c:pt>
                <c:pt idx="743">
                  <c:v>111</c:v>
                </c:pt>
                <c:pt idx="744">
                  <c:v>117</c:v>
                </c:pt>
                <c:pt idx="745">
                  <c:v>126</c:v>
                </c:pt>
                <c:pt idx="746">
                  <c:v>152</c:v>
                </c:pt>
                <c:pt idx="747">
                  <c:v>101</c:v>
                </c:pt>
                <c:pt idx="748">
                  <c:v>87</c:v>
                </c:pt>
                <c:pt idx="749">
                  <c:v>85</c:v>
                </c:pt>
                <c:pt idx="750">
                  <c:v>130</c:v>
                </c:pt>
                <c:pt idx="751">
                  <c:v>104</c:v>
                </c:pt>
                <c:pt idx="752">
                  <c:v>121</c:v>
                </c:pt>
                <c:pt idx="753">
                  <c:v>140</c:v>
                </c:pt>
                <c:pt idx="754">
                  <c:v>131</c:v>
                </c:pt>
                <c:pt idx="755">
                  <c:v>91</c:v>
                </c:pt>
                <c:pt idx="756">
                  <c:v>118</c:v>
                </c:pt>
                <c:pt idx="757">
                  <c:v>130</c:v>
                </c:pt>
                <c:pt idx="758">
                  <c:v>90</c:v>
                </c:pt>
                <c:pt idx="759">
                  <c:v>103</c:v>
                </c:pt>
                <c:pt idx="760">
                  <c:v>122</c:v>
                </c:pt>
                <c:pt idx="761">
                  <c:v>106</c:v>
                </c:pt>
                <c:pt idx="762">
                  <c:v>103</c:v>
                </c:pt>
                <c:pt idx="763">
                  <c:v>107</c:v>
                </c:pt>
                <c:pt idx="764">
                  <c:v>156</c:v>
                </c:pt>
                <c:pt idx="765">
                  <c:v>127</c:v>
                </c:pt>
                <c:pt idx="766">
                  <c:v>132</c:v>
                </c:pt>
                <c:pt idx="767">
                  <c:v>108</c:v>
                </c:pt>
                <c:pt idx="768">
                  <c:v>114</c:v>
                </c:pt>
                <c:pt idx="769">
                  <c:v>133</c:v>
                </c:pt>
                <c:pt idx="770">
                  <c:v>103</c:v>
                </c:pt>
                <c:pt idx="771">
                  <c:v>95</c:v>
                </c:pt>
                <c:pt idx="772">
                  <c:v>90</c:v>
                </c:pt>
                <c:pt idx="773">
                  <c:v>87</c:v>
                </c:pt>
                <c:pt idx="774">
                  <c:v>114</c:v>
                </c:pt>
                <c:pt idx="775">
                  <c:v>103</c:v>
                </c:pt>
                <c:pt idx="776">
                  <c:v>125</c:v>
                </c:pt>
                <c:pt idx="777">
                  <c:v>97</c:v>
                </c:pt>
                <c:pt idx="778">
                  <c:v>125</c:v>
                </c:pt>
                <c:pt idx="779">
                  <c:v>136</c:v>
                </c:pt>
                <c:pt idx="780">
                  <c:v>116</c:v>
                </c:pt>
                <c:pt idx="781">
                  <c:v>103</c:v>
                </c:pt>
                <c:pt idx="782">
                  <c:v>97</c:v>
                </c:pt>
                <c:pt idx="783">
                  <c:v>96</c:v>
                </c:pt>
                <c:pt idx="784">
                  <c:v>131</c:v>
                </c:pt>
                <c:pt idx="785">
                  <c:v>95</c:v>
                </c:pt>
                <c:pt idx="786">
                  <c:v>86</c:v>
                </c:pt>
                <c:pt idx="787">
                  <c:v>142</c:v>
                </c:pt>
                <c:pt idx="788">
                  <c:v>92</c:v>
                </c:pt>
                <c:pt idx="789">
                  <c:v>108</c:v>
                </c:pt>
                <c:pt idx="790">
                  <c:v>84</c:v>
                </c:pt>
                <c:pt idx="791">
                  <c:v>188</c:v>
                </c:pt>
                <c:pt idx="792">
                  <c:v>95</c:v>
                </c:pt>
                <c:pt idx="793">
                  <c:v>118</c:v>
                </c:pt>
                <c:pt idx="794">
                  <c:v>92</c:v>
                </c:pt>
                <c:pt idx="795">
                  <c:v>74</c:v>
                </c:pt>
                <c:pt idx="796">
                  <c:v>134</c:v>
                </c:pt>
                <c:pt idx="797">
                  <c:v>101</c:v>
                </c:pt>
                <c:pt idx="798">
                  <c:v>100</c:v>
                </c:pt>
                <c:pt idx="799">
                  <c:v>132</c:v>
                </c:pt>
                <c:pt idx="800">
                  <c:v>105</c:v>
                </c:pt>
                <c:pt idx="801">
                  <c:v>123</c:v>
                </c:pt>
                <c:pt idx="802">
                  <c:v>117</c:v>
                </c:pt>
                <c:pt idx="803">
                  <c:v>98</c:v>
                </c:pt>
                <c:pt idx="804">
                  <c:v>128</c:v>
                </c:pt>
                <c:pt idx="805">
                  <c:v>114</c:v>
                </c:pt>
                <c:pt idx="806">
                  <c:v>111</c:v>
                </c:pt>
                <c:pt idx="807">
                  <c:v>85</c:v>
                </c:pt>
                <c:pt idx="808">
                  <c:v>137</c:v>
                </c:pt>
                <c:pt idx="809">
                  <c:v>97</c:v>
                </c:pt>
                <c:pt idx="810">
                  <c:v>104</c:v>
                </c:pt>
                <c:pt idx="811">
                  <c:v>110</c:v>
                </c:pt>
                <c:pt idx="812">
                  <c:v>133</c:v>
                </c:pt>
                <c:pt idx="813">
                  <c:v>94</c:v>
                </c:pt>
                <c:pt idx="814">
                  <c:v>104</c:v>
                </c:pt>
                <c:pt idx="815">
                  <c:v>91</c:v>
                </c:pt>
                <c:pt idx="816">
                  <c:v>145</c:v>
                </c:pt>
                <c:pt idx="817">
                  <c:v>135</c:v>
                </c:pt>
                <c:pt idx="818">
                  <c:v>122</c:v>
                </c:pt>
                <c:pt idx="819">
                  <c:v>110</c:v>
                </c:pt>
                <c:pt idx="820">
                  <c:v>95</c:v>
                </c:pt>
                <c:pt idx="821">
                  <c:v>102</c:v>
                </c:pt>
                <c:pt idx="822">
                  <c:v>94</c:v>
                </c:pt>
                <c:pt idx="823">
                  <c:v>126</c:v>
                </c:pt>
                <c:pt idx="824">
                  <c:v>118</c:v>
                </c:pt>
                <c:pt idx="825">
                  <c:v>99</c:v>
                </c:pt>
                <c:pt idx="826">
                  <c:v>88</c:v>
                </c:pt>
                <c:pt idx="827">
                  <c:v>141</c:v>
                </c:pt>
                <c:pt idx="828">
                  <c:v>107</c:v>
                </c:pt>
                <c:pt idx="829">
                  <c:v>116</c:v>
                </c:pt>
                <c:pt idx="830">
                  <c:v>143</c:v>
                </c:pt>
                <c:pt idx="831">
                  <c:v>114</c:v>
                </c:pt>
                <c:pt idx="832">
                  <c:v>93</c:v>
                </c:pt>
                <c:pt idx="833">
                  <c:v>280</c:v>
                </c:pt>
                <c:pt idx="834">
                  <c:v>100</c:v>
                </c:pt>
                <c:pt idx="835">
                  <c:v>107</c:v>
                </c:pt>
                <c:pt idx="836">
                  <c:v>119</c:v>
                </c:pt>
                <c:pt idx="837">
                  <c:v>95</c:v>
                </c:pt>
                <c:pt idx="838">
                  <c:v>119</c:v>
                </c:pt>
                <c:pt idx="839">
                  <c:v>133</c:v>
                </c:pt>
                <c:pt idx="840">
                  <c:v>117</c:v>
                </c:pt>
                <c:pt idx="841">
                  <c:v>123</c:v>
                </c:pt>
                <c:pt idx="842">
                  <c:v>92</c:v>
                </c:pt>
                <c:pt idx="843">
                  <c:v>170</c:v>
                </c:pt>
                <c:pt idx="844">
                  <c:v>123</c:v>
                </c:pt>
                <c:pt idx="845">
                  <c:v>110</c:v>
                </c:pt>
                <c:pt idx="846">
                  <c:v>116</c:v>
                </c:pt>
                <c:pt idx="847">
                  <c:v>121</c:v>
                </c:pt>
                <c:pt idx="848">
                  <c:v>128</c:v>
                </c:pt>
                <c:pt idx="849">
                  <c:v>99</c:v>
                </c:pt>
                <c:pt idx="850">
                  <c:v>94</c:v>
                </c:pt>
                <c:pt idx="851">
                  <c:v>127</c:v>
                </c:pt>
                <c:pt idx="852">
                  <c:v>89</c:v>
                </c:pt>
                <c:pt idx="853">
                  <c:v>123</c:v>
                </c:pt>
                <c:pt idx="854">
                  <c:v>135</c:v>
                </c:pt>
                <c:pt idx="855">
                  <c:v>118</c:v>
                </c:pt>
                <c:pt idx="856">
                  <c:v>189</c:v>
                </c:pt>
                <c:pt idx="857">
                  <c:v>172</c:v>
                </c:pt>
                <c:pt idx="858">
                  <c:v>124</c:v>
                </c:pt>
                <c:pt idx="859">
                  <c:v>141</c:v>
                </c:pt>
                <c:pt idx="860">
                  <c:v>157</c:v>
                </c:pt>
                <c:pt idx="861">
                  <c:v>106</c:v>
                </c:pt>
                <c:pt idx="862">
                  <c:v>108</c:v>
                </c:pt>
                <c:pt idx="863">
                  <c:v>125</c:v>
                </c:pt>
                <c:pt idx="864">
                  <c:v>107</c:v>
                </c:pt>
                <c:pt idx="865">
                  <c:v>215</c:v>
                </c:pt>
                <c:pt idx="866">
                  <c:v>118</c:v>
                </c:pt>
                <c:pt idx="867">
                  <c:v>118</c:v>
                </c:pt>
                <c:pt idx="868">
                  <c:v>178</c:v>
                </c:pt>
                <c:pt idx="869">
                  <c:v>92</c:v>
                </c:pt>
                <c:pt idx="870">
                  <c:v>104</c:v>
                </c:pt>
                <c:pt idx="871">
                  <c:v>116</c:v>
                </c:pt>
                <c:pt idx="872">
                  <c:v>90</c:v>
                </c:pt>
                <c:pt idx="873">
                  <c:v>130</c:v>
                </c:pt>
                <c:pt idx="874">
                  <c:v>90</c:v>
                </c:pt>
                <c:pt idx="875">
                  <c:v>106</c:v>
                </c:pt>
                <c:pt idx="876">
                  <c:v>155</c:v>
                </c:pt>
                <c:pt idx="877">
                  <c:v>139</c:v>
                </c:pt>
                <c:pt idx="878">
                  <c:v>112</c:v>
                </c:pt>
                <c:pt idx="879">
                  <c:v>139</c:v>
                </c:pt>
                <c:pt idx="880">
                  <c:v>115</c:v>
                </c:pt>
                <c:pt idx="881">
                  <c:v>143</c:v>
                </c:pt>
                <c:pt idx="882">
                  <c:v>96</c:v>
                </c:pt>
                <c:pt idx="883">
                  <c:v>112</c:v>
                </c:pt>
                <c:pt idx="884">
                  <c:v>131</c:v>
                </c:pt>
                <c:pt idx="885">
                  <c:v>116</c:v>
                </c:pt>
                <c:pt idx="886">
                  <c:v>112</c:v>
                </c:pt>
                <c:pt idx="887">
                  <c:v>123</c:v>
                </c:pt>
                <c:pt idx="888">
                  <c:v>104</c:v>
                </c:pt>
                <c:pt idx="889">
                  <c:v>107</c:v>
                </c:pt>
                <c:pt idx="890">
                  <c:v>124</c:v>
                </c:pt>
                <c:pt idx="891">
                  <c:v>96</c:v>
                </c:pt>
                <c:pt idx="892">
                  <c:v>125</c:v>
                </c:pt>
                <c:pt idx="893">
                  <c:v>129</c:v>
                </c:pt>
                <c:pt idx="894">
                  <c:v>90</c:v>
                </c:pt>
                <c:pt idx="895">
                  <c:v>109</c:v>
                </c:pt>
                <c:pt idx="896">
                  <c:v>121</c:v>
                </c:pt>
                <c:pt idx="897">
                  <c:v>95</c:v>
                </c:pt>
                <c:pt idx="898">
                  <c:v>118</c:v>
                </c:pt>
                <c:pt idx="899">
                  <c:v>80</c:v>
                </c:pt>
                <c:pt idx="900">
                  <c:v>99</c:v>
                </c:pt>
                <c:pt idx="901">
                  <c:v>133</c:v>
                </c:pt>
                <c:pt idx="902">
                  <c:v>127</c:v>
                </c:pt>
                <c:pt idx="903">
                  <c:v>106</c:v>
                </c:pt>
                <c:pt idx="904">
                  <c:v>98</c:v>
                </c:pt>
                <c:pt idx="905">
                  <c:v>132</c:v>
                </c:pt>
                <c:pt idx="906">
                  <c:v>114</c:v>
                </c:pt>
                <c:pt idx="907">
                  <c:v>78</c:v>
                </c:pt>
                <c:pt idx="908">
                  <c:v>101</c:v>
                </c:pt>
                <c:pt idx="909">
                  <c:v>113</c:v>
                </c:pt>
                <c:pt idx="910">
                  <c:v>98</c:v>
                </c:pt>
                <c:pt idx="911">
                  <c:v>124</c:v>
                </c:pt>
                <c:pt idx="912">
                  <c:v>109</c:v>
                </c:pt>
                <c:pt idx="913">
                  <c:v>128</c:v>
                </c:pt>
                <c:pt idx="914">
                  <c:v>144</c:v>
                </c:pt>
                <c:pt idx="915">
                  <c:v>95</c:v>
                </c:pt>
                <c:pt idx="916">
                  <c:v>105</c:v>
                </c:pt>
                <c:pt idx="917">
                  <c:v>121</c:v>
                </c:pt>
                <c:pt idx="918">
                  <c:v>125</c:v>
                </c:pt>
                <c:pt idx="919">
                  <c:v>129</c:v>
                </c:pt>
                <c:pt idx="920">
                  <c:v>132</c:v>
                </c:pt>
                <c:pt idx="921">
                  <c:v>118</c:v>
                </c:pt>
                <c:pt idx="922">
                  <c:v>113</c:v>
                </c:pt>
                <c:pt idx="923">
                  <c:v>140</c:v>
                </c:pt>
                <c:pt idx="924">
                  <c:v>89</c:v>
                </c:pt>
                <c:pt idx="925">
                  <c:v>104</c:v>
                </c:pt>
                <c:pt idx="926">
                  <c:v>106</c:v>
                </c:pt>
                <c:pt idx="927">
                  <c:v>141</c:v>
                </c:pt>
                <c:pt idx="928">
                  <c:v>124</c:v>
                </c:pt>
                <c:pt idx="929">
                  <c:v>98</c:v>
                </c:pt>
                <c:pt idx="930">
                  <c:v>108</c:v>
                </c:pt>
                <c:pt idx="931">
                  <c:v>114</c:v>
                </c:pt>
                <c:pt idx="932">
                  <c:v>101</c:v>
                </c:pt>
                <c:pt idx="933">
                  <c:v>93</c:v>
                </c:pt>
                <c:pt idx="934">
                  <c:v>119</c:v>
                </c:pt>
                <c:pt idx="935">
                  <c:v>119</c:v>
                </c:pt>
                <c:pt idx="936">
                  <c:v>99</c:v>
                </c:pt>
                <c:pt idx="937">
                  <c:v>137</c:v>
                </c:pt>
                <c:pt idx="938">
                  <c:v>117</c:v>
                </c:pt>
                <c:pt idx="939">
                  <c:v>87</c:v>
                </c:pt>
                <c:pt idx="940">
                  <c:v>129</c:v>
                </c:pt>
                <c:pt idx="941">
                  <c:v>115</c:v>
                </c:pt>
                <c:pt idx="942">
                  <c:v>132</c:v>
                </c:pt>
                <c:pt idx="943">
                  <c:v>131</c:v>
                </c:pt>
                <c:pt idx="944">
                  <c:v>95</c:v>
                </c:pt>
                <c:pt idx="945">
                  <c:v>125</c:v>
                </c:pt>
                <c:pt idx="946">
                  <c:v>98</c:v>
                </c:pt>
                <c:pt idx="947">
                  <c:v>110</c:v>
                </c:pt>
                <c:pt idx="948">
                  <c:v>118</c:v>
                </c:pt>
                <c:pt idx="949">
                  <c:v>101</c:v>
                </c:pt>
                <c:pt idx="950">
                  <c:v>90</c:v>
                </c:pt>
                <c:pt idx="951">
                  <c:v>119</c:v>
                </c:pt>
                <c:pt idx="952">
                  <c:v>139</c:v>
                </c:pt>
                <c:pt idx="953">
                  <c:v>130</c:v>
                </c:pt>
                <c:pt idx="954">
                  <c:v>100</c:v>
                </c:pt>
                <c:pt idx="955">
                  <c:v>114</c:v>
                </c:pt>
                <c:pt idx="956">
                  <c:v>96</c:v>
                </c:pt>
                <c:pt idx="957">
                  <c:v>110</c:v>
                </c:pt>
                <c:pt idx="958">
                  <c:v>158</c:v>
                </c:pt>
                <c:pt idx="959">
                  <c:v>102</c:v>
                </c:pt>
                <c:pt idx="960">
                  <c:v>84</c:v>
                </c:pt>
                <c:pt idx="961">
                  <c:v>115</c:v>
                </c:pt>
                <c:pt idx="962">
                  <c:v>99</c:v>
                </c:pt>
                <c:pt idx="963">
                  <c:v>135</c:v>
                </c:pt>
                <c:pt idx="964">
                  <c:v>108</c:v>
                </c:pt>
                <c:pt idx="965">
                  <c:v>127</c:v>
                </c:pt>
                <c:pt idx="966">
                  <c:v>107</c:v>
                </c:pt>
                <c:pt idx="967">
                  <c:v>95</c:v>
                </c:pt>
                <c:pt idx="968">
                  <c:v>124</c:v>
                </c:pt>
                <c:pt idx="969">
                  <c:v>109</c:v>
                </c:pt>
                <c:pt idx="970">
                  <c:v>102</c:v>
                </c:pt>
                <c:pt idx="971">
                  <c:v>88</c:v>
                </c:pt>
                <c:pt idx="972">
                  <c:v>87</c:v>
                </c:pt>
                <c:pt idx="973">
                  <c:v>104</c:v>
                </c:pt>
                <c:pt idx="974">
                  <c:v>96</c:v>
                </c:pt>
                <c:pt idx="975">
                  <c:v>85</c:v>
                </c:pt>
                <c:pt idx="976">
                  <c:v>104</c:v>
                </c:pt>
                <c:pt idx="977">
                  <c:v>190</c:v>
                </c:pt>
                <c:pt idx="978">
                  <c:v>127</c:v>
                </c:pt>
                <c:pt idx="979">
                  <c:v>120</c:v>
                </c:pt>
                <c:pt idx="980">
                  <c:v>118</c:v>
                </c:pt>
                <c:pt idx="981">
                  <c:v>112</c:v>
                </c:pt>
                <c:pt idx="982">
                  <c:v>114</c:v>
                </c:pt>
                <c:pt idx="983">
                  <c:v>137</c:v>
                </c:pt>
                <c:pt idx="984">
                  <c:v>112</c:v>
                </c:pt>
                <c:pt idx="985">
                  <c:v>120</c:v>
                </c:pt>
                <c:pt idx="986">
                  <c:v>123</c:v>
                </c:pt>
                <c:pt idx="987">
                  <c:v>93</c:v>
                </c:pt>
                <c:pt idx="988">
                  <c:v>123</c:v>
                </c:pt>
                <c:pt idx="989">
                  <c:v>122</c:v>
                </c:pt>
                <c:pt idx="990">
                  <c:v>115</c:v>
                </c:pt>
                <c:pt idx="991">
                  <c:v>123</c:v>
                </c:pt>
                <c:pt idx="992">
                  <c:v>96</c:v>
                </c:pt>
                <c:pt idx="993">
                  <c:v>105</c:v>
                </c:pt>
                <c:pt idx="994">
                  <c:v>113</c:v>
                </c:pt>
                <c:pt idx="995">
                  <c:v>132</c:v>
                </c:pt>
                <c:pt idx="996">
                  <c:v>75</c:v>
                </c:pt>
                <c:pt idx="997">
                  <c:v>108</c:v>
                </c:pt>
                <c:pt idx="998">
                  <c:v>105</c:v>
                </c:pt>
                <c:pt idx="999">
                  <c:v>102</c:v>
                </c:pt>
                <c:pt idx="1000">
                  <c:v>118</c:v>
                </c:pt>
                <c:pt idx="1001">
                  <c:v>111</c:v>
                </c:pt>
                <c:pt idx="1002">
                  <c:v>81</c:v>
                </c:pt>
                <c:pt idx="1003">
                  <c:v>116</c:v>
                </c:pt>
                <c:pt idx="1004">
                  <c:v>86</c:v>
                </c:pt>
                <c:pt idx="1005">
                  <c:v>127</c:v>
                </c:pt>
                <c:pt idx="1006">
                  <c:v>91</c:v>
                </c:pt>
                <c:pt idx="1007">
                  <c:v>98</c:v>
                </c:pt>
                <c:pt idx="1008">
                  <c:v>84</c:v>
                </c:pt>
                <c:pt idx="1009">
                  <c:v>109</c:v>
                </c:pt>
                <c:pt idx="1010">
                  <c:v>93</c:v>
                </c:pt>
                <c:pt idx="1011">
                  <c:v>113</c:v>
                </c:pt>
                <c:pt idx="1012">
                  <c:v>141</c:v>
                </c:pt>
                <c:pt idx="1013">
                  <c:v>119</c:v>
                </c:pt>
                <c:pt idx="1014">
                  <c:v>97</c:v>
                </c:pt>
                <c:pt idx="1015">
                  <c:v>117</c:v>
                </c:pt>
                <c:pt idx="1016">
                  <c:v>101</c:v>
                </c:pt>
                <c:pt idx="1017">
                  <c:v>153</c:v>
                </c:pt>
                <c:pt idx="1018">
                  <c:v>122</c:v>
                </c:pt>
                <c:pt idx="1019">
                  <c:v>102</c:v>
                </c:pt>
                <c:pt idx="1020">
                  <c:v>83</c:v>
                </c:pt>
                <c:pt idx="1021">
                  <c:v>103</c:v>
                </c:pt>
                <c:pt idx="1022">
                  <c:v>110</c:v>
                </c:pt>
                <c:pt idx="1023">
                  <c:v>136</c:v>
                </c:pt>
                <c:pt idx="1024">
                  <c:v>91</c:v>
                </c:pt>
                <c:pt idx="1025">
                  <c:v>89</c:v>
                </c:pt>
                <c:pt idx="1026">
                  <c:v>107</c:v>
                </c:pt>
                <c:pt idx="1027">
                  <c:v>129</c:v>
                </c:pt>
                <c:pt idx="1028">
                  <c:v>95</c:v>
                </c:pt>
                <c:pt idx="1029">
                  <c:v>122</c:v>
                </c:pt>
                <c:pt idx="1030">
                  <c:v>110</c:v>
                </c:pt>
                <c:pt idx="1031">
                  <c:v>135</c:v>
                </c:pt>
                <c:pt idx="1032">
                  <c:v>95</c:v>
                </c:pt>
                <c:pt idx="1033">
                  <c:v>109</c:v>
                </c:pt>
                <c:pt idx="1034">
                  <c:v>93</c:v>
                </c:pt>
                <c:pt idx="1035">
                  <c:v>94</c:v>
                </c:pt>
                <c:pt idx="1036">
                  <c:v>117</c:v>
                </c:pt>
                <c:pt idx="1037">
                  <c:v>112</c:v>
                </c:pt>
                <c:pt idx="1038">
                  <c:v>111</c:v>
                </c:pt>
                <c:pt idx="1039">
                  <c:v>96</c:v>
                </c:pt>
                <c:pt idx="1040">
                  <c:v>141</c:v>
                </c:pt>
                <c:pt idx="1041">
                  <c:v>94</c:v>
                </c:pt>
                <c:pt idx="1042">
                  <c:v>87</c:v>
                </c:pt>
                <c:pt idx="1043">
                  <c:v>88</c:v>
                </c:pt>
                <c:pt idx="1044">
                  <c:v>177</c:v>
                </c:pt>
                <c:pt idx="1045">
                  <c:v>133</c:v>
                </c:pt>
                <c:pt idx="1046">
                  <c:v>119</c:v>
                </c:pt>
                <c:pt idx="1047">
                  <c:v>102</c:v>
                </c:pt>
                <c:pt idx="1048">
                  <c:v>101</c:v>
                </c:pt>
                <c:pt idx="1049">
                  <c:v>91</c:v>
                </c:pt>
                <c:pt idx="1050">
                  <c:v>117</c:v>
                </c:pt>
                <c:pt idx="1051">
                  <c:v>86</c:v>
                </c:pt>
                <c:pt idx="1052">
                  <c:v>124</c:v>
                </c:pt>
                <c:pt idx="1053">
                  <c:v>134</c:v>
                </c:pt>
                <c:pt idx="1054">
                  <c:v>100</c:v>
                </c:pt>
                <c:pt idx="1055">
                  <c:v>220</c:v>
                </c:pt>
                <c:pt idx="1056">
                  <c:v>212</c:v>
                </c:pt>
                <c:pt idx="1057">
                  <c:v>128</c:v>
                </c:pt>
                <c:pt idx="1058">
                  <c:v>106</c:v>
                </c:pt>
                <c:pt idx="1059">
                  <c:v>160</c:v>
                </c:pt>
                <c:pt idx="1060">
                  <c:v>114</c:v>
                </c:pt>
                <c:pt idx="1061">
                  <c:v>99</c:v>
                </c:pt>
                <c:pt idx="1062">
                  <c:v>74</c:v>
                </c:pt>
                <c:pt idx="1063">
                  <c:v>139</c:v>
                </c:pt>
                <c:pt idx="1064">
                  <c:v>103</c:v>
                </c:pt>
                <c:pt idx="1065">
                  <c:v>101</c:v>
                </c:pt>
                <c:pt idx="1066">
                  <c:v>130</c:v>
                </c:pt>
                <c:pt idx="1067">
                  <c:v>130</c:v>
                </c:pt>
                <c:pt idx="1068">
                  <c:v>110</c:v>
                </c:pt>
                <c:pt idx="1069">
                  <c:v>147</c:v>
                </c:pt>
                <c:pt idx="1070">
                  <c:v>96</c:v>
                </c:pt>
                <c:pt idx="1071">
                  <c:v>118</c:v>
                </c:pt>
                <c:pt idx="1072">
                  <c:v>88</c:v>
                </c:pt>
                <c:pt idx="1073">
                  <c:v>325</c:v>
                </c:pt>
                <c:pt idx="1074">
                  <c:v>102</c:v>
                </c:pt>
                <c:pt idx="1075">
                  <c:v>110</c:v>
                </c:pt>
                <c:pt idx="1076">
                  <c:v>136</c:v>
                </c:pt>
                <c:pt idx="1077">
                  <c:v>103</c:v>
                </c:pt>
                <c:pt idx="1078">
                  <c:v>103</c:v>
                </c:pt>
                <c:pt idx="1079">
                  <c:v>90</c:v>
                </c:pt>
                <c:pt idx="1080">
                  <c:v>154</c:v>
                </c:pt>
                <c:pt idx="1081">
                  <c:v>99</c:v>
                </c:pt>
                <c:pt idx="1082">
                  <c:v>93</c:v>
                </c:pt>
                <c:pt idx="1083">
                  <c:v>109</c:v>
                </c:pt>
                <c:pt idx="1084">
                  <c:v>124</c:v>
                </c:pt>
                <c:pt idx="1085">
                  <c:v>84</c:v>
                </c:pt>
                <c:pt idx="1086">
                  <c:v>90</c:v>
                </c:pt>
                <c:pt idx="1087">
                  <c:v>117</c:v>
                </c:pt>
                <c:pt idx="1088">
                  <c:v>123</c:v>
                </c:pt>
                <c:pt idx="1089">
                  <c:v>251</c:v>
                </c:pt>
                <c:pt idx="1090">
                  <c:v>105</c:v>
                </c:pt>
                <c:pt idx="1091">
                  <c:v>115</c:v>
                </c:pt>
                <c:pt idx="1092">
                  <c:v>122</c:v>
                </c:pt>
                <c:pt idx="1093">
                  <c:v>119</c:v>
                </c:pt>
                <c:pt idx="1094">
                  <c:v>81</c:v>
                </c:pt>
                <c:pt idx="1095">
                  <c:v>133</c:v>
                </c:pt>
                <c:pt idx="1096">
                  <c:v>100</c:v>
                </c:pt>
                <c:pt idx="1097">
                  <c:v>120</c:v>
                </c:pt>
                <c:pt idx="1098">
                  <c:v>104</c:v>
                </c:pt>
                <c:pt idx="1099">
                  <c:v>122</c:v>
                </c:pt>
                <c:pt idx="1100">
                  <c:v>80</c:v>
                </c:pt>
                <c:pt idx="1101">
                  <c:v>91</c:v>
                </c:pt>
                <c:pt idx="1102">
                  <c:v>112</c:v>
                </c:pt>
                <c:pt idx="1103">
                  <c:v>100</c:v>
                </c:pt>
                <c:pt idx="1104">
                  <c:v>105</c:v>
                </c:pt>
                <c:pt idx="1105">
                  <c:v>110</c:v>
                </c:pt>
                <c:pt idx="1106">
                  <c:v>144</c:v>
                </c:pt>
                <c:pt idx="1107">
                  <c:v>108</c:v>
                </c:pt>
                <c:pt idx="1108">
                  <c:v>107</c:v>
                </c:pt>
                <c:pt idx="1109">
                  <c:v>102</c:v>
                </c:pt>
                <c:pt idx="1110">
                  <c:v>100</c:v>
                </c:pt>
                <c:pt idx="1111">
                  <c:v>126</c:v>
                </c:pt>
                <c:pt idx="1112">
                  <c:v>138</c:v>
                </c:pt>
                <c:pt idx="1113">
                  <c:v>108</c:v>
                </c:pt>
                <c:pt idx="1114">
                  <c:v>105</c:v>
                </c:pt>
                <c:pt idx="1115">
                  <c:v>108</c:v>
                </c:pt>
                <c:pt idx="1116">
                  <c:v>89</c:v>
                </c:pt>
                <c:pt idx="1117">
                  <c:v>129</c:v>
                </c:pt>
                <c:pt idx="1118">
                  <c:v>84</c:v>
                </c:pt>
                <c:pt idx="1119">
                  <c:v>149</c:v>
                </c:pt>
                <c:pt idx="1120">
                  <c:v>94</c:v>
                </c:pt>
                <c:pt idx="1121">
                  <c:v>121</c:v>
                </c:pt>
                <c:pt idx="1122">
                  <c:v>128</c:v>
                </c:pt>
                <c:pt idx="1123">
                  <c:v>134</c:v>
                </c:pt>
                <c:pt idx="1124">
                  <c:v>120</c:v>
                </c:pt>
                <c:pt idx="1125">
                  <c:v>129</c:v>
                </c:pt>
                <c:pt idx="1126">
                  <c:v>89</c:v>
                </c:pt>
                <c:pt idx="1127">
                  <c:v>116</c:v>
                </c:pt>
                <c:pt idx="1128">
                  <c:v>118</c:v>
                </c:pt>
                <c:pt idx="1129">
                  <c:v>107</c:v>
                </c:pt>
                <c:pt idx="1130">
                  <c:v>155</c:v>
                </c:pt>
                <c:pt idx="1131">
                  <c:v>123</c:v>
                </c:pt>
                <c:pt idx="1132">
                  <c:v>128</c:v>
                </c:pt>
                <c:pt idx="1133">
                  <c:v>139</c:v>
                </c:pt>
                <c:pt idx="1134">
                  <c:v>109</c:v>
                </c:pt>
                <c:pt idx="1135">
                  <c:v>120</c:v>
                </c:pt>
                <c:pt idx="1136">
                  <c:v>121</c:v>
                </c:pt>
                <c:pt idx="1137">
                  <c:v>102</c:v>
                </c:pt>
                <c:pt idx="1138">
                  <c:v>117</c:v>
                </c:pt>
                <c:pt idx="1139">
                  <c:v>178</c:v>
                </c:pt>
                <c:pt idx="1140">
                  <c:v>147</c:v>
                </c:pt>
                <c:pt idx="1141">
                  <c:v>90</c:v>
                </c:pt>
                <c:pt idx="1142">
                  <c:v>105</c:v>
                </c:pt>
                <c:pt idx="1143">
                  <c:v>114</c:v>
                </c:pt>
                <c:pt idx="1144">
                  <c:v>206</c:v>
                </c:pt>
                <c:pt idx="1145">
                  <c:v>99</c:v>
                </c:pt>
                <c:pt idx="1146">
                  <c:v>123</c:v>
                </c:pt>
                <c:pt idx="1147">
                  <c:v>102</c:v>
                </c:pt>
                <c:pt idx="1148">
                  <c:v>109</c:v>
                </c:pt>
                <c:pt idx="1149">
                  <c:v>82</c:v>
                </c:pt>
                <c:pt idx="1150">
                  <c:v>142</c:v>
                </c:pt>
                <c:pt idx="1151">
                  <c:v>106</c:v>
                </c:pt>
                <c:pt idx="1152">
                  <c:v>106</c:v>
                </c:pt>
                <c:pt idx="1153">
                  <c:v>108</c:v>
                </c:pt>
                <c:pt idx="1154">
                  <c:v>98</c:v>
                </c:pt>
                <c:pt idx="1155">
                  <c:v>131</c:v>
                </c:pt>
                <c:pt idx="1156">
                  <c:v>118</c:v>
                </c:pt>
                <c:pt idx="1157">
                  <c:v>113</c:v>
                </c:pt>
                <c:pt idx="1158">
                  <c:v>130</c:v>
                </c:pt>
                <c:pt idx="1159">
                  <c:v>116</c:v>
                </c:pt>
                <c:pt idx="1160">
                  <c:v>89</c:v>
                </c:pt>
                <c:pt idx="1161">
                  <c:v>139</c:v>
                </c:pt>
                <c:pt idx="1162">
                  <c:v>130</c:v>
                </c:pt>
                <c:pt idx="1163">
                  <c:v>107</c:v>
                </c:pt>
                <c:pt idx="1164">
                  <c:v>116</c:v>
                </c:pt>
                <c:pt idx="1165">
                  <c:v>96</c:v>
                </c:pt>
                <c:pt idx="1166">
                  <c:v>99</c:v>
                </c:pt>
                <c:pt idx="1167">
                  <c:v>104</c:v>
                </c:pt>
                <c:pt idx="1168">
                  <c:v>105</c:v>
                </c:pt>
                <c:pt idx="1169">
                  <c:v>101</c:v>
                </c:pt>
                <c:pt idx="1170">
                  <c:v>134</c:v>
                </c:pt>
                <c:pt idx="1171">
                  <c:v>135</c:v>
                </c:pt>
                <c:pt idx="1172">
                  <c:v>98</c:v>
                </c:pt>
                <c:pt idx="1173">
                  <c:v>155</c:v>
                </c:pt>
                <c:pt idx="1174">
                  <c:v>106</c:v>
                </c:pt>
                <c:pt idx="1175">
                  <c:v>102</c:v>
                </c:pt>
                <c:pt idx="1176">
                  <c:v>95</c:v>
                </c:pt>
                <c:pt idx="1177">
                  <c:v>103</c:v>
                </c:pt>
                <c:pt idx="1178">
                  <c:v>109</c:v>
                </c:pt>
                <c:pt idx="1179">
                  <c:v>95</c:v>
                </c:pt>
                <c:pt idx="1180">
                  <c:v>111</c:v>
                </c:pt>
                <c:pt idx="1181">
                  <c:v>123</c:v>
                </c:pt>
                <c:pt idx="1182">
                  <c:v>140</c:v>
                </c:pt>
                <c:pt idx="1183">
                  <c:v>94</c:v>
                </c:pt>
                <c:pt idx="1184">
                  <c:v>94</c:v>
                </c:pt>
                <c:pt idx="1185">
                  <c:v>92</c:v>
                </c:pt>
                <c:pt idx="1186">
                  <c:v>102</c:v>
                </c:pt>
                <c:pt idx="1187">
                  <c:v>123</c:v>
                </c:pt>
                <c:pt idx="1188">
                  <c:v>104</c:v>
                </c:pt>
                <c:pt idx="1189">
                  <c:v>102</c:v>
                </c:pt>
                <c:pt idx="1190">
                  <c:v>136</c:v>
                </c:pt>
                <c:pt idx="1191">
                  <c:v>93</c:v>
                </c:pt>
                <c:pt idx="1192">
                  <c:v>129</c:v>
                </c:pt>
                <c:pt idx="1193">
                  <c:v>107</c:v>
                </c:pt>
                <c:pt idx="1194">
                  <c:v>117</c:v>
                </c:pt>
                <c:pt idx="1195">
                  <c:v>116</c:v>
                </c:pt>
                <c:pt idx="1196">
                  <c:v>135</c:v>
                </c:pt>
                <c:pt idx="1197">
                  <c:v>107</c:v>
                </c:pt>
                <c:pt idx="1198">
                  <c:v>90</c:v>
                </c:pt>
                <c:pt idx="1199">
                  <c:v>99</c:v>
                </c:pt>
                <c:pt idx="1200">
                  <c:v>104</c:v>
                </c:pt>
                <c:pt idx="1201">
                  <c:v>115</c:v>
                </c:pt>
                <c:pt idx="1202">
                  <c:v>119</c:v>
                </c:pt>
                <c:pt idx="1203">
                  <c:v>99</c:v>
                </c:pt>
                <c:pt idx="1204">
                  <c:v>112</c:v>
                </c:pt>
                <c:pt idx="1205">
                  <c:v>128</c:v>
                </c:pt>
                <c:pt idx="1206">
                  <c:v>112</c:v>
                </c:pt>
                <c:pt idx="1207">
                  <c:v>86</c:v>
                </c:pt>
                <c:pt idx="1208">
                  <c:v>108</c:v>
                </c:pt>
                <c:pt idx="1209">
                  <c:v>128</c:v>
                </c:pt>
                <c:pt idx="1210">
                  <c:v>84</c:v>
                </c:pt>
                <c:pt idx="1211">
                  <c:v>111</c:v>
                </c:pt>
                <c:pt idx="1212">
                  <c:v>131</c:v>
                </c:pt>
                <c:pt idx="1213">
                  <c:v>123</c:v>
                </c:pt>
                <c:pt idx="1214">
                  <c:v>101</c:v>
                </c:pt>
                <c:pt idx="1215">
                  <c:v>102</c:v>
                </c:pt>
                <c:pt idx="1216">
                  <c:v>114</c:v>
                </c:pt>
                <c:pt idx="1217">
                  <c:v>107</c:v>
                </c:pt>
                <c:pt idx="1218">
                  <c:v>87</c:v>
                </c:pt>
                <c:pt idx="1219">
                  <c:v>103</c:v>
                </c:pt>
                <c:pt idx="1220">
                  <c:v>99</c:v>
                </c:pt>
                <c:pt idx="1221">
                  <c:v>122</c:v>
                </c:pt>
                <c:pt idx="1222">
                  <c:v>91</c:v>
                </c:pt>
                <c:pt idx="1223">
                  <c:v>103</c:v>
                </c:pt>
                <c:pt idx="1224">
                  <c:v>107</c:v>
                </c:pt>
                <c:pt idx="1225">
                  <c:v>106</c:v>
                </c:pt>
                <c:pt idx="1226">
                  <c:v>101</c:v>
                </c:pt>
                <c:pt idx="1227">
                  <c:v>109</c:v>
                </c:pt>
                <c:pt idx="1228">
                  <c:v>89</c:v>
                </c:pt>
                <c:pt idx="1229">
                  <c:v>119</c:v>
                </c:pt>
                <c:pt idx="1230">
                  <c:v>83</c:v>
                </c:pt>
                <c:pt idx="1231">
                  <c:v>108</c:v>
                </c:pt>
                <c:pt idx="1232">
                  <c:v>102</c:v>
                </c:pt>
                <c:pt idx="1233">
                  <c:v>93</c:v>
                </c:pt>
                <c:pt idx="1234">
                  <c:v>84</c:v>
                </c:pt>
                <c:pt idx="1235">
                  <c:v>107</c:v>
                </c:pt>
                <c:pt idx="1236">
                  <c:v>91</c:v>
                </c:pt>
                <c:pt idx="1237">
                  <c:v>94</c:v>
                </c:pt>
                <c:pt idx="1238">
                  <c:v>115</c:v>
                </c:pt>
                <c:pt idx="1239">
                  <c:v>93</c:v>
                </c:pt>
                <c:pt idx="1240">
                  <c:v>105</c:v>
                </c:pt>
                <c:pt idx="1241">
                  <c:v>107</c:v>
                </c:pt>
                <c:pt idx="1242">
                  <c:v>101</c:v>
                </c:pt>
                <c:pt idx="1243">
                  <c:v>111</c:v>
                </c:pt>
                <c:pt idx="1244">
                  <c:v>113</c:v>
                </c:pt>
                <c:pt idx="1245">
                  <c:v>112</c:v>
                </c:pt>
                <c:pt idx="1246">
                  <c:v>126</c:v>
                </c:pt>
                <c:pt idx="1247">
                  <c:v>98</c:v>
                </c:pt>
                <c:pt idx="1248">
                  <c:v>159</c:v>
                </c:pt>
                <c:pt idx="1249">
                  <c:v>107</c:v>
                </c:pt>
                <c:pt idx="1250">
                  <c:v>87</c:v>
                </c:pt>
                <c:pt idx="1251">
                  <c:v>119</c:v>
                </c:pt>
                <c:pt idx="1252">
                  <c:v>110</c:v>
                </c:pt>
                <c:pt idx="1253">
                  <c:v>125</c:v>
                </c:pt>
                <c:pt idx="1254">
                  <c:v>113</c:v>
                </c:pt>
                <c:pt idx="1255">
                  <c:v>150</c:v>
                </c:pt>
                <c:pt idx="1256">
                  <c:v>108</c:v>
                </c:pt>
                <c:pt idx="1257">
                  <c:v>96</c:v>
                </c:pt>
                <c:pt idx="1258">
                  <c:v>93</c:v>
                </c:pt>
                <c:pt idx="1259">
                  <c:v>100</c:v>
                </c:pt>
                <c:pt idx="1260">
                  <c:v>118</c:v>
                </c:pt>
                <c:pt idx="1261">
                  <c:v>122</c:v>
                </c:pt>
                <c:pt idx="1262">
                  <c:v>120</c:v>
                </c:pt>
                <c:pt idx="1263">
                  <c:v>146</c:v>
                </c:pt>
                <c:pt idx="1264">
                  <c:v>115</c:v>
                </c:pt>
                <c:pt idx="1265">
                  <c:v>123</c:v>
                </c:pt>
                <c:pt idx="1266">
                  <c:v>94</c:v>
                </c:pt>
                <c:pt idx="1267">
                  <c:v>102</c:v>
                </c:pt>
                <c:pt idx="1268">
                  <c:v>98</c:v>
                </c:pt>
                <c:pt idx="1269">
                  <c:v>133</c:v>
                </c:pt>
                <c:pt idx="1270">
                  <c:v>118</c:v>
                </c:pt>
                <c:pt idx="1271">
                  <c:v>105</c:v>
                </c:pt>
                <c:pt idx="1272">
                  <c:v>109</c:v>
                </c:pt>
                <c:pt idx="1273">
                  <c:v>129</c:v>
                </c:pt>
                <c:pt idx="1274">
                  <c:v>109</c:v>
                </c:pt>
                <c:pt idx="1275">
                  <c:v>127</c:v>
                </c:pt>
                <c:pt idx="1276">
                  <c:v>118</c:v>
                </c:pt>
                <c:pt idx="1277">
                  <c:v>110</c:v>
                </c:pt>
                <c:pt idx="1278">
                  <c:v>90</c:v>
                </c:pt>
                <c:pt idx="1279">
                  <c:v>144</c:v>
                </c:pt>
                <c:pt idx="1280">
                  <c:v>130</c:v>
                </c:pt>
                <c:pt idx="1281">
                  <c:v>112</c:v>
                </c:pt>
                <c:pt idx="1282">
                  <c:v>133</c:v>
                </c:pt>
                <c:pt idx="1283">
                  <c:v>150</c:v>
                </c:pt>
                <c:pt idx="1284">
                  <c:v>110</c:v>
                </c:pt>
                <c:pt idx="1285">
                  <c:v>96</c:v>
                </c:pt>
                <c:pt idx="1286">
                  <c:v>96</c:v>
                </c:pt>
                <c:pt idx="1287">
                  <c:v>123</c:v>
                </c:pt>
                <c:pt idx="1288">
                  <c:v>188</c:v>
                </c:pt>
                <c:pt idx="1289">
                  <c:v>107</c:v>
                </c:pt>
                <c:pt idx="1290">
                  <c:v>110</c:v>
                </c:pt>
                <c:pt idx="1291">
                  <c:v>113</c:v>
                </c:pt>
                <c:pt idx="1292">
                  <c:v>122</c:v>
                </c:pt>
                <c:pt idx="1293">
                  <c:v>116</c:v>
                </c:pt>
                <c:pt idx="1294">
                  <c:v>93</c:v>
                </c:pt>
                <c:pt idx="1295">
                  <c:v>118</c:v>
                </c:pt>
                <c:pt idx="1296">
                  <c:v>93</c:v>
                </c:pt>
                <c:pt idx="1297">
                  <c:v>121</c:v>
                </c:pt>
                <c:pt idx="1298">
                  <c:v>101</c:v>
                </c:pt>
                <c:pt idx="1299">
                  <c:v>107</c:v>
                </c:pt>
                <c:pt idx="1300">
                  <c:v>124</c:v>
                </c:pt>
                <c:pt idx="1301">
                  <c:v>109</c:v>
                </c:pt>
                <c:pt idx="1302">
                  <c:v>105</c:v>
                </c:pt>
                <c:pt idx="1303">
                  <c:v>130</c:v>
                </c:pt>
                <c:pt idx="1304">
                  <c:v>127</c:v>
                </c:pt>
                <c:pt idx="1305">
                  <c:v>114</c:v>
                </c:pt>
                <c:pt idx="1306">
                  <c:v>106</c:v>
                </c:pt>
                <c:pt idx="1307">
                  <c:v>95</c:v>
                </c:pt>
                <c:pt idx="1308">
                  <c:v>81</c:v>
                </c:pt>
                <c:pt idx="1309">
                  <c:v>95</c:v>
                </c:pt>
                <c:pt idx="1310">
                  <c:v>108</c:v>
                </c:pt>
                <c:pt idx="1311">
                  <c:v>105</c:v>
                </c:pt>
                <c:pt idx="1312">
                  <c:v>95</c:v>
                </c:pt>
                <c:pt idx="1313">
                  <c:v>126</c:v>
                </c:pt>
                <c:pt idx="1314">
                  <c:v>102</c:v>
                </c:pt>
                <c:pt idx="1315">
                  <c:v>121</c:v>
                </c:pt>
                <c:pt idx="1316">
                  <c:v>129</c:v>
                </c:pt>
                <c:pt idx="1317">
                  <c:v>88</c:v>
                </c:pt>
                <c:pt idx="1318">
                  <c:v>106</c:v>
                </c:pt>
                <c:pt idx="1319">
                  <c:v>110</c:v>
                </c:pt>
                <c:pt idx="1320">
                  <c:v>109</c:v>
                </c:pt>
                <c:pt idx="1321">
                  <c:v>143</c:v>
                </c:pt>
                <c:pt idx="1322">
                  <c:v>120</c:v>
                </c:pt>
                <c:pt idx="1323">
                  <c:v>128</c:v>
                </c:pt>
                <c:pt idx="1324">
                  <c:v>123</c:v>
                </c:pt>
                <c:pt idx="1325">
                  <c:v>129</c:v>
                </c:pt>
                <c:pt idx="1326">
                  <c:v>105</c:v>
                </c:pt>
                <c:pt idx="1327">
                  <c:v>162</c:v>
                </c:pt>
                <c:pt idx="1328">
                  <c:v>138</c:v>
                </c:pt>
                <c:pt idx="1329">
                  <c:v>100</c:v>
                </c:pt>
                <c:pt idx="1330">
                  <c:v>90</c:v>
                </c:pt>
                <c:pt idx="1331">
                  <c:v>108</c:v>
                </c:pt>
                <c:pt idx="1332">
                  <c:v>101</c:v>
                </c:pt>
                <c:pt idx="1333">
                  <c:v>109</c:v>
                </c:pt>
                <c:pt idx="1334">
                  <c:v>132</c:v>
                </c:pt>
                <c:pt idx="1335">
                  <c:v>123</c:v>
                </c:pt>
                <c:pt idx="1336">
                  <c:v>87</c:v>
                </c:pt>
                <c:pt idx="1337">
                  <c:v>109</c:v>
                </c:pt>
                <c:pt idx="1338">
                  <c:v>109</c:v>
                </c:pt>
                <c:pt idx="1339">
                  <c:v>92</c:v>
                </c:pt>
                <c:pt idx="1340">
                  <c:v>125</c:v>
                </c:pt>
                <c:pt idx="1341">
                  <c:v>202</c:v>
                </c:pt>
                <c:pt idx="1342">
                  <c:v>134</c:v>
                </c:pt>
                <c:pt idx="1343">
                  <c:v>88</c:v>
                </c:pt>
                <c:pt idx="1344">
                  <c:v>92</c:v>
                </c:pt>
                <c:pt idx="1345">
                  <c:v>91</c:v>
                </c:pt>
                <c:pt idx="1346">
                  <c:v>75</c:v>
                </c:pt>
                <c:pt idx="1347">
                  <c:v>98</c:v>
                </c:pt>
                <c:pt idx="1348">
                  <c:v>147</c:v>
                </c:pt>
                <c:pt idx="1349">
                  <c:v>100</c:v>
                </c:pt>
                <c:pt idx="1350">
                  <c:v>120</c:v>
                </c:pt>
                <c:pt idx="1351">
                  <c:v>104</c:v>
                </c:pt>
                <c:pt idx="1352">
                  <c:v>103</c:v>
                </c:pt>
                <c:pt idx="1353">
                  <c:v>109</c:v>
                </c:pt>
                <c:pt idx="1354">
                  <c:v>104</c:v>
                </c:pt>
                <c:pt idx="1355">
                  <c:v>112</c:v>
                </c:pt>
                <c:pt idx="1356">
                  <c:v>95</c:v>
                </c:pt>
                <c:pt idx="1357">
                  <c:v>102</c:v>
                </c:pt>
                <c:pt idx="1358">
                  <c:v>150</c:v>
                </c:pt>
                <c:pt idx="1359">
                  <c:v>101</c:v>
                </c:pt>
                <c:pt idx="1360">
                  <c:v>108</c:v>
                </c:pt>
                <c:pt idx="1361">
                  <c:v>98</c:v>
                </c:pt>
                <c:pt idx="1362">
                  <c:v>137</c:v>
                </c:pt>
                <c:pt idx="1363">
                  <c:v>112</c:v>
                </c:pt>
                <c:pt idx="1364">
                  <c:v>101</c:v>
                </c:pt>
                <c:pt idx="1365">
                  <c:v>103</c:v>
                </c:pt>
                <c:pt idx="1366">
                  <c:v>101</c:v>
                </c:pt>
                <c:pt idx="1367">
                  <c:v>112</c:v>
                </c:pt>
                <c:pt idx="1368">
                  <c:v>102</c:v>
                </c:pt>
                <c:pt idx="1369">
                  <c:v>101</c:v>
                </c:pt>
                <c:pt idx="1370">
                  <c:v>155</c:v>
                </c:pt>
                <c:pt idx="1371">
                  <c:v>109</c:v>
                </c:pt>
                <c:pt idx="1372">
                  <c:v>140</c:v>
                </c:pt>
                <c:pt idx="1373">
                  <c:v>108</c:v>
                </c:pt>
                <c:pt idx="1374">
                  <c:v>96</c:v>
                </c:pt>
                <c:pt idx="1375">
                  <c:v>123</c:v>
                </c:pt>
                <c:pt idx="1376">
                  <c:v>106</c:v>
                </c:pt>
                <c:pt idx="1377">
                  <c:v>76</c:v>
                </c:pt>
                <c:pt idx="1378">
                  <c:v>107</c:v>
                </c:pt>
                <c:pt idx="1379">
                  <c:v>82</c:v>
                </c:pt>
                <c:pt idx="1380">
                  <c:v>109</c:v>
                </c:pt>
                <c:pt idx="1381">
                  <c:v>99</c:v>
                </c:pt>
                <c:pt idx="1382">
                  <c:v>91</c:v>
                </c:pt>
                <c:pt idx="1383">
                  <c:v>87</c:v>
                </c:pt>
                <c:pt idx="1384">
                  <c:v>125</c:v>
                </c:pt>
                <c:pt idx="1385">
                  <c:v>118</c:v>
                </c:pt>
                <c:pt idx="1386">
                  <c:v>98</c:v>
                </c:pt>
                <c:pt idx="1387">
                  <c:v>92</c:v>
                </c:pt>
                <c:pt idx="1388">
                  <c:v>92</c:v>
                </c:pt>
                <c:pt idx="1389">
                  <c:v>115</c:v>
                </c:pt>
                <c:pt idx="1390">
                  <c:v>120</c:v>
                </c:pt>
                <c:pt idx="1391">
                  <c:v>111</c:v>
                </c:pt>
                <c:pt idx="1392">
                  <c:v>94</c:v>
                </c:pt>
                <c:pt idx="1393">
                  <c:v>100</c:v>
                </c:pt>
                <c:pt idx="1394">
                  <c:v>101</c:v>
                </c:pt>
                <c:pt idx="1395">
                  <c:v>139</c:v>
                </c:pt>
                <c:pt idx="1396">
                  <c:v>91</c:v>
                </c:pt>
                <c:pt idx="1397">
                  <c:v>109</c:v>
                </c:pt>
                <c:pt idx="1398">
                  <c:v>102</c:v>
                </c:pt>
                <c:pt idx="1399">
                  <c:v>103</c:v>
                </c:pt>
                <c:pt idx="1400">
                  <c:v>83</c:v>
                </c:pt>
                <c:pt idx="1401">
                  <c:v>123</c:v>
                </c:pt>
                <c:pt idx="1402">
                  <c:v>101</c:v>
                </c:pt>
                <c:pt idx="1403">
                  <c:v>117</c:v>
                </c:pt>
                <c:pt idx="1404">
                  <c:v>114</c:v>
                </c:pt>
                <c:pt idx="1405">
                  <c:v>330</c:v>
                </c:pt>
                <c:pt idx="1406">
                  <c:v>121</c:v>
                </c:pt>
                <c:pt idx="1407">
                  <c:v>114</c:v>
                </c:pt>
                <c:pt idx="1408">
                  <c:v>148</c:v>
                </c:pt>
                <c:pt idx="1409">
                  <c:v>113</c:v>
                </c:pt>
                <c:pt idx="1410">
                  <c:v>91</c:v>
                </c:pt>
                <c:pt idx="1411">
                  <c:v>139</c:v>
                </c:pt>
                <c:pt idx="1412">
                  <c:v>96</c:v>
                </c:pt>
                <c:pt idx="1413">
                  <c:v>102</c:v>
                </c:pt>
                <c:pt idx="1414">
                  <c:v>96</c:v>
                </c:pt>
                <c:pt idx="1415">
                  <c:v>101</c:v>
                </c:pt>
                <c:pt idx="1416">
                  <c:v>128</c:v>
                </c:pt>
                <c:pt idx="1417">
                  <c:v>109</c:v>
                </c:pt>
                <c:pt idx="1418">
                  <c:v>114</c:v>
                </c:pt>
                <c:pt idx="1419">
                  <c:v>105</c:v>
                </c:pt>
                <c:pt idx="1420">
                  <c:v>141</c:v>
                </c:pt>
                <c:pt idx="1421">
                  <c:v>138</c:v>
                </c:pt>
                <c:pt idx="1422">
                  <c:v>101</c:v>
                </c:pt>
                <c:pt idx="1423">
                  <c:v>99</c:v>
                </c:pt>
                <c:pt idx="1424">
                  <c:v>85</c:v>
                </c:pt>
                <c:pt idx="1425">
                  <c:v>89</c:v>
                </c:pt>
                <c:pt idx="1426">
                  <c:v>99</c:v>
                </c:pt>
                <c:pt idx="1427">
                  <c:v>105</c:v>
                </c:pt>
                <c:pt idx="1428">
                  <c:v>97</c:v>
                </c:pt>
                <c:pt idx="1429">
                  <c:v>140</c:v>
                </c:pt>
                <c:pt idx="1430">
                  <c:v>118</c:v>
                </c:pt>
                <c:pt idx="1431">
                  <c:v>94</c:v>
                </c:pt>
                <c:pt idx="1432">
                  <c:v>124</c:v>
                </c:pt>
                <c:pt idx="1433">
                  <c:v>134</c:v>
                </c:pt>
                <c:pt idx="1434">
                  <c:v>113</c:v>
                </c:pt>
                <c:pt idx="1435">
                  <c:v>124</c:v>
                </c:pt>
                <c:pt idx="1436">
                  <c:v>97</c:v>
                </c:pt>
                <c:pt idx="1437">
                  <c:v>123</c:v>
                </c:pt>
                <c:pt idx="1438">
                  <c:v>99</c:v>
                </c:pt>
                <c:pt idx="1439">
                  <c:v>101</c:v>
                </c:pt>
                <c:pt idx="1440">
                  <c:v>92</c:v>
                </c:pt>
                <c:pt idx="1441">
                  <c:v>131</c:v>
                </c:pt>
                <c:pt idx="1442">
                  <c:v>107</c:v>
                </c:pt>
                <c:pt idx="1443">
                  <c:v>103</c:v>
                </c:pt>
                <c:pt idx="1444">
                  <c:v>129</c:v>
                </c:pt>
                <c:pt idx="1445">
                  <c:v>107</c:v>
                </c:pt>
                <c:pt idx="1446">
                  <c:v>89</c:v>
                </c:pt>
                <c:pt idx="1447">
                  <c:v>113</c:v>
                </c:pt>
                <c:pt idx="1448">
                  <c:v>93</c:v>
                </c:pt>
                <c:pt idx="1449">
                  <c:v>120</c:v>
                </c:pt>
                <c:pt idx="1450">
                  <c:v>98</c:v>
                </c:pt>
                <c:pt idx="1451">
                  <c:v>105</c:v>
                </c:pt>
                <c:pt idx="1452">
                  <c:v>98</c:v>
                </c:pt>
                <c:pt idx="1453">
                  <c:v>96</c:v>
                </c:pt>
                <c:pt idx="1454">
                  <c:v>87</c:v>
                </c:pt>
                <c:pt idx="1455">
                  <c:v>107</c:v>
                </c:pt>
                <c:pt idx="1456">
                  <c:v>90</c:v>
                </c:pt>
                <c:pt idx="1457">
                  <c:v>121</c:v>
                </c:pt>
                <c:pt idx="1458">
                  <c:v>119</c:v>
                </c:pt>
                <c:pt idx="1459">
                  <c:v>107</c:v>
                </c:pt>
                <c:pt idx="1460">
                  <c:v>110</c:v>
                </c:pt>
                <c:pt idx="1461">
                  <c:v>100</c:v>
                </c:pt>
                <c:pt idx="1462">
                  <c:v>75</c:v>
                </c:pt>
                <c:pt idx="1463">
                  <c:v>132</c:v>
                </c:pt>
                <c:pt idx="1464">
                  <c:v>105</c:v>
                </c:pt>
                <c:pt idx="1465">
                  <c:v>289</c:v>
                </c:pt>
                <c:pt idx="1466">
                  <c:v>102</c:v>
                </c:pt>
                <c:pt idx="1467">
                  <c:v>143</c:v>
                </c:pt>
                <c:pt idx="1468">
                  <c:v>113</c:v>
                </c:pt>
                <c:pt idx="1469">
                  <c:v>161</c:v>
                </c:pt>
                <c:pt idx="1470">
                  <c:v>138</c:v>
                </c:pt>
                <c:pt idx="1471">
                  <c:v>126</c:v>
                </c:pt>
                <c:pt idx="1472">
                  <c:v>99</c:v>
                </c:pt>
                <c:pt idx="1473">
                  <c:v>101</c:v>
                </c:pt>
                <c:pt idx="1474">
                  <c:v>103</c:v>
                </c:pt>
                <c:pt idx="1475">
                  <c:v>118</c:v>
                </c:pt>
                <c:pt idx="1476">
                  <c:v>99</c:v>
                </c:pt>
                <c:pt idx="1477">
                  <c:v>105</c:v>
                </c:pt>
                <c:pt idx="1478">
                  <c:v>113</c:v>
                </c:pt>
                <c:pt idx="1479">
                  <c:v>93</c:v>
                </c:pt>
                <c:pt idx="1480">
                  <c:v>108</c:v>
                </c:pt>
                <c:pt idx="1481">
                  <c:v>74</c:v>
                </c:pt>
                <c:pt idx="1482">
                  <c:v>116</c:v>
                </c:pt>
                <c:pt idx="1483">
                  <c:v>104</c:v>
                </c:pt>
                <c:pt idx="1484">
                  <c:v>106</c:v>
                </c:pt>
                <c:pt idx="1485">
                  <c:v>120</c:v>
                </c:pt>
                <c:pt idx="1486">
                  <c:v>135</c:v>
                </c:pt>
                <c:pt idx="1487">
                  <c:v>132</c:v>
                </c:pt>
                <c:pt idx="1488">
                  <c:v>92</c:v>
                </c:pt>
                <c:pt idx="1489">
                  <c:v>99</c:v>
                </c:pt>
                <c:pt idx="1490">
                  <c:v>90</c:v>
                </c:pt>
                <c:pt idx="1491">
                  <c:v>111</c:v>
                </c:pt>
                <c:pt idx="1492">
                  <c:v>103</c:v>
                </c:pt>
                <c:pt idx="1493">
                  <c:v>127</c:v>
                </c:pt>
                <c:pt idx="1494">
                  <c:v>112</c:v>
                </c:pt>
                <c:pt idx="1495">
                  <c:v>87</c:v>
                </c:pt>
                <c:pt idx="1496">
                  <c:v>138</c:v>
                </c:pt>
                <c:pt idx="1497">
                  <c:v>132</c:v>
                </c:pt>
                <c:pt idx="1498">
                  <c:v>103</c:v>
                </c:pt>
                <c:pt idx="1499">
                  <c:v>123</c:v>
                </c:pt>
                <c:pt idx="1500">
                  <c:v>111</c:v>
                </c:pt>
                <c:pt idx="1501">
                  <c:v>102</c:v>
                </c:pt>
                <c:pt idx="1502">
                  <c:v>78</c:v>
                </c:pt>
                <c:pt idx="1503">
                  <c:v>132</c:v>
                </c:pt>
                <c:pt idx="1504">
                  <c:v>133</c:v>
                </c:pt>
                <c:pt idx="1505">
                  <c:v>108</c:v>
                </c:pt>
                <c:pt idx="1506">
                  <c:v>125</c:v>
                </c:pt>
                <c:pt idx="1507">
                  <c:v>98</c:v>
                </c:pt>
                <c:pt idx="1508">
                  <c:v>119</c:v>
                </c:pt>
                <c:pt idx="1509">
                  <c:v>87</c:v>
                </c:pt>
                <c:pt idx="1510">
                  <c:v>91</c:v>
                </c:pt>
                <c:pt idx="1511">
                  <c:v>100</c:v>
                </c:pt>
                <c:pt idx="1512">
                  <c:v>118</c:v>
                </c:pt>
                <c:pt idx="1513">
                  <c:v>109</c:v>
                </c:pt>
                <c:pt idx="1514">
                  <c:v>99</c:v>
                </c:pt>
                <c:pt idx="1515">
                  <c:v>114</c:v>
                </c:pt>
                <c:pt idx="1516">
                  <c:v>89</c:v>
                </c:pt>
                <c:pt idx="1517">
                  <c:v>95</c:v>
                </c:pt>
                <c:pt idx="1518">
                  <c:v>98</c:v>
                </c:pt>
                <c:pt idx="1519">
                  <c:v>94</c:v>
                </c:pt>
                <c:pt idx="1520">
                  <c:v>85</c:v>
                </c:pt>
                <c:pt idx="1521">
                  <c:v>124</c:v>
                </c:pt>
                <c:pt idx="1522">
                  <c:v>131</c:v>
                </c:pt>
                <c:pt idx="1523">
                  <c:v>107</c:v>
                </c:pt>
                <c:pt idx="1524">
                  <c:v>99</c:v>
                </c:pt>
                <c:pt idx="1525">
                  <c:v>83</c:v>
                </c:pt>
                <c:pt idx="1526">
                  <c:v>131</c:v>
                </c:pt>
                <c:pt idx="1527">
                  <c:v>85</c:v>
                </c:pt>
                <c:pt idx="1528">
                  <c:v>126</c:v>
                </c:pt>
                <c:pt idx="1529">
                  <c:v>123</c:v>
                </c:pt>
                <c:pt idx="1530">
                  <c:v>105</c:v>
                </c:pt>
                <c:pt idx="1531">
                  <c:v>125</c:v>
                </c:pt>
                <c:pt idx="1532">
                  <c:v>77</c:v>
                </c:pt>
                <c:pt idx="1533">
                  <c:v>121</c:v>
                </c:pt>
                <c:pt idx="1534">
                  <c:v>124</c:v>
                </c:pt>
                <c:pt idx="1535">
                  <c:v>99</c:v>
                </c:pt>
                <c:pt idx="1536">
                  <c:v>112</c:v>
                </c:pt>
                <c:pt idx="1537">
                  <c:v>111</c:v>
                </c:pt>
                <c:pt idx="1538">
                  <c:v>107</c:v>
                </c:pt>
                <c:pt idx="1539">
                  <c:v>104</c:v>
                </c:pt>
                <c:pt idx="1540">
                  <c:v>113</c:v>
                </c:pt>
                <c:pt idx="1541">
                  <c:v>113</c:v>
                </c:pt>
                <c:pt idx="1542">
                  <c:v>95</c:v>
                </c:pt>
                <c:pt idx="1543">
                  <c:v>86</c:v>
                </c:pt>
                <c:pt idx="1544">
                  <c:v>126</c:v>
                </c:pt>
                <c:pt idx="1545">
                  <c:v>101</c:v>
                </c:pt>
                <c:pt idx="1546">
                  <c:v>102</c:v>
                </c:pt>
                <c:pt idx="1547">
                  <c:v>111</c:v>
                </c:pt>
                <c:pt idx="1548">
                  <c:v>95</c:v>
                </c:pt>
                <c:pt idx="1549">
                  <c:v>98</c:v>
                </c:pt>
                <c:pt idx="1550">
                  <c:v>100</c:v>
                </c:pt>
                <c:pt idx="1551">
                  <c:v>118</c:v>
                </c:pt>
                <c:pt idx="1552">
                  <c:v>125</c:v>
                </c:pt>
                <c:pt idx="1553">
                  <c:v>94</c:v>
                </c:pt>
                <c:pt idx="1554">
                  <c:v>79</c:v>
                </c:pt>
                <c:pt idx="1555">
                  <c:v>106</c:v>
                </c:pt>
                <c:pt idx="1556">
                  <c:v>63</c:v>
                </c:pt>
                <c:pt idx="1557">
                  <c:v>85</c:v>
                </c:pt>
                <c:pt idx="1558">
                  <c:v>108</c:v>
                </c:pt>
                <c:pt idx="1559">
                  <c:v>139</c:v>
                </c:pt>
                <c:pt idx="1560">
                  <c:v>127</c:v>
                </c:pt>
                <c:pt idx="1561">
                  <c:v>106</c:v>
                </c:pt>
                <c:pt idx="1562">
                  <c:v>95</c:v>
                </c:pt>
                <c:pt idx="1563">
                  <c:v>118</c:v>
                </c:pt>
                <c:pt idx="1564">
                  <c:v>108</c:v>
                </c:pt>
                <c:pt idx="1565">
                  <c:v>105</c:v>
                </c:pt>
                <c:pt idx="1566">
                  <c:v>131</c:v>
                </c:pt>
                <c:pt idx="1567">
                  <c:v>104</c:v>
                </c:pt>
                <c:pt idx="1568">
                  <c:v>133</c:v>
                </c:pt>
                <c:pt idx="1569">
                  <c:v>94</c:v>
                </c:pt>
                <c:pt idx="1570">
                  <c:v>109</c:v>
                </c:pt>
                <c:pt idx="1571">
                  <c:v>96</c:v>
                </c:pt>
                <c:pt idx="1572">
                  <c:v>105</c:v>
                </c:pt>
                <c:pt idx="1573">
                  <c:v>99</c:v>
                </c:pt>
                <c:pt idx="1574">
                  <c:v>112</c:v>
                </c:pt>
                <c:pt idx="1575">
                  <c:v>108</c:v>
                </c:pt>
                <c:pt idx="1576">
                  <c:v>126</c:v>
                </c:pt>
                <c:pt idx="1577">
                  <c:v>98</c:v>
                </c:pt>
                <c:pt idx="1578">
                  <c:v>104</c:v>
                </c:pt>
                <c:pt idx="1579">
                  <c:v>110</c:v>
                </c:pt>
                <c:pt idx="1580">
                  <c:v>130</c:v>
                </c:pt>
                <c:pt idx="1581">
                  <c:v>93</c:v>
                </c:pt>
                <c:pt idx="1582">
                  <c:v>96</c:v>
                </c:pt>
                <c:pt idx="1583">
                  <c:v>114</c:v>
                </c:pt>
                <c:pt idx="1584">
                  <c:v>106</c:v>
                </c:pt>
                <c:pt idx="1585">
                  <c:v>150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107</c:v>
                </c:pt>
                <c:pt idx="1590">
                  <c:v>102</c:v>
                </c:pt>
                <c:pt idx="1591">
                  <c:v>101</c:v>
                </c:pt>
                <c:pt idx="1592">
                  <c:v>86</c:v>
                </c:pt>
                <c:pt idx="1593">
                  <c:v>108</c:v>
                </c:pt>
                <c:pt idx="1594">
                  <c:v>123</c:v>
                </c:pt>
                <c:pt idx="1595">
                  <c:v>88</c:v>
                </c:pt>
                <c:pt idx="1596">
                  <c:v>109</c:v>
                </c:pt>
                <c:pt idx="1597">
                  <c:v>122</c:v>
                </c:pt>
                <c:pt idx="1598">
                  <c:v>251</c:v>
                </c:pt>
                <c:pt idx="1599">
                  <c:v>118</c:v>
                </c:pt>
                <c:pt idx="1600">
                  <c:v>131</c:v>
                </c:pt>
                <c:pt idx="1601">
                  <c:v>109</c:v>
                </c:pt>
                <c:pt idx="1602">
                  <c:v>88</c:v>
                </c:pt>
                <c:pt idx="1603">
                  <c:v>103</c:v>
                </c:pt>
                <c:pt idx="1604">
                  <c:v>87</c:v>
                </c:pt>
                <c:pt idx="1605">
                  <c:v>160</c:v>
                </c:pt>
                <c:pt idx="1606">
                  <c:v>121</c:v>
                </c:pt>
                <c:pt idx="1607">
                  <c:v>129</c:v>
                </c:pt>
                <c:pt idx="1608">
                  <c:v>115</c:v>
                </c:pt>
                <c:pt idx="1609">
                  <c:v>153</c:v>
                </c:pt>
                <c:pt idx="1610">
                  <c:v>128</c:v>
                </c:pt>
                <c:pt idx="1611">
                  <c:v>89</c:v>
                </c:pt>
                <c:pt idx="1612">
                  <c:v>122</c:v>
                </c:pt>
                <c:pt idx="1613">
                  <c:v>99</c:v>
                </c:pt>
                <c:pt idx="1614">
                  <c:v>99</c:v>
                </c:pt>
                <c:pt idx="1615">
                  <c:v>147</c:v>
                </c:pt>
                <c:pt idx="1616">
                  <c:v>112</c:v>
                </c:pt>
                <c:pt idx="1617">
                  <c:v>88</c:v>
                </c:pt>
                <c:pt idx="1618">
                  <c:v>94</c:v>
                </c:pt>
                <c:pt idx="1619">
                  <c:v>90</c:v>
                </c:pt>
                <c:pt idx="1620">
                  <c:v>167</c:v>
                </c:pt>
                <c:pt idx="1621">
                  <c:v>118</c:v>
                </c:pt>
                <c:pt idx="1622">
                  <c:v>83</c:v>
                </c:pt>
                <c:pt idx="1623">
                  <c:v>104</c:v>
                </c:pt>
                <c:pt idx="1624">
                  <c:v>102</c:v>
                </c:pt>
                <c:pt idx="1625">
                  <c:v>131</c:v>
                </c:pt>
                <c:pt idx="1626">
                  <c:v>101</c:v>
                </c:pt>
                <c:pt idx="1627">
                  <c:v>130</c:v>
                </c:pt>
                <c:pt idx="1628">
                  <c:v>120</c:v>
                </c:pt>
                <c:pt idx="1629">
                  <c:v>135</c:v>
                </c:pt>
                <c:pt idx="1630">
                  <c:v>110</c:v>
                </c:pt>
                <c:pt idx="1631">
                  <c:v>103</c:v>
                </c:pt>
                <c:pt idx="1632">
                  <c:v>110</c:v>
                </c:pt>
                <c:pt idx="1633">
                  <c:v>91</c:v>
                </c:pt>
                <c:pt idx="1634">
                  <c:v>105</c:v>
                </c:pt>
                <c:pt idx="1635">
                  <c:v>127</c:v>
                </c:pt>
                <c:pt idx="1636">
                  <c:v>82</c:v>
                </c:pt>
                <c:pt idx="1637">
                  <c:v>99</c:v>
                </c:pt>
                <c:pt idx="1638">
                  <c:v>90</c:v>
                </c:pt>
                <c:pt idx="1639">
                  <c:v>115</c:v>
                </c:pt>
                <c:pt idx="1640">
                  <c:v>96</c:v>
                </c:pt>
                <c:pt idx="1641">
                  <c:v>104</c:v>
                </c:pt>
                <c:pt idx="1642">
                  <c:v>117</c:v>
                </c:pt>
                <c:pt idx="1643">
                  <c:v>83</c:v>
                </c:pt>
                <c:pt idx="1644">
                  <c:v>99</c:v>
                </c:pt>
                <c:pt idx="1645">
                  <c:v>81</c:v>
                </c:pt>
                <c:pt idx="1646">
                  <c:v>135</c:v>
                </c:pt>
                <c:pt idx="1647">
                  <c:v>117</c:v>
                </c:pt>
                <c:pt idx="1648">
                  <c:v>139</c:v>
                </c:pt>
                <c:pt idx="1649">
                  <c:v>123</c:v>
                </c:pt>
                <c:pt idx="1650">
                  <c:v>117</c:v>
                </c:pt>
                <c:pt idx="1651">
                  <c:v>97</c:v>
                </c:pt>
                <c:pt idx="1652">
                  <c:v>81</c:v>
                </c:pt>
                <c:pt idx="1653">
                  <c:v>103</c:v>
                </c:pt>
                <c:pt idx="1654">
                  <c:v>119</c:v>
                </c:pt>
                <c:pt idx="1655">
                  <c:v>94</c:v>
                </c:pt>
                <c:pt idx="1656">
                  <c:v>89</c:v>
                </c:pt>
                <c:pt idx="1657">
                  <c:v>98</c:v>
                </c:pt>
                <c:pt idx="1658">
                  <c:v>107</c:v>
                </c:pt>
                <c:pt idx="1659">
                  <c:v>108</c:v>
                </c:pt>
                <c:pt idx="1660">
                  <c:v>134</c:v>
                </c:pt>
                <c:pt idx="1661">
                  <c:v>110</c:v>
                </c:pt>
                <c:pt idx="1662">
                  <c:v>103</c:v>
                </c:pt>
                <c:pt idx="1663">
                  <c:v>100</c:v>
                </c:pt>
                <c:pt idx="1664">
                  <c:v>131</c:v>
                </c:pt>
                <c:pt idx="1665">
                  <c:v>133</c:v>
                </c:pt>
                <c:pt idx="1666">
                  <c:v>109</c:v>
                </c:pt>
                <c:pt idx="1667">
                  <c:v>114</c:v>
                </c:pt>
                <c:pt idx="1668">
                  <c:v>164</c:v>
                </c:pt>
                <c:pt idx="1669">
                  <c:v>92</c:v>
                </c:pt>
                <c:pt idx="1670">
                  <c:v>122</c:v>
                </c:pt>
                <c:pt idx="1671">
                  <c:v>110</c:v>
                </c:pt>
                <c:pt idx="1672">
                  <c:v>116</c:v>
                </c:pt>
                <c:pt idx="1673">
                  <c:v>115</c:v>
                </c:pt>
                <c:pt idx="1674">
                  <c:v>148</c:v>
                </c:pt>
                <c:pt idx="1675">
                  <c:v>118</c:v>
                </c:pt>
                <c:pt idx="1676">
                  <c:v>101</c:v>
                </c:pt>
                <c:pt idx="1677">
                  <c:v>82</c:v>
                </c:pt>
                <c:pt idx="1678">
                  <c:v>110</c:v>
                </c:pt>
                <c:pt idx="1679">
                  <c:v>193</c:v>
                </c:pt>
                <c:pt idx="1680">
                  <c:v>130</c:v>
                </c:pt>
                <c:pt idx="1681">
                  <c:v>111</c:v>
                </c:pt>
                <c:pt idx="1682">
                  <c:v>110</c:v>
                </c:pt>
                <c:pt idx="1683">
                  <c:v>123</c:v>
                </c:pt>
                <c:pt idx="1684">
                  <c:v>109</c:v>
                </c:pt>
                <c:pt idx="1685">
                  <c:v>99</c:v>
                </c:pt>
                <c:pt idx="1686">
                  <c:v>106</c:v>
                </c:pt>
                <c:pt idx="1687">
                  <c:v>89</c:v>
                </c:pt>
                <c:pt idx="1688">
                  <c:v>98</c:v>
                </c:pt>
                <c:pt idx="1689">
                  <c:v>93</c:v>
                </c:pt>
                <c:pt idx="1690">
                  <c:v>112</c:v>
                </c:pt>
                <c:pt idx="1691">
                  <c:v>101</c:v>
                </c:pt>
                <c:pt idx="1692">
                  <c:v>104</c:v>
                </c:pt>
                <c:pt idx="1693">
                  <c:v>120</c:v>
                </c:pt>
                <c:pt idx="1694">
                  <c:v>91</c:v>
                </c:pt>
                <c:pt idx="1695">
                  <c:v>97</c:v>
                </c:pt>
                <c:pt idx="1696">
                  <c:v>133</c:v>
                </c:pt>
                <c:pt idx="1697">
                  <c:v>123</c:v>
                </c:pt>
                <c:pt idx="1698">
                  <c:v>114</c:v>
                </c:pt>
                <c:pt idx="1699">
                  <c:v>111</c:v>
                </c:pt>
                <c:pt idx="1700">
                  <c:v>117</c:v>
                </c:pt>
                <c:pt idx="1701">
                  <c:v>121</c:v>
                </c:pt>
                <c:pt idx="1702">
                  <c:v>139</c:v>
                </c:pt>
                <c:pt idx="1703">
                  <c:v>115</c:v>
                </c:pt>
                <c:pt idx="1704">
                  <c:v>175</c:v>
                </c:pt>
                <c:pt idx="1705">
                  <c:v>85</c:v>
                </c:pt>
                <c:pt idx="1706">
                  <c:v>90</c:v>
                </c:pt>
                <c:pt idx="1707">
                  <c:v>107</c:v>
                </c:pt>
                <c:pt idx="1708">
                  <c:v>100</c:v>
                </c:pt>
                <c:pt idx="1709">
                  <c:v>129</c:v>
                </c:pt>
                <c:pt idx="1710">
                  <c:v>109</c:v>
                </c:pt>
                <c:pt idx="1711">
                  <c:v>94</c:v>
                </c:pt>
                <c:pt idx="1712">
                  <c:v>133</c:v>
                </c:pt>
                <c:pt idx="1713">
                  <c:v>105</c:v>
                </c:pt>
                <c:pt idx="1714">
                  <c:v>100</c:v>
                </c:pt>
                <c:pt idx="1715">
                  <c:v>113</c:v>
                </c:pt>
                <c:pt idx="1716">
                  <c:v>118</c:v>
                </c:pt>
                <c:pt idx="1717">
                  <c:v>110</c:v>
                </c:pt>
                <c:pt idx="1718">
                  <c:v>110</c:v>
                </c:pt>
                <c:pt idx="1719">
                  <c:v>99</c:v>
                </c:pt>
                <c:pt idx="1720">
                  <c:v>101</c:v>
                </c:pt>
                <c:pt idx="1721">
                  <c:v>103</c:v>
                </c:pt>
                <c:pt idx="1722">
                  <c:v>95</c:v>
                </c:pt>
                <c:pt idx="1723">
                  <c:v>117</c:v>
                </c:pt>
                <c:pt idx="1724">
                  <c:v>129</c:v>
                </c:pt>
                <c:pt idx="1725">
                  <c:v>120</c:v>
                </c:pt>
                <c:pt idx="1726">
                  <c:v>125</c:v>
                </c:pt>
                <c:pt idx="1727">
                  <c:v>133</c:v>
                </c:pt>
                <c:pt idx="1728">
                  <c:v>116</c:v>
                </c:pt>
                <c:pt idx="1729">
                  <c:v>129</c:v>
                </c:pt>
                <c:pt idx="1730">
                  <c:v>93</c:v>
                </c:pt>
                <c:pt idx="1731">
                  <c:v>118</c:v>
                </c:pt>
                <c:pt idx="1732">
                  <c:v>129</c:v>
                </c:pt>
                <c:pt idx="1733">
                  <c:v>185</c:v>
                </c:pt>
                <c:pt idx="1734">
                  <c:v>146</c:v>
                </c:pt>
                <c:pt idx="1735">
                  <c:v>128</c:v>
                </c:pt>
                <c:pt idx="1736">
                  <c:v>93</c:v>
                </c:pt>
                <c:pt idx="1737">
                  <c:v>97</c:v>
                </c:pt>
                <c:pt idx="1738">
                  <c:v>82</c:v>
                </c:pt>
                <c:pt idx="1739">
                  <c:v>85</c:v>
                </c:pt>
                <c:pt idx="1740">
                  <c:v>88</c:v>
                </c:pt>
                <c:pt idx="1741">
                  <c:v>119</c:v>
                </c:pt>
                <c:pt idx="1742">
                  <c:v>122</c:v>
                </c:pt>
                <c:pt idx="1743">
                  <c:v>99</c:v>
                </c:pt>
                <c:pt idx="1744">
                  <c:v>97</c:v>
                </c:pt>
                <c:pt idx="1745">
                  <c:v>121</c:v>
                </c:pt>
                <c:pt idx="1746">
                  <c:v>95</c:v>
                </c:pt>
                <c:pt idx="1747">
                  <c:v>105</c:v>
                </c:pt>
                <c:pt idx="1748">
                  <c:v>108</c:v>
                </c:pt>
                <c:pt idx="1749">
                  <c:v>134</c:v>
                </c:pt>
                <c:pt idx="1750">
                  <c:v>115</c:v>
                </c:pt>
                <c:pt idx="1751">
                  <c:v>86</c:v>
                </c:pt>
                <c:pt idx="1752">
                  <c:v>101</c:v>
                </c:pt>
                <c:pt idx="1753">
                  <c:v>96</c:v>
                </c:pt>
                <c:pt idx="1754">
                  <c:v>101</c:v>
                </c:pt>
                <c:pt idx="1755">
                  <c:v>100</c:v>
                </c:pt>
                <c:pt idx="1756">
                  <c:v>117</c:v>
                </c:pt>
                <c:pt idx="1757">
                  <c:v>101</c:v>
                </c:pt>
                <c:pt idx="1758">
                  <c:v>98</c:v>
                </c:pt>
                <c:pt idx="1759">
                  <c:v>146</c:v>
                </c:pt>
                <c:pt idx="1760">
                  <c:v>102</c:v>
                </c:pt>
                <c:pt idx="1761">
                  <c:v>97</c:v>
                </c:pt>
                <c:pt idx="1762">
                  <c:v>142</c:v>
                </c:pt>
                <c:pt idx="1763">
                  <c:v>98</c:v>
                </c:pt>
                <c:pt idx="1764">
                  <c:v>219</c:v>
                </c:pt>
                <c:pt idx="1765">
                  <c:v>109</c:v>
                </c:pt>
                <c:pt idx="1766">
                  <c:v>97</c:v>
                </c:pt>
                <c:pt idx="1767">
                  <c:v>158</c:v>
                </c:pt>
                <c:pt idx="1768">
                  <c:v>85</c:v>
                </c:pt>
                <c:pt idx="1769">
                  <c:v>80</c:v>
                </c:pt>
                <c:pt idx="1770">
                  <c:v>86</c:v>
                </c:pt>
                <c:pt idx="1771">
                  <c:v>119</c:v>
                </c:pt>
                <c:pt idx="1772">
                  <c:v>98</c:v>
                </c:pt>
                <c:pt idx="1773">
                  <c:v>97</c:v>
                </c:pt>
                <c:pt idx="1774">
                  <c:v>124</c:v>
                </c:pt>
                <c:pt idx="1775">
                  <c:v>97</c:v>
                </c:pt>
                <c:pt idx="1776">
                  <c:v>105</c:v>
                </c:pt>
                <c:pt idx="1777">
                  <c:v>104</c:v>
                </c:pt>
                <c:pt idx="1778">
                  <c:v>101</c:v>
                </c:pt>
                <c:pt idx="1779">
                  <c:v>101</c:v>
                </c:pt>
                <c:pt idx="1780">
                  <c:v>114</c:v>
                </c:pt>
                <c:pt idx="1781">
                  <c:v>105</c:v>
                </c:pt>
                <c:pt idx="1782">
                  <c:v>90</c:v>
                </c:pt>
                <c:pt idx="1783">
                  <c:v>97</c:v>
                </c:pt>
                <c:pt idx="1784">
                  <c:v>144</c:v>
                </c:pt>
                <c:pt idx="1785">
                  <c:v>114</c:v>
                </c:pt>
                <c:pt idx="1786">
                  <c:v>124</c:v>
                </c:pt>
                <c:pt idx="1787">
                  <c:v>89</c:v>
                </c:pt>
                <c:pt idx="1788">
                  <c:v>160</c:v>
                </c:pt>
                <c:pt idx="1789">
                  <c:v>93</c:v>
                </c:pt>
                <c:pt idx="1790">
                  <c:v>88</c:v>
                </c:pt>
                <c:pt idx="1791">
                  <c:v>142</c:v>
                </c:pt>
                <c:pt idx="1792">
                  <c:v>92</c:v>
                </c:pt>
                <c:pt idx="1793">
                  <c:v>117</c:v>
                </c:pt>
                <c:pt idx="1794">
                  <c:v>111</c:v>
                </c:pt>
                <c:pt idx="1795">
                  <c:v>121</c:v>
                </c:pt>
                <c:pt idx="1796">
                  <c:v>107</c:v>
                </c:pt>
                <c:pt idx="1797">
                  <c:v>106</c:v>
                </c:pt>
                <c:pt idx="1798">
                  <c:v>136</c:v>
                </c:pt>
                <c:pt idx="1799">
                  <c:v>97</c:v>
                </c:pt>
                <c:pt idx="1800">
                  <c:v>108</c:v>
                </c:pt>
                <c:pt idx="1801">
                  <c:v>97</c:v>
                </c:pt>
                <c:pt idx="1802">
                  <c:v>99</c:v>
                </c:pt>
                <c:pt idx="1803">
                  <c:v>103</c:v>
                </c:pt>
                <c:pt idx="1804">
                  <c:v>95</c:v>
                </c:pt>
                <c:pt idx="1805">
                  <c:v>93</c:v>
                </c:pt>
                <c:pt idx="1806">
                  <c:v>98</c:v>
                </c:pt>
                <c:pt idx="1807">
                  <c:v>90</c:v>
                </c:pt>
                <c:pt idx="1808">
                  <c:v>107</c:v>
                </c:pt>
                <c:pt idx="1809">
                  <c:v>90</c:v>
                </c:pt>
                <c:pt idx="1810">
                  <c:v>115</c:v>
                </c:pt>
                <c:pt idx="1811">
                  <c:v>93</c:v>
                </c:pt>
                <c:pt idx="1812">
                  <c:v>99</c:v>
                </c:pt>
                <c:pt idx="1813">
                  <c:v>107</c:v>
                </c:pt>
                <c:pt idx="1814">
                  <c:v>110</c:v>
                </c:pt>
                <c:pt idx="1815">
                  <c:v>101</c:v>
                </c:pt>
                <c:pt idx="1816">
                  <c:v>85</c:v>
                </c:pt>
                <c:pt idx="1817">
                  <c:v>132</c:v>
                </c:pt>
                <c:pt idx="1818">
                  <c:v>90</c:v>
                </c:pt>
                <c:pt idx="1819">
                  <c:v>145</c:v>
                </c:pt>
                <c:pt idx="1820">
                  <c:v>110</c:v>
                </c:pt>
                <c:pt idx="1821">
                  <c:v>122</c:v>
                </c:pt>
                <c:pt idx="1822">
                  <c:v>107</c:v>
                </c:pt>
                <c:pt idx="1823">
                  <c:v>127</c:v>
                </c:pt>
                <c:pt idx="1824">
                  <c:v>99</c:v>
                </c:pt>
                <c:pt idx="1825">
                  <c:v>140</c:v>
                </c:pt>
                <c:pt idx="1826">
                  <c:v>133</c:v>
                </c:pt>
                <c:pt idx="1827">
                  <c:v>271</c:v>
                </c:pt>
                <c:pt idx="1828">
                  <c:v>112</c:v>
                </c:pt>
                <c:pt idx="1829">
                  <c:v>99</c:v>
                </c:pt>
                <c:pt idx="1830">
                  <c:v>100</c:v>
                </c:pt>
                <c:pt idx="1831">
                  <c:v>92</c:v>
                </c:pt>
                <c:pt idx="1832">
                  <c:v>105</c:v>
                </c:pt>
                <c:pt idx="1833">
                  <c:v>110</c:v>
                </c:pt>
                <c:pt idx="1834">
                  <c:v>116</c:v>
                </c:pt>
                <c:pt idx="1835">
                  <c:v>88</c:v>
                </c:pt>
                <c:pt idx="1836">
                  <c:v>111</c:v>
                </c:pt>
                <c:pt idx="1837">
                  <c:v>95</c:v>
                </c:pt>
                <c:pt idx="1838">
                  <c:v>95</c:v>
                </c:pt>
                <c:pt idx="1839">
                  <c:v>127</c:v>
                </c:pt>
                <c:pt idx="1840">
                  <c:v>104</c:v>
                </c:pt>
                <c:pt idx="1841">
                  <c:v>95</c:v>
                </c:pt>
                <c:pt idx="1842">
                  <c:v>121</c:v>
                </c:pt>
                <c:pt idx="1843">
                  <c:v>92</c:v>
                </c:pt>
                <c:pt idx="1844">
                  <c:v>107</c:v>
                </c:pt>
                <c:pt idx="1845">
                  <c:v>117</c:v>
                </c:pt>
                <c:pt idx="1846">
                  <c:v>107</c:v>
                </c:pt>
                <c:pt idx="1847">
                  <c:v>131</c:v>
                </c:pt>
                <c:pt idx="1848">
                  <c:v>122</c:v>
                </c:pt>
                <c:pt idx="1849">
                  <c:v>134</c:v>
                </c:pt>
                <c:pt idx="1850">
                  <c:v>117</c:v>
                </c:pt>
                <c:pt idx="1851">
                  <c:v>138</c:v>
                </c:pt>
                <c:pt idx="1852">
                  <c:v>100</c:v>
                </c:pt>
                <c:pt idx="1853">
                  <c:v>119</c:v>
                </c:pt>
                <c:pt idx="1854">
                  <c:v>137</c:v>
                </c:pt>
                <c:pt idx="1855">
                  <c:v>119</c:v>
                </c:pt>
                <c:pt idx="1856">
                  <c:v>139</c:v>
                </c:pt>
                <c:pt idx="1857">
                  <c:v>120</c:v>
                </c:pt>
                <c:pt idx="1858">
                  <c:v>98</c:v>
                </c:pt>
                <c:pt idx="1859">
                  <c:v>106</c:v>
                </c:pt>
                <c:pt idx="1860">
                  <c:v>98</c:v>
                </c:pt>
                <c:pt idx="1861">
                  <c:v>107</c:v>
                </c:pt>
                <c:pt idx="1862">
                  <c:v>88</c:v>
                </c:pt>
                <c:pt idx="1863">
                  <c:v>137</c:v>
                </c:pt>
                <c:pt idx="1864">
                  <c:v>100</c:v>
                </c:pt>
                <c:pt idx="1865">
                  <c:v>115</c:v>
                </c:pt>
                <c:pt idx="1866">
                  <c:v>101</c:v>
                </c:pt>
                <c:pt idx="1867">
                  <c:v>110</c:v>
                </c:pt>
                <c:pt idx="1868">
                  <c:v>94</c:v>
                </c:pt>
                <c:pt idx="1869">
                  <c:v>88</c:v>
                </c:pt>
                <c:pt idx="1870">
                  <c:v>127</c:v>
                </c:pt>
                <c:pt idx="1871">
                  <c:v>95</c:v>
                </c:pt>
                <c:pt idx="1872">
                  <c:v>87</c:v>
                </c:pt>
                <c:pt idx="1873">
                  <c:v>118</c:v>
                </c:pt>
                <c:pt idx="1874">
                  <c:v>107</c:v>
                </c:pt>
                <c:pt idx="1875">
                  <c:v>124</c:v>
                </c:pt>
                <c:pt idx="1876">
                  <c:v>89</c:v>
                </c:pt>
                <c:pt idx="1877">
                  <c:v>88</c:v>
                </c:pt>
                <c:pt idx="1878">
                  <c:v>118</c:v>
                </c:pt>
                <c:pt idx="1879">
                  <c:v>93</c:v>
                </c:pt>
                <c:pt idx="1880">
                  <c:v>80</c:v>
                </c:pt>
                <c:pt idx="1881">
                  <c:v>120</c:v>
                </c:pt>
                <c:pt idx="1882">
                  <c:v>98</c:v>
                </c:pt>
                <c:pt idx="1883">
                  <c:v>119</c:v>
                </c:pt>
                <c:pt idx="1884">
                  <c:v>88</c:v>
                </c:pt>
                <c:pt idx="1885">
                  <c:v>90</c:v>
                </c:pt>
                <c:pt idx="1886">
                  <c:v>127</c:v>
                </c:pt>
                <c:pt idx="1887">
                  <c:v>119</c:v>
                </c:pt>
                <c:pt idx="1888">
                  <c:v>85</c:v>
                </c:pt>
                <c:pt idx="1889">
                  <c:v>98</c:v>
                </c:pt>
                <c:pt idx="1890">
                  <c:v>101</c:v>
                </c:pt>
                <c:pt idx="1891">
                  <c:v>112</c:v>
                </c:pt>
                <c:pt idx="1892">
                  <c:v>97</c:v>
                </c:pt>
                <c:pt idx="1893">
                  <c:v>126</c:v>
                </c:pt>
                <c:pt idx="1894">
                  <c:v>97</c:v>
                </c:pt>
                <c:pt idx="1895">
                  <c:v>100</c:v>
                </c:pt>
                <c:pt idx="1896">
                  <c:v>114</c:v>
                </c:pt>
                <c:pt idx="1897">
                  <c:v>88</c:v>
                </c:pt>
                <c:pt idx="1898">
                  <c:v>93</c:v>
                </c:pt>
                <c:pt idx="1899">
                  <c:v>92</c:v>
                </c:pt>
                <c:pt idx="1900">
                  <c:v>98</c:v>
                </c:pt>
                <c:pt idx="1901">
                  <c:v>94</c:v>
                </c:pt>
                <c:pt idx="1902">
                  <c:v>102</c:v>
                </c:pt>
                <c:pt idx="1903">
                  <c:v>98</c:v>
                </c:pt>
                <c:pt idx="1904">
                  <c:v>111</c:v>
                </c:pt>
                <c:pt idx="1905">
                  <c:v>100</c:v>
                </c:pt>
                <c:pt idx="1906">
                  <c:v>141</c:v>
                </c:pt>
                <c:pt idx="1907">
                  <c:v>114</c:v>
                </c:pt>
                <c:pt idx="1908">
                  <c:v>96</c:v>
                </c:pt>
                <c:pt idx="1909">
                  <c:v>111</c:v>
                </c:pt>
                <c:pt idx="1910">
                  <c:v>127</c:v>
                </c:pt>
                <c:pt idx="1911">
                  <c:v>107</c:v>
                </c:pt>
                <c:pt idx="1912">
                  <c:v>97</c:v>
                </c:pt>
                <c:pt idx="1913">
                  <c:v>127</c:v>
                </c:pt>
                <c:pt idx="1914">
                  <c:v>110</c:v>
                </c:pt>
                <c:pt idx="1915">
                  <c:v>135</c:v>
                </c:pt>
                <c:pt idx="1916">
                  <c:v>84</c:v>
                </c:pt>
                <c:pt idx="1917">
                  <c:v>122</c:v>
                </c:pt>
                <c:pt idx="1918">
                  <c:v>114</c:v>
                </c:pt>
                <c:pt idx="1919">
                  <c:v>132</c:v>
                </c:pt>
                <c:pt idx="1920">
                  <c:v>170</c:v>
                </c:pt>
                <c:pt idx="1921">
                  <c:v>133</c:v>
                </c:pt>
                <c:pt idx="1922">
                  <c:v>112</c:v>
                </c:pt>
                <c:pt idx="1923">
                  <c:v>108</c:v>
                </c:pt>
                <c:pt idx="1924">
                  <c:v>115</c:v>
                </c:pt>
                <c:pt idx="1925">
                  <c:v>83</c:v>
                </c:pt>
                <c:pt idx="1926">
                  <c:v>105</c:v>
                </c:pt>
                <c:pt idx="1927">
                  <c:v>96</c:v>
                </c:pt>
                <c:pt idx="1928">
                  <c:v>94</c:v>
                </c:pt>
                <c:pt idx="1929">
                  <c:v>142</c:v>
                </c:pt>
                <c:pt idx="1930">
                  <c:v>104</c:v>
                </c:pt>
                <c:pt idx="1931">
                  <c:v>106</c:v>
                </c:pt>
                <c:pt idx="1932">
                  <c:v>106</c:v>
                </c:pt>
                <c:pt idx="1933">
                  <c:v>98</c:v>
                </c:pt>
                <c:pt idx="1934">
                  <c:v>100</c:v>
                </c:pt>
                <c:pt idx="1935">
                  <c:v>95</c:v>
                </c:pt>
                <c:pt idx="1936">
                  <c:v>107</c:v>
                </c:pt>
                <c:pt idx="1937">
                  <c:v>104</c:v>
                </c:pt>
                <c:pt idx="1938">
                  <c:v>104</c:v>
                </c:pt>
                <c:pt idx="1939">
                  <c:v>143</c:v>
                </c:pt>
                <c:pt idx="1940">
                  <c:v>77</c:v>
                </c:pt>
                <c:pt idx="1941">
                  <c:v>96</c:v>
                </c:pt>
                <c:pt idx="1942">
                  <c:v>145</c:v>
                </c:pt>
                <c:pt idx="1943">
                  <c:v>116</c:v>
                </c:pt>
                <c:pt idx="1944">
                  <c:v>100</c:v>
                </c:pt>
                <c:pt idx="1945">
                  <c:v>104</c:v>
                </c:pt>
                <c:pt idx="1946">
                  <c:v>92</c:v>
                </c:pt>
                <c:pt idx="1947">
                  <c:v>105</c:v>
                </c:pt>
                <c:pt idx="1948">
                  <c:v>120</c:v>
                </c:pt>
                <c:pt idx="1949">
                  <c:v>116</c:v>
                </c:pt>
                <c:pt idx="1950">
                  <c:v>119</c:v>
                </c:pt>
                <c:pt idx="1951">
                  <c:v>101</c:v>
                </c:pt>
                <c:pt idx="1952">
                  <c:v>117</c:v>
                </c:pt>
                <c:pt idx="1953">
                  <c:v>112</c:v>
                </c:pt>
                <c:pt idx="1954">
                  <c:v>136</c:v>
                </c:pt>
                <c:pt idx="1955">
                  <c:v>81</c:v>
                </c:pt>
                <c:pt idx="1956">
                  <c:v>87</c:v>
                </c:pt>
                <c:pt idx="1957">
                  <c:v>96</c:v>
                </c:pt>
                <c:pt idx="1958">
                  <c:v>106</c:v>
                </c:pt>
                <c:pt idx="1959">
                  <c:v>122</c:v>
                </c:pt>
                <c:pt idx="1960">
                  <c:v>123</c:v>
                </c:pt>
                <c:pt idx="1961">
                  <c:v>92</c:v>
                </c:pt>
                <c:pt idx="1962">
                  <c:v>110</c:v>
                </c:pt>
                <c:pt idx="1963">
                  <c:v>104</c:v>
                </c:pt>
                <c:pt idx="1964">
                  <c:v>98</c:v>
                </c:pt>
                <c:pt idx="1965">
                  <c:v>120</c:v>
                </c:pt>
                <c:pt idx="1966">
                  <c:v>112</c:v>
                </c:pt>
                <c:pt idx="1967">
                  <c:v>127</c:v>
                </c:pt>
                <c:pt idx="1968">
                  <c:v>102</c:v>
                </c:pt>
                <c:pt idx="1969">
                  <c:v>91</c:v>
                </c:pt>
                <c:pt idx="1970">
                  <c:v>114</c:v>
                </c:pt>
                <c:pt idx="1971">
                  <c:v>115</c:v>
                </c:pt>
                <c:pt idx="1972">
                  <c:v>115</c:v>
                </c:pt>
                <c:pt idx="1973">
                  <c:v>120</c:v>
                </c:pt>
                <c:pt idx="1974">
                  <c:v>135</c:v>
                </c:pt>
                <c:pt idx="1975">
                  <c:v>90</c:v>
                </c:pt>
                <c:pt idx="1976">
                  <c:v>100</c:v>
                </c:pt>
                <c:pt idx="1977">
                  <c:v>105</c:v>
                </c:pt>
                <c:pt idx="1978">
                  <c:v>138</c:v>
                </c:pt>
                <c:pt idx="1979">
                  <c:v>94</c:v>
                </c:pt>
                <c:pt idx="1980">
                  <c:v>101</c:v>
                </c:pt>
                <c:pt idx="1981">
                  <c:v>131</c:v>
                </c:pt>
                <c:pt idx="1982">
                  <c:v>91</c:v>
                </c:pt>
                <c:pt idx="1983">
                  <c:v>112</c:v>
                </c:pt>
                <c:pt idx="1984">
                  <c:v>95</c:v>
                </c:pt>
                <c:pt idx="1985">
                  <c:v>100</c:v>
                </c:pt>
                <c:pt idx="1986">
                  <c:v>108</c:v>
                </c:pt>
                <c:pt idx="1987">
                  <c:v>101</c:v>
                </c:pt>
                <c:pt idx="1988">
                  <c:v>109</c:v>
                </c:pt>
                <c:pt idx="1989">
                  <c:v>115</c:v>
                </c:pt>
                <c:pt idx="1990">
                  <c:v>117</c:v>
                </c:pt>
                <c:pt idx="1991">
                  <c:v>107</c:v>
                </c:pt>
                <c:pt idx="1992">
                  <c:v>134</c:v>
                </c:pt>
                <c:pt idx="1993">
                  <c:v>118</c:v>
                </c:pt>
                <c:pt idx="1994">
                  <c:v>121</c:v>
                </c:pt>
                <c:pt idx="1995">
                  <c:v>105</c:v>
                </c:pt>
                <c:pt idx="1996">
                  <c:v>110</c:v>
                </c:pt>
                <c:pt idx="1997">
                  <c:v>114</c:v>
                </c:pt>
                <c:pt idx="1998">
                  <c:v>100</c:v>
                </c:pt>
                <c:pt idx="1999">
                  <c:v>85</c:v>
                </c:pt>
                <c:pt idx="2000">
                  <c:v>72</c:v>
                </c:pt>
                <c:pt idx="2001">
                  <c:v>128</c:v>
                </c:pt>
                <c:pt idx="2002">
                  <c:v>72</c:v>
                </c:pt>
                <c:pt idx="2003">
                  <c:v>89</c:v>
                </c:pt>
                <c:pt idx="2004">
                  <c:v>96</c:v>
                </c:pt>
                <c:pt idx="2005">
                  <c:v>77</c:v>
                </c:pt>
                <c:pt idx="2006">
                  <c:v>111</c:v>
                </c:pt>
                <c:pt idx="2007">
                  <c:v>93</c:v>
                </c:pt>
                <c:pt idx="2008">
                  <c:v>128</c:v>
                </c:pt>
                <c:pt idx="2009">
                  <c:v>110</c:v>
                </c:pt>
                <c:pt idx="2010">
                  <c:v>137</c:v>
                </c:pt>
                <c:pt idx="2011">
                  <c:v>124</c:v>
                </c:pt>
                <c:pt idx="2012">
                  <c:v>93</c:v>
                </c:pt>
                <c:pt idx="2013">
                  <c:v>115</c:v>
                </c:pt>
                <c:pt idx="2014">
                  <c:v>105</c:v>
                </c:pt>
                <c:pt idx="2015">
                  <c:v>127</c:v>
                </c:pt>
                <c:pt idx="2016">
                  <c:v>82</c:v>
                </c:pt>
                <c:pt idx="2017">
                  <c:v>143</c:v>
                </c:pt>
                <c:pt idx="2018">
                  <c:v>103</c:v>
                </c:pt>
                <c:pt idx="2019">
                  <c:v>104</c:v>
                </c:pt>
                <c:pt idx="2020">
                  <c:v>98</c:v>
                </c:pt>
                <c:pt idx="2021">
                  <c:v>92</c:v>
                </c:pt>
                <c:pt idx="2022">
                  <c:v>123</c:v>
                </c:pt>
                <c:pt idx="2023">
                  <c:v>88</c:v>
                </c:pt>
                <c:pt idx="2024">
                  <c:v>128</c:v>
                </c:pt>
                <c:pt idx="2025">
                  <c:v>107</c:v>
                </c:pt>
                <c:pt idx="2026">
                  <c:v>91</c:v>
                </c:pt>
                <c:pt idx="2027">
                  <c:v>90</c:v>
                </c:pt>
                <c:pt idx="2028">
                  <c:v>115</c:v>
                </c:pt>
                <c:pt idx="2029">
                  <c:v>113</c:v>
                </c:pt>
                <c:pt idx="2030">
                  <c:v>113</c:v>
                </c:pt>
                <c:pt idx="2031">
                  <c:v>87</c:v>
                </c:pt>
                <c:pt idx="2032">
                  <c:v>101</c:v>
                </c:pt>
                <c:pt idx="2033">
                  <c:v>111</c:v>
                </c:pt>
                <c:pt idx="2034">
                  <c:v>108</c:v>
                </c:pt>
                <c:pt idx="2035">
                  <c:v>105</c:v>
                </c:pt>
                <c:pt idx="2036">
                  <c:v>109</c:v>
                </c:pt>
                <c:pt idx="2037">
                  <c:v>109</c:v>
                </c:pt>
                <c:pt idx="2038">
                  <c:v>99</c:v>
                </c:pt>
                <c:pt idx="2039">
                  <c:v>98</c:v>
                </c:pt>
                <c:pt idx="2040">
                  <c:v>104</c:v>
                </c:pt>
                <c:pt idx="2041">
                  <c:v>109</c:v>
                </c:pt>
                <c:pt idx="2042">
                  <c:v>75</c:v>
                </c:pt>
                <c:pt idx="2043">
                  <c:v>119</c:v>
                </c:pt>
                <c:pt idx="2044">
                  <c:v>90</c:v>
                </c:pt>
                <c:pt idx="2045">
                  <c:v>97</c:v>
                </c:pt>
                <c:pt idx="2046">
                  <c:v>89</c:v>
                </c:pt>
                <c:pt idx="2047">
                  <c:v>106</c:v>
                </c:pt>
                <c:pt idx="2048">
                  <c:v>96</c:v>
                </c:pt>
                <c:pt idx="2049">
                  <c:v>104</c:v>
                </c:pt>
                <c:pt idx="2050">
                  <c:v>108</c:v>
                </c:pt>
                <c:pt idx="2051">
                  <c:v>112</c:v>
                </c:pt>
                <c:pt idx="2052">
                  <c:v>104</c:v>
                </c:pt>
                <c:pt idx="2053">
                  <c:v>113</c:v>
                </c:pt>
                <c:pt idx="2054">
                  <c:v>98</c:v>
                </c:pt>
                <c:pt idx="2055">
                  <c:v>114</c:v>
                </c:pt>
                <c:pt idx="2056">
                  <c:v>124</c:v>
                </c:pt>
                <c:pt idx="2057">
                  <c:v>148</c:v>
                </c:pt>
                <c:pt idx="2058">
                  <c:v>108</c:v>
                </c:pt>
                <c:pt idx="2059">
                  <c:v>95</c:v>
                </c:pt>
                <c:pt idx="2060">
                  <c:v>108</c:v>
                </c:pt>
                <c:pt idx="2061">
                  <c:v>68</c:v>
                </c:pt>
                <c:pt idx="2062">
                  <c:v>103</c:v>
                </c:pt>
                <c:pt idx="2063">
                  <c:v>99</c:v>
                </c:pt>
                <c:pt idx="2064">
                  <c:v>88</c:v>
                </c:pt>
                <c:pt idx="2065">
                  <c:v>128</c:v>
                </c:pt>
                <c:pt idx="2066">
                  <c:v>124</c:v>
                </c:pt>
                <c:pt idx="2067">
                  <c:v>84</c:v>
                </c:pt>
                <c:pt idx="2068">
                  <c:v>101</c:v>
                </c:pt>
                <c:pt idx="2069">
                  <c:v>98</c:v>
                </c:pt>
                <c:pt idx="2070">
                  <c:v>225</c:v>
                </c:pt>
                <c:pt idx="2071">
                  <c:v>88</c:v>
                </c:pt>
                <c:pt idx="2072">
                  <c:v>88</c:v>
                </c:pt>
                <c:pt idx="2073">
                  <c:v>94</c:v>
                </c:pt>
                <c:pt idx="2074">
                  <c:v>117</c:v>
                </c:pt>
                <c:pt idx="2075">
                  <c:v>95</c:v>
                </c:pt>
                <c:pt idx="2076">
                  <c:v>99</c:v>
                </c:pt>
                <c:pt idx="2077">
                  <c:v>96</c:v>
                </c:pt>
                <c:pt idx="2078">
                  <c:v>98</c:v>
                </c:pt>
                <c:pt idx="2079">
                  <c:v>123</c:v>
                </c:pt>
                <c:pt idx="2080">
                  <c:v>101</c:v>
                </c:pt>
                <c:pt idx="2081">
                  <c:v>102</c:v>
                </c:pt>
                <c:pt idx="2082">
                  <c:v>94</c:v>
                </c:pt>
                <c:pt idx="2083">
                  <c:v>102</c:v>
                </c:pt>
                <c:pt idx="2084">
                  <c:v>108</c:v>
                </c:pt>
                <c:pt idx="2085">
                  <c:v>116</c:v>
                </c:pt>
                <c:pt idx="2086">
                  <c:v>93</c:v>
                </c:pt>
                <c:pt idx="2087">
                  <c:v>102</c:v>
                </c:pt>
                <c:pt idx="2088">
                  <c:v>103</c:v>
                </c:pt>
                <c:pt idx="2089">
                  <c:v>115</c:v>
                </c:pt>
                <c:pt idx="2090">
                  <c:v>96</c:v>
                </c:pt>
                <c:pt idx="2091">
                  <c:v>98</c:v>
                </c:pt>
                <c:pt idx="2092">
                  <c:v>101</c:v>
                </c:pt>
                <c:pt idx="2093">
                  <c:v>106</c:v>
                </c:pt>
                <c:pt idx="2094">
                  <c:v>101</c:v>
                </c:pt>
                <c:pt idx="2095">
                  <c:v>111</c:v>
                </c:pt>
                <c:pt idx="2096">
                  <c:v>99</c:v>
                </c:pt>
                <c:pt idx="2097">
                  <c:v>88</c:v>
                </c:pt>
                <c:pt idx="2098">
                  <c:v>83</c:v>
                </c:pt>
                <c:pt idx="2099">
                  <c:v>91</c:v>
                </c:pt>
                <c:pt idx="2100">
                  <c:v>108</c:v>
                </c:pt>
                <c:pt idx="2101">
                  <c:v>148</c:v>
                </c:pt>
                <c:pt idx="2102">
                  <c:v>77</c:v>
                </c:pt>
                <c:pt idx="2103">
                  <c:v>110</c:v>
                </c:pt>
                <c:pt idx="2104">
                  <c:v>83</c:v>
                </c:pt>
                <c:pt idx="2105">
                  <c:v>107</c:v>
                </c:pt>
                <c:pt idx="2106">
                  <c:v>100</c:v>
                </c:pt>
                <c:pt idx="2107">
                  <c:v>87</c:v>
                </c:pt>
                <c:pt idx="2108">
                  <c:v>154</c:v>
                </c:pt>
                <c:pt idx="2109">
                  <c:v>106</c:v>
                </c:pt>
                <c:pt idx="2110">
                  <c:v>99</c:v>
                </c:pt>
                <c:pt idx="2111">
                  <c:v>100</c:v>
                </c:pt>
                <c:pt idx="2112">
                  <c:v>116</c:v>
                </c:pt>
                <c:pt idx="2113">
                  <c:v>94</c:v>
                </c:pt>
                <c:pt idx="2114">
                  <c:v>111</c:v>
                </c:pt>
                <c:pt idx="2115">
                  <c:v>100</c:v>
                </c:pt>
                <c:pt idx="2116">
                  <c:v>125</c:v>
                </c:pt>
                <c:pt idx="2117">
                  <c:v>119</c:v>
                </c:pt>
                <c:pt idx="2118">
                  <c:v>135</c:v>
                </c:pt>
                <c:pt idx="2119">
                  <c:v>93</c:v>
                </c:pt>
                <c:pt idx="2120">
                  <c:v>114</c:v>
                </c:pt>
                <c:pt idx="2121">
                  <c:v>124</c:v>
                </c:pt>
                <c:pt idx="2122">
                  <c:v>134</c:v>
                </c:pt>
                <c:pt idx="2123">
                  <c:v>114</c:v>
                </c:pt>
                <c:pt idx="2124">
                  <c:v>124</c:v>
                </c:pt>
                <c:pt idx="2125">
                  <c:v>104</c:v>
                </c:pt>
                <c:pt idx="2126">
                  <c:v>118</c:v>
                </c:pt>
                <c:pt idx="2127">
                  <c:v>80</c:v>
                </c:pt>
                <c:pt idx="2128">
                  <c:v>107</c:v>
                </c:pt>
                <c:pt idx="2129">
                  <c:v>125</c:v>
                </c:pt>
                <c:pt idx="2130">
                  <c:v>115</c:v>
                </c:pt>
                <c:pt idx="2131">
                  <c:v>88</c:v>
                </c:pt>
                <c:pt idx="2132">
                  <c:v>122</c:v>
                </c:pt>
                <c:pt idx="2133">
                  <c:v>103</c:v>
                </c:pt>
                <c:pt idx="2134">
                  <c:v>101</c:v>
                </c:pt>
                <c:pt idx="2135">
                  <c:v>107</c:v>
                </c:pt>
                <c:pt idx="2136">
                  <c:v>118</c:v>
                </c:pt>
                <c:pt idx="2137">
                  <c:v>107</c:v>
                </c:pt>
                <c:pt idx="2138">
                  <c:v>100</c:v>
                </c:pt>
                <c:pt idx="2139">
                  <c:v>110</c:v>
                </c:pt>
                <c:pt idx="2140">
                  <c:v>125</c:v>
                </c:pt>
                <c:pt idx="2141">
                  <c:v>184</c:v>
                </c:pt>
                <c:pt idx="2142">
                  <c:v>236</c:v>
                </c:pt>
                <c:pt idx="2143">
                  <c:v>97</c:v>
                </c:pt>
                <c:pt idx="2144">
                  <c:v>113</c:v>
                </c:pt>
                <c:pt idx="2145">
                  <c:v>95</c:v>
                </c:pt>
                <c:pt idx="2146">
                  <c:v>103</c:v>
                </c:pt>
                <c:pt idx="2147">
                  <c:v>91</c:v>
                </c:pt>
                <c:pt idx="2148">
                  <c:v>116</c:v>
                </c:pt>
                <c:pt idx="2149">
                  <c:v>93</c:v>
                </c:pt>
                <c:pt idx="2150">
                  <c:v>113</c:v>
                </c:pt>
                <c:pt idx="2151">
                  <c:v>101</c:v>
                </c:pt>
                <c:pt idx="2152">
                  <c:v>95</c:v>
                </c:pt>
                <c:pt idx="2153">
                  <c:v>109</c:v>
                </c:pt>
                <c:pt idx="2154">
                  <c:v>85</c:v>
                </c:pt>
                <c:pt idx="2155">
                  <c:v>101</c:v>
                </c:pt>
                <c:pt idx="2156">
                  <c:v>125</c:v>
                </c:pt>
                <c:pt idx="2157">
                  <c:v>132</c:v>
                </c:pt>
                <c:pt idx="2158">
                  <c:v>131</c:v>
                </c:pt>
                <c:pt idx="2159">
                  <c:v>129</c:v>
                </c:pt>
                <c:pt idx="2160">
                  <c:v>100</c:v>
                </c:pt>
                <c:pt idx="2161">
                  <c:v>97</c:v>
                </c:pt>
                <c:pt idx="2162">
                  <c:v>92</c:v>
                </c:pt>
                <c:pt idx="2163">
                  <c:v>116</c:v>
                </c:pt>
                <c:pt idx="2164">
                  <c:v>90</c:v>
                </c:pt>
                <c:pt idx="2165">
                  <c:v>81</c:v>
                </c:pt>
                <c:pt idx="2166">
                  <c:v>97</c:v>
                </c:pt>
                <c:pt idx="2167">
                  <c:v>118</c:v>
                </c:pt>
                <c:pt idx="2168">
                  <c:v>100</c:v>
                </c:pt>
                <c:pt idx="2169">
                  <c:v>97</c:v>
                </c:pt>
                <c:pt idx="2170">
                  <c:v>114</c:v>
                </c:pt>
                <c:pt idx="2171">
                  <c:v>130</c:v>
                </c:pt>
                <c:pt idx="2172">
                  <c:v>82</c:v>
                </c:pt>
                <c:pt idx="2173">
                  <c:v>96</c:v>
                </c:pt>
                <c:pt idx="2174">
                  <c:v>105</c:v>
                </c:pt>
                <c:pt idx="2175">
                  <c:v>122</c:v>
                </c:pt>
                <c:pt idx="2176">
                  <c:v>88</c:v>
                </c:pt>
                <c:pt idx="2177">
                  <c:v>110</c:v>
                </c:pt>
                <c:pt idx="2178">
                  <c:v>103</c:v>
                </c:pt>
                <c:pt idx="2179">
                  <c:v>106</c:v>
                </c:pt>
                <c:pt idx="2180">
                  <c:v>98</c:v>
                </c:pt>
                <c:pt idx="2181">
                  <c:v>68</c:v>
                </c:pt>
                <c:pt idx="2182">
                  <c:v>94</c:v>
                </c:pt>
                <c:pt idx="2183">
                  <c:v>99</c:v>
                </c:pt>
                <c:pt idx="2184">
                  <c:v>107</c:v>
                </c:pt>
                <c:pt idx="2185">
                  <c:v>180</c:v>
                </c:pt>
                <c:pt idx="2186">
                  <c:v>89</c:v>
                </c:pt>
                <c:pt idx="2187">
                  <c:v>97</c:v>
                </c:pt>
                <c:pt idx="2188">
                  <c:v>113</c:v>
                </c:pt>
                <c:pt idx="2189">
                  <c:v>131</c:v>
                </c:pt>
                <c:pt idx="2190">
                  <c:v>103</c:v>
                </c:pt>
                <c:pt idx="2191">
                  <c:v>119</c:v>
                </c:pt>
                <c:pt idx="2192">
                  <c:v>98</c:v>
                </c:pt>
                <c:pt idx="2193">
                  <c:v>111</c:v>
                </c:pt>
                <c:pt idx="2194">
                  <c:v>94</c:v>
                </c:pt>
                <c:pt idx="2195">
                  <c:v>81</c:v>
                </c:pt>
                <c:pt idx="2196">
                  <c:v>89</c:v>
                </c:pt>
                <c:pt idx="2197">
                  <c:v>106</c:v>
                </c:pt>
                <c:pt idx="2198">
                  <c:v>86</c:v>
                </c:pt>
                <c:pt idx="2199">
                  <c:v>103</c:v>
                </c:pt>
                <c:pt idx="2200">
                  <c:v>121</c:v>
                </c:pt>
                <c:pt idx="2201">
                  <c:v>109</c:v>
                </c:pt>
                <c:pt idx="2202">
                  <c:v>109</c:v>
                </c:pt>
                <c:pt idx="2203">
                  <c:v>123</c:v>
                </c:pt>
                <c:pt idx="2204">
                  <c:v>94</c:v>
                </c:pt>
                <c:pt idx="2205">
                  <c:v>94</c:v>
                </c:pt>
                <c:pt idx="2206">
                  <c:v>115</c:v>
                </c:pt>
                <c:pt idx="2207">
                  <c:v>107</c:v>
                </c:pt>
                <c:pt idx="2208">
                  <c:v>91</c:v>
                </c:pt>
                <c:pt idx="2209">
                  <c:v>125</c:v>
                </c:pt>
                <c:pt idx="2210">
                  <c:v>122</c:v>
                </c:pt>
                <c:pt idx="2211">
                  <c:v>102</c:v>
                </c:pt>
                <c:pt idx="2212">
                  <c:v>90</c:v>
                </c:pt>
                <c:pt idx="2213">
                  <c:v>98</c:v>
                </c:pt>
                <c:pt idx="2214">
                  <c:v>109</c:v>
                </c:pt>
                <c:pt idx="2215">
                  <c:v>90</c:v>
                </c:pt>
                <c:pt idx="2216">
                  <c:v>112</c:v>
                </c:pt>
                <c:pt idx="2217">
                  <c:v>94</c:v>
                </c:pt>
                <c:pt idx="2218">
                  <c:v>105</c:v>
                </c:pt>
                <c:pt idx="2219">
                  <c:v>104</c:v>
                </c:pt>
                <c:pt idx="2220">
                  <c:v>112</c:v>
                </c:pt>
                <c:pt idx="2221">
                  <c:v>108</c:v>
                </c:pt>
                <c:pt idx="2222">
                  <c:v>112</c:v>
                </c:pt>
                <c:pt idx="2223">
                  <c:v>127</c:v>
                </c:pt>
                <c:pt idx="2224">
                  <c:v>111</c:v>
                </c:pt>
                <c:pt idx="2225">
                  <c:v>126</c:v>
                </c:pt>
                <c:pt idx="2226">
                  <c:v>114</c:v>
                </c:pt>
                <c:pt idx="2227">
                  <c:v>99</c:v>
                </c:pt>
                <c:pt idx="2228">
                  <c:v>150</c:v>
                </c:pt>
                <c:pt idx="2229">
                  <c:v>112</c:v>
                </c:pt>
                <c:pt idx="2230">
                  <c:v>108</c:v>
                </c:pt>
                <c:pt idx="2231">
                  <c:v>116</c:v>
                </c:pt>
                <c:pt idx="2232">
                  <c:v>144</c:v>
                </c:pt>
                <c:pt idx="2233">
                  <c:v>93</c:v>
                </c:pt>
                <c:pt idx="2234">
                  <c:v>103</c:v>
                </c:pt>
                <c:pt idx="2235">
                  <c:v>121</c:v>
                </c:pt>
                <c:pt idx="2236">
                  <c:v>105</c:v>
                </c:pt>
                <c:pt idx="2237">
                  <c:v>119</c:v>
                </c:pt>
                <c:pt idx="2238">
                  <c:v>98</c:v>
                </c:pt>
                <c:pt idx="2239">
                  <c:v>80</c:v>
                </c:pt>
                <c:pt idx="2240">
                  <c:v>121</c:v>
                </c:pt>
                <c:pt idx="2241">
                  <c:v>94</c:v>
                </c:pt>
                <c:pt idx="2242">
                  <c:v>93</c:v>
                </c:pt>
                <c:pt idx="2243">
                  <c:v>116</c:v>
                </c:pt>
                <c:pt idx="2244">
                  <c:v>101</c:v>
                </c:pt>
                <c:pt idx="2245">
                  <c:v>154</c:v>
                </c:pt>
                <c:pt idx="2246">
                  <c:v>170</c:v>
                </c:pt>
                <c:pt idx="2247">
                  <c:v>99</c:v>
                </c:pt>
                <c:pt idx="2248">
                  <c:v>104</c:v>
                </c:pt>
                <c:pt idx="2249">
                  <c:v>126</c:v>
                </c:pt>
                <c:pt idx="2250">
                  <c:v>110</c:v>
                </c:pt>
                <c:pt idx="2251">
                  <c:v>101</c:v>
                </c:pt>
                <c:pt idx="2252">
                  <c:v>87</c:v>
                </c:pt>
                <c:pt idx="2253">
                  <c:v>123</c:v>
                </c:pt>
                <c:pt idx="2254">
                  <c:v>109</c:v>
                </c:pt>
                <c:pt idx="2255">
                  <c:v>90</c:v>
                </c:pt>
                <c:pt idx="2256">
                  <c:v>96</c:v>
                </c:pt>
                <c:pt idx="2257">
                  <c:v>82</c:v>
                </c:pt>
                <c:pt idx="2258">
                  <c:v>86</c:v>
                </c:pt>
                <c:pt idx="2259">
                  <c:v>108</c:v>
                </c:pt>
                <c:pt idx="2260">
                  <c:v>98</c:v>
                </c:pt>
                <c:pt idx="2261">
                  <c:v>129</c:v>
                </c:pt>
                <c:pt idx="2262">
                  <c:v>112</c:v>
                </c:pt>
                <c:pt idx="2263">
                  <c:v>108</c:v>
                </c:pt>
                <c:pt idx="2264">
                  <c:v>121</c:v>
                </c:pt>
                <c:pt idx="2265">
                  <c:v>89</c:v>
                </c:pt>
                <c:pt idx="2266">
                  <c:v>89</c:v>
                </c:pt>
                <c:pt idx="2267">
                  <c:v>73</c:v>
                </c:pt>
                <c:pt idx="2268">
                  <c:v>132</c:v>
                </c:pt>
                <c:pt idx="2269">
                  <c:v>96</c:v>
                </c:pt>
                <c:pt idx="2270">
                  <c:v>98</c:v>
                </c:pt>
                <c:pt idx="2271">
                  <c:v>107</c:v>
                </c:pt>
                <c:pt idx="2272">
                  <c:v>134</c:v>
                </c:pt>
                <c:pt idx="2273">
                  <c:v>122</c:v>
                </c:pt>
                <c:pt idx="2274">
                  <c:v>97</c:v>
                </c:pt>
                <c:pt idx="2275">
                  <c:v>110</c:v>
                </c:pt>
                <c:pt idx="2276">
                  <c:v>102</c:v>
                </c:pt>
                <c:pt idx="2277">
                  <c:v>98</c:v>
                </c:pt>
                <c:pt idx="2278">
                  <c:v>120</c:v>
                </c:pt>
                <c:pt idx="2279">
                  <c:v>160</c:v>
                </c:pt>
                <c:pt idx="2280">
                  <c:v>83</c:v>
                </c:pt>
                <c:pt idx="2281">
                  <c:v>102</c:v>
                </c:pt>
                <c:pt idx="2282">
                  <c:v>122</c:v>
                </c:pt>
                <c:pt idx="2283">
                  <c:v>126</c:v>
                </c:pt>
                <c:pt idx="2284">
                  <c:v>136</c:v>
                </c:pt>
                <c:pt idx="2285">
                  <c:v>120</c:v>
                </c:pt>
                <c:pt idx="2286">
                  <c:v>108</c:v>
                </c:pt>
                <c:pt idx="2287">
                  <c:v>126</c:v>
                </c:pt>
                <c:pt idx="2288">
                  <c:v>128</c:v>
                </c:pt>
                <c:pt idx="2289">
                  <c:v>113</c:v>
                </c:pt>
                <c:pt idx="2290">
                  <c:v>89</c:v>
                </c:pt>
                <c:pt idx="2291">
                  <c:v>129</c:v>
                </c:pt>
                <c:pt idx="2292">
                  <c:v>94</c:v>
                </c:pt>
                <c:pt idx="2293">
                  <c:v>106</c:v>
                </c:pt>
                <c:pt idx="2294">
                  <c:v>100</c:v>
                </c:pt>
                <c:pt idx="2295">
                  <c:v>89</c:v>
                </c:pt>
                <c:pt idx="2296">
                  <c:v>94</c:v>
                </c:pt>
                <c:pt idx="2297">
                  <c:v>83</c:v>
                </c:pt>
                <c:pt idx="2298">
                  <c:v>111</c:v>
                </c:pt>
                <c:pt idx="2299">
                  <c:v>80</c:v>
                </c:pt>
                <c:pt idx="2300">
                  <c:v>112</c:v>
                </c:pt>
                <c:pt idx="2301">
                  <c:v>94</c:v>
                </c:pt>
                <c:pt idx="2302">
                  <c:v>130</c:v>
                </c:pt>
                <c:pt idx="2303">
                  <c:v>91</c:v>
                </c:pt>
                <c:pt idx="2304">
                  <c:v>91</c:v>
                </c:pt>
                <c:pt idx="2305">
                  <c:v>110</c:v>
                </c:pt>
                <c:pt idx="2306">
                  <c:v>121</c:v>
                </c:pt>
                <c:pt idx="2307">
                  <c:v>114</c:v>
                </c:pt>
                <c:pt idx="2308">
                  <c:v>96</c:v>
                </c:pt>
                <c:pt idx="2309">
                  <c:v>94</c:v>
                </c:pt>
                <c:pt idx="2310">
                  <c:v>109</c:v>
                </c:pt>
                <c:pt idx="2311">
                  <c:v>107</c:v>
                </c:pt>
                <c:pt idx="2312">
                  <c:v>96</c:v>
                </c:pt>
                <c:pt idx="2313">
                  <c:v>88</c:v>
                </c:pt>
                <c:pt idx="2314">
                  <c:v>113</c:v>
                </c:pt>
                <c:pt idx="2315">
                  <c:v>101</c:v>
                </c:pt>
                <c:pt idx="2316">
                  <c:v>105</c:v>
                </c:pt>
                <c:pt idx="2317">
                  <c:v>125</c:v>
                </c:pt>
                <c:pt idx="2318">
                  <c:v>100</c:v>
                </c:pt>
                <c:pt idx="2319">
                  <c:v>112</c:v>
                </c:pt>
                <c:pt idx="2320">
                  <c:v>112</c:v>
                </c:pt>
                <c:pt idx="2321">
                  <c:v>95</c:v>
                </c:pt>
                <c:pt idx="2322">
                  <c:v>110</c:v>
                </c:pt>
                <c:pt idx="2323">
                  <c:v>118</c:v>
                </c:pt>
                <c:pt idx="2324">
                  <c:v>97</c:v>
                </c:pt>
                <c:pt idx="2325">
                  <c:v>120</c:v>
                </c:pt>
                <c:pt idx="2326">
                  <c:v>135</c:v>
                </c:pt>
                <c:pt idx="2327">
                  <c:v>101</c:v>
                </c:pt>
                <c:pt idx="2328">
                  <c:v>92</c:v>
                </c:pt>
                <c:pt idx="2329">
                  <c:v>92</c:v>
                </c:pt>
                <c:pt idx="2330">
                  <c:v>161</c:v>
                </c:pt>
                <c:pt idx="2331">
                  <c:v>92</c:v>
                </c:pt>
                <c:pt idx="2332">
                  <c:v>122</c:v>
                </c:pt>
                <c:pt idx="2333">
                  <c:v>91</c:v>
                </c:pt>
                <c:pt idx="2334">
                  <c:v>93</c:v>
                </c:pt>
                <c:pt idx="2335">
                  <c:v>94</c:v>
                </c:pt>
                <c:pt idx="2336">
                  <c:v>95</c:v>
                </c:pt>
                <c:pt idx="2337">
                  <c:v>105</c:v>
                </c:pt>
                <c:pt idx="2338">
                  <c:v>103</c:v>
                </c:pt>
                <c:pt idx="2339">
                  <c:v>102</c:v>
                </c:pt>
                <c:pt idx="2340">
                  <c:v>116</c:v>
                </c:pt>
                <c:pt idx="2341">
                  <c:v>110</c:v>
                </c:pt>
                <c:pt idx="2342">
                  <c:v>120</c:v>
                </c:pt>
                <c:pt idx="2343">
                  <c:v>122</c:v>
                </c:pt>
                <c:pt idx="2344">
                  <c:v>118</c:v>
                </c:pt>
                <c:pt idx="2345">
                  <c:v>107</c:v>
                </c:pt>
                <c:pt idx="2346">
                  <c:v>102</c:v>
                </c:pt>
                <c:pt idx="2347">
                  <c:v>154</c:v>
                </c:pt>
                <c:pt idx="2348">
                  <c:v>114</c:v>
                </c:pt>
                <c:pt idx="2349">
                  <c:v>109</c:v>
                </c:pt>
                <c:pt idx="2350">
                  <c:v>94</c:v>
                </c:pt>
                <c:pt idx="2351">
                  <c:v>100</c:v>
                </c:pt>
                <c:pt idx="2352">
                  <c:v>98</c:v>
                </c:pt>
                <c:pt idx="2353">
                  <c:v>102</c:v>
                </c:pt>
                <c:pt idx="2354">
                  <c:v>94</c:v>
                </c:pt>
                <c:pt idx="2355">
                  <c:v>92</c:v>
                </c:pt>
                <c:pt idx="2356">
                  <c:v>113</c:v>
                </c:pt>
                <c:pt idx="2357">
                  <c:v>115</c:v>
                </c:pt>
                <c:pt idx="2358">
                  <c:v>95</c:v>
                </c:pt>
                <c:pt idx="2359">
                  <c:v>87</c:v>
                </c:pt>
                <c:pt idx="2360">
                  <c:v>88</c:v>
                </c:pt>
                <c:pt idx="2361">
                  <c:v>97</c:v>
                </c:pt>
                <c:pt idx="2362">
                  <c:v>94</c:v>
                </c:pt>
                <c:pt idx="2363">
                  <c:v>112</c:v>
                </c:pt>
                <c:pt idx="2364">
                  <c:v>98</c:v>
                </c:pt>
                <c:pt idx="2365">
                  <c:v>104</c:v>
                </c:pt>
                <c:pt idx="2366">
                  <c:v>120</c:v>
                </c:pt>
                <c:pt idx="2367">
                  <c:v>99</c:v>
                </c:pt>
                <c:pt idx="2368">
                  <c:v>109</c:v>
                </c:pt>
                <c:pt idx="2369">
                  <c:v>106</c:v>
                </c:pt>
                <c:pt idx="2370">
                  <c:v>123</c:v>
                </c:pt>
                <c:pt idx="2371">
                  <c:v>86</c:v>
                </c:pt>
                <c:pt idx="2372">
                  <c:v>120</c:v>
                </c:pt>
                <c:pt idx="2373">
                  <c:v>227</c:v>
                </c:pt>
                <c:pt idx="2374">
                  <c:v>119</c:v>
                </c:pt>
                <c:pt idx="2375">
                  <c:v>115</c:v>
                </c:pt>
                <c:pt idx="2376">
                  <c:v>114</c:v>
                </c:pt>
                <c:pt idx="2377">
                  <c:v>90</c:v>
                </c:pt>
                <c:pt idx="2378">
                  <c:v>94</c:v>
                </c:pt>
                <c:pt idx="2379">
                  <c:v>98</c:v>
                </c:pt>
                <c:pt idx="2380">
                  <c:v>126</c:v>
                </c:pt>
                <c:pt idx="2381">
                  <c:v>100</c:v>
                </c:pt>
                <c:pt idx="2382">
                  <c:v>89</c:v>
                </c:pt>
                <c:pt idx="2383">
                  <c:v>111</c:v>
                </c:pt>
                <c:pt idx="2384">
                  <c:v>100</c:v>
                </c:pt>
                <c:pt idx="2385">
                  <c:v>115</c:v>
                </c:pt>
                <c:pt idx="2386">
                  <c:v>106</c:v>
                </c:pt>
                <c:pt idx="2387">
                  <c:v>124</c:v>
                </c:pt>
                <c:pt idx="2388">
                  <c:v>107</c:v>
                </c:pt>
                <c:pt idx="2389">
                  <c:v>99</c:v>
                </c:pt>
                <c:pt idx="2390">
                  <c:v>90</c:v>
                </c:pt>
                <c:pt idx="2391">
                  <c:v>101</c:v>
                </c:pt>
                <c:pt idx="2392">
                  <c:v>119</c:v>
                </c:pt>
                <c:pt idx="2393">
                  <c:v>103</c:v>
                </c:pt>
                <c:pt idx="2394">
                  <c:v>134</c:v>
                </c:pt>
                <c:pt idx="2395">
                  <c:v>155</c:v>
                </c:pt>
                <c:pt idx="2396">
                  <c:v>94</c:v>
                </c:pt>
                <c:pt idx="2397">
                  <c:v>95</c:v>
                </c:pt>
                <c:pt idx="2398">
                  <c:v>89</c:v>
                </c:pt>
                <c:pt idx="2399">
                  <c:v>97</c:v>
                </c:pt>
                <c:pt idx="2400">
                  <c:v>90</c:v>
                </c:pt>
                <c:pt idx="2401">
                  <c:v>92</c:v>
                </c:pt>
                <c:pt idx="2402">
                  <c:v>100</c:v>
                </c:pt>
                <c:pt idx="2403">
                  <c:v>117</c:v>
                </c:pt>
                <c:pt idx="2404">
                  <c:v>84</c:v>
                </c:pt>
                <c:pt idx="2405">
                  <c:v>140</c:v>
                </c:pt>
                <c:pt idx="2406">
                  <c:v>108</c:v>
                </c:pt>
                <c:pt idx="2407">
                  <c:v>109</c:v>
                </c:pt>
                <c:pt idx="2408">
                  <c:v>131</c:v>
                </c:pt>
                <c:pt idx="2409">
                  <c:v>114</c:v>
                </c:pt>
                <c:pt idx="2410">
                  <c:v>97</c:v>
                </c:pt>
                <c:pt idx="2411">
                  <c:v>122</c:v>
                </c:pt>
                <c:pt idx="2412">
                  <c:v>87</c:v>
                </c:pt>
                <c:pt idx="2413">
                  <c:v>85</c:v>
                </c:pt>
                <c:pt idx="2414">
                  <c:v>101</c:v>
                </c:pt>
                <c:pt idx="2415">
                  <c:v>121</c:v>
                </c:pt>
                <c:pt idx="2416">
                  <c:v>107</c:v>
                </c:pt>
                <c:pt idx="2417">
                  <c:v>111</c:v>
                </c:pt>
                <c:pt idx="2418">
                  <c:v>97</c:v>
                </c:pt>
                <c:pt idx="2419">
                  <c:v>97</c:v>
                </c:pt>
                <c:pt idx="2420">
                  <c:v>125</c:v>
                </c:pt>
                <c:pt idx="2421">
                  <c:v>124</c:v>
                </c:pt>
                <c:pt idx="2422">
                  <c:v>76</c:v>
                </c:pt>
                <c:pt idx="2423">
                  <c:v>107</c:v>
                </c:pt>
                <c:pt idx="2424">
                  <c:v>91</c:v>
                </c:pt>
                <c:pt idx="2425">
                  <c:v>96</c:v>
                </c:pt>
                <c:pt idx="2426">
                  <c:v>142</c:v>
                </c:pt>
                <c:pt idx="2427">
                  <c:v>103</c:v>
                </c:pt>
                <c:pt idx="2428">
                  <c:v>117</c:v>
                </c:pt>
                <c:pt idx="2429">
                  <c:v>116</c:v>
                </c:pt>
                <c:pt idx="2430">
                  <c:v>118</c:v>
                </c:pt>
                <c:pt idx="2431">
                  <c:v>108</c:v>
                </c:pt>
                <c:pt idx="2432">
                  <c:v>94</c:v>
                </c:pt>
                <c:pt idx="2433">
                  <c:v>97</c:v>
                </c:pt>
                <c:pt idx="2434">
                  <c:v>97</c:v>
                </c:pt>
                <c:pt idx="2435">
                  <c:v>91</c:v>
                </c:pt>
                <c:pt idx="2436">
                  <c:v>107</c:v>
                </c:pt>
                <c:pt idx="2437">
                  <c:v>95</c:v>
                </c:pt>
                <c:pt idx="2438">
                  <c:v>102</c:v>
                </c:pt>
                <c:pt idx="2439">
                  <c:v>88</c:v>
                </c:pt>
                <c:pt idx="2440">
                  <c:v>106</c:v>
                </c:pt>
                <c:pt idx="2441">
                  <c:v>92</c:v>
                </c:pt>
                <c:pt idx="2442">
                  <c:v>105</c:v>
                </c:pt>
                <c:pt idx="2443">
                  <c:v>107</c:v>
                </c:pt>
                <c:pt idx="2444">
                  <c:v>120</c:v>
                </c:pt>
                <c:pt idx="2445">
                  <c:v>103</c:v>
                </c:pt>
                <c:pt idx="2446">
                  <c:v>92</c:v>
                </c:pt>
                <c:pt idx="2447">
                  <c:v>147</c:v>
                </c:pt>
                <c:pt idx="2448">
                  <c:v>98</c:v>
                </c:pt>
                <c:pt idx="2449">
                  <c:v>103</c:v>
                </c:pt>
                <c:pt idx="2450">
                  <c:v>111</c:v>
                </c:pt>
                <c:pt idx="2451">
                  <c:v>98</c:v>
                </c:pt>
                <c:pt idx="2452">
                  <c:v>111</c:v>
                </c:pt>
                <c:pt idx="2453">
                  <c:v>111</c:v>
                </c:pt>
                <c:pt idx="2454">
                  <c:v>145</c:v>
                </c:pt>
                <c:pt idx="2455">
                  <c:v>84</c:v>
                </c:pt>
                <c:pt idx="2456">
                  <c:v>115</c:v>
                </c:pt>
                <c:pt idx="2457">
                  <c:v>105</c:v>
                </c:pt>
                <c:pt idx="2458">
                  <c:v>98</c:v>
                </c:pt>
                <c:pt idx="2459">
                  <c:v>110</c:v>
                </c:pt>
                <c:pt idx="2460">
                  <c:v>103</c:v>
                </c:pt>
                <c:pt idx="2461">
                  <c:v>90</c:v>
                </c:pt>
                <c:pt idx="2462">
                  <c:v>105</c:v>
                </c:pt>
                <c:pt idx="2463">
                  <c:v>93</c:v>
                </c:pt>
                <c:pt idx="2464">
                  <c:v>101</c:v>
                </c:pt>
                <c:pt idx="2465">
                  <c:v>115</c:v>
                </c:pt>
                <c:pt idx="2466">
                  <c:v>120</c:v>
                </c:pt>
                <c:pt idx="2467">
                  <c:v>111</c:v>
                </c:pt>
                <c:pt idx="2468">
                  <c:v>131</c:v>
                </c:pt>
                <c:pt idx="2469">
                  <c:v>139</c:v>
                </c:pt>
                <c:pt idx="2470">
                  <c:v>120</c:v>
                </c:pt>
                <c:pt idx="2471">
                  <c:v>119</c:v>
                </c:pt>
                <c:pt idx="2472">
                  <c:v>125</c:v>
                </c:pt>
                <c:pt idx="2473">
                  <c:v>108</c:v>
                </c:pt>
                <c:pt idx="2474">
                  <c:v>145</c:v>
                </c:pt>
                <c:pt idx="2475">
                  <c:v>98</c:v>
                </c:pt>
                <c:pt idx="2476">
                  <c:v>101</c:v>
                </c:pt>
                <c:pt idx="2477">
                  <c:v>109</c:v>
                </c:pt>
                <c:pt idx="2478">
                  <c:v>123</c:v>
                </c:pt>
                <c:pt idx="2479">
                  <c:v>99</c:v>
                </c:pt>
                <c:pt idx="2480">
                  <c:v>107</c:v>
                </c:pt>
                <c:pt idx="2481">
                  <c:v>81</c:v>
                </c:pt>
                <c:pt idx="2482">
                  <c:v>105</c:v>
                </c:pt>
                <c:pt idx="2483">
                  <c:v>82</c:v>
                </c:pt>
                <c:pt idx="2484">
                  <c:v>109</c:v>
                </c:pt>
                <c:pt idx="2485">
                  <c:v>95</c:v>
                </c:pt>
                <c:pt idx="2486">
                  <c:v>100</c:v>
                </c:pt>
                <c:pt idx="2487">
                  <c:v>91</c:v>
                </c:pt>
                <c:pt idx="2488">
                  <c:v>90</c:v>
                </c:pt>
                <c:pt idx="2489">
                  <c:v>108</c:v>
                </c:pt>
                <c:pt idx="2490">
                  <c:v>103</c:v>
                </c:pt>
                <c:pt idx="2491">
                  <c:v>96</c:v>
                </c:pt>
                <c:pt idx="2492">
                  <c:v>117</c:v>
                </c:pt>
                <c:pt idx="2493">
                  <c:v>93</c:v>
                </c:pt>
                <c:pt idx="2494">
                  <c:v>115</c:v>
                </c:pt>
                <c:pt idx="2495">
                  <c:v>85</c:v>
                </c:pt>
                <c:pt idx="2496">
                  <c:v>112</c:v>
                </c:pt>
                <c:pt idx="2497">
                  <c:v>86</c:v>
                </c:pt>
                <c:pt idx="2498">
                  <c:v>86</c:v>
                </c:pt>
                <c:pt idx="2499">
                  <c:v>137</c:v>
                </c:pt>
                <c:pt idx="2500">
                  <c:v>90</c:v>
                </c:pt>
                <c:pt idx="2501">
                  <c:v>107</c:v>
                </c:pt>
                <c:pt idx="2502">
                  <c:v>98</c:v>
                </c:pt>
                <c:pt idx="2503">
                  <c:v>84</c:v>
                </c:pt>
                <c:pt idx="2504">
                  <c:v>139</c:v>
                </c:pt>
                <c:pt idx="2505">
                  <c:v>127</c:v>
                </c:pt>
                <c:pt idx="2506">
                  <c:v>150</c:v>
                </c:pt>
                <c:pt idx="2507">
                  <c:v>132</c:v>
                </c:pt>
                <c:pt idx="2508">
                  <c:v>115</c:v>
                </c:pt>
                <c:pt idx="2509">
                  <c:v>186</c:v>
                </c:pt>
                <c:pt idx="2510">
                  <c:v>90</c:v>
                </c:pt>
                <c:pt idx="2511">
                  <c:v>134</c:v>
                </c:pt>
                <c:pt idx="2512">
                  <c:v>97</c:v>
                </c:pt>
                <c:pt idx="2513">
                  <c:v>107</c:v>
                </c:pt>
                <c:pt idx="2514">
                  <c:v>99</c:v>
                </c:pt>
                <c:pt idx="2515">
                  <c:v>124</c:v>
                </c:pt>
                <c:pt idx="2516">
                  <c:v>110</c:v>
                </c:pt>
                <c:pt idx="2517">
                  <c:v>178</c:v>
                </c:pt>
                <c:pt idx="2518">
                  <c:v>125</c:v>
                </c:pt>
                <c:pt idx="2519">
                  <c:v>121</c:v>
                </c:pt>
                <c:pt idx="2520">
                  <c:v>100</c:v>
                </c:pt>
                <c:pt idx="2521">
                  <c:v>115</c:v>
                </c:pt>
                <c:pt idx="2522">
                  <c:v>108</c:v>
                </c:pt>
                <c:pt idx="2523">
                  <c:v>220</c:v>
                </c:pt>
                <c:pt idx="2524">
                  <c:v>112</c:v>
                </c:pt>
                <c:pt idx="2525">
                  <c:v>99</c:v>
                </c:pt>
                <c:pt idx="2526">
                  <c:v>109</c:v>
                </c:pt>
                <c:pt idx="2527">
                  <c:v>83</c:v>
                </c:pt>
                <c:pt idx="2528">
                  <c:v>107</c:v>
                </c:pt>
                <c:pt idx="2529">
                  <c:v>102</c:v>
                </c:pt>
                <c:pt idx="2530">
                  <c:v>100</c:v>
                </c:pt>
                <c:pt idx="2531">
                  <c:v>97</c:v>
                </c:pt>
                <c:pt idx="2532">
                  <c:v>92</c:v>
                </c:pt>
                <c:pt idx="2533">
                  <c:v>84</c:v>
                </c:pt>
                <c:pt idx="2534">
                  <c:v>86</c:v>
                </c:pt>
                <c:pt idx="2535">
                  <c:v>120</c:v>
                </c:pt>
                <c:pt idx="2536">
                  <c:v>89</c:v>
                </c:pt>
                <c:pt idx="2537">
                  <c:v>117</c:v>
                </c:pt>
                <c:pt idx="2538">
                  <c:v>97</c:v>
                </c:pt>
                <c:pt idx="2539">
                  <c:v>91</c:v>
                </c:pt>
                <c:pt idx="2540">
                  <c:v>100</c:v>
                </c:pt>
                <c:pt idx="2541">
                  <c:v>72</c:v>
                </c:pt>
                <c:pt idx="2542">
                  <c:v>84</c:v>
                </c:pt>
                <c:pt idx="2543">
                  <c:v>126</c:v>
                </c:pt>
                <c:pt idx="2544">
                  <c:v>108</c:v>
                </c:pt>
                <c:pt idx="2545">
                  <c:v>112</c:v>
                </c:pt>
                <c:pt idx="2546">
                  <c:v>90</c:v>
                </c:pt>
                <c:pt idx="2547">
                  <c:v>91</c:v>
                </c:pt>
                <c:pt idx="2548">
                  <c:v>135</c:v>
                </c:pt>
                <c:pt idx="2549">
                  <c:v>141</c:v>
                </c:pt>
                <c:pt idx="2550">
                  <c:v>104</c:v>
                </c:pt>
                <c:pt idx="2551">
                  <c:v>84</c:v>
                </c:pt>
                <c:pt idx="2552">
                  <c:v>118</c:v>
                </c:pt>
                <c:pt idx="2553">
                  <c:v>82</c:v>
                </c:pt>
                <c:pt idx="2554">
                  <c:v>95</c:v>
                </c:pt>
                <c:pt idx="2555">
                  <c:v>94</c:v>
                </c:pt>
                <c:pt idx="2556">
                  <c:v>99</c:v>
                </c:pt>
                <c:pt idx="2557">
                  <c:v>121</c:v>
                </c:pt>
                <c:pt idx="2558">
                  <c:v>84</c:v>
                </c:pt>
                <c:pt idx="2559">
                  <c:v>93</c:v>
                </c:pt>
                <c:pt idx="2560">
                  <c:v>93</c:v>
                </c:pt>
                <c:pt idx="2561">
                  <c:v>120</c:v>
                </c:pt>
                <c:pt idx="2562">
                  <c:v>112</c:v>
                </c:pt>
                <c:pt idx="2563">
                  <c:v>107</c:v>
                </c:pt>
                <c:pt idx="2564">
                  <c:v>112</c:v>
                </c:pt>
                <c:pt idx="2565">
                  <c:v>96</c:v>
                </c:pt>
                <c:pt idx="2566">
                  <c:v>91</c:v>
                </c:pt>
                <c:pt idx="2567">
                  <c:v>125</c:v>
                </c:pt>
                <c:pt idx="2568">
                  <c:v>102</c:v>
                </c:pt>
                <c:pt idx="2569">
                  <c:v>87</c:v>
                </c:pt>
                <c:pt idx="2570">
                  <c:v>118</c:v>
                </c:pt>
                <c:pt idx="2571">
                  <c:v>115</c:v>
                </c:pt>
                <c:pt idx="2572">
                  <c:v>91</c:v>
                </c:pt>
                <c:pt idx="2573">
                  <c:v>88</c:v>
                </c:pt>
                <c:pt idx="2574">
                  <c:v>127</c:v>
                </c:pt>
                <c:pt idx="2575">
                  <c:v>94</c:v>
                </c:pt>
                <c:pt idx="2576">
                  <c:v>115</c:v>
                </c:pt>
                <c:pt idx="2577">
                  <c:v>90</c:v>
                </c:pt>
                <c:pt idx="2578">
                  <c:v>102</c:v>
                </c:pt>
                <c:pt idx="2579">
                  <c:v>117</c:v>
                </c:pt>
                <c:pt idx="2580">
                  <c:v>109</c:v>
                </c:pt>
                <c:pt idx="2581">
                  <c:v>121</c:v>
                </c:pt>
                <c:pt idx="2582">
                  <c:v>100</c:v>
                </c:pt>
                <c:pt idx="2583">
                  <c:v>109</c:v>
                </c:pt>
                <c:pt idx="2584">
                  <c:v>101</c:v>
                </c:pt>
                <c:pt idx="2585">
                  <c:v>106</c:v>
                </c:pt>
                <c:pt idx="2586">
                  <c:v>94</c:v>
                </c:pt>
                <c:pt idx="2587">
                  <c:v>140</c:v>
                </c:pt>
                <c:pt idx="2588">
                  <c:v>132</c:v>
                </c:pt>
                <c:pt idx="2589">
                  <c:v>99</c:v>
                </c:pt>
                <c:pt idx="2590">
                  <c:v>90</c:v>
                </c:pt>
                <c:pt idx="2591">
                  <c:v>105</c:v>
                </c:pt>
                <c:pt idx="2592">
                  <c:v>108</c:v>
                </c:pt>
                <c:pt idx="2593">
                  <c:v>69</c:v>
                </c:pt>
                <c:pt idx="2594">
                  <c:v>148</c:v>
                </c:pt>
                <c:pt idx="2595">
                  <c:v>118</c:v>
                </c:pt>
                <c:pt idx="2596">
                  <c:v>132</c:v>
                </c:pt>
                <c:pt idx="2597">
                  <c:v>130</c:v>
                </c:pt>
                <c:pt idx="2598">
                  <c:v>95</c:v>
                </c:pt>
                <c:pt idx="2599">
                  <c:v>80</c:v>
                </c:pt>
                <c:pt idx="2600">
                  <c:v>94</c:v>
                </c:pt>
                <c:pt idx="2601">
                  <c:v>122</c:v>
                </c:pt>
                <c:pt idx="2602">
                  <c:v>102</c:v>
                </c:pt>
                <c:pt idx="2603">
                  <c:v>116</c:v>
                </c:pt>
                <c:pt idx="2604">
                  <c:v>78</c:v>
                </c:pt>
                <c:pt idx="2605">
                  <c:v>114</c:v>
                </c:pt>
                <c:pt idx="2606">
                  <c:v>112</c:v>
                </c:pt>
                <c:pt idx="2607">
                  <c:v>110</c:v>
                </c:pt>
                <c:pt idx="2608">
                  <c:v>104</c:v>
                </c:pt>
                <c:pt idx="2609">
                  <c:v>81</c:v>
                </c:pt>
                <c:pt idx="2610">
                  <c:v>154</c:v>
                </c:pt>
                <c:pt idx="2611">
                  <c:v>102</c:v>
                </c:pt>
                <c:pt idx="2612">
                  <c:v>89</c:v>
                </c:pt>
                <c:pt idx="2613">
                  <c:v>132</c:v>
                </c:pt>
                <c:pt idx="2614">
                  <c:v>103</c:v>
                </c:pt>
                <c:pt idx="2615">
                  <c:v>93</c:v>
                </c:pt>
                <c:pt idx="2616">
                  <c:v>93</c:v>
                </c:pt>
                <c:pt idx="2617">
                  <c:v>96</c:v>
                </c:pt>
                <c:pt idx="2618">
                  <c:v>89</c:v>
                </c:pt>
                <c:pt idx="2619">
                  <c:v>92</c:v>
                </c:pt>
                <c:pt idx="2620">
                  <c:v>97</c:v>
                </c:pt>
                <c:pt idx="2621">
                  <c:v>93</c:v>
                </c:pt>
                <c:pt idx="2622">
                  <c:v>89</c:v>
                </c:pt>
                <c:pt idx="2623">
                  <c:v>123</c:v>
                </c:pt>
                <c:pt idx="2624">
                  <c:v>93</c:v>
                </c:pt>
                <c:pt idx="2625">
                  <c:v>133</c:v>
                </c:pt>
                <c:pt idx="2626">
                  <c:v>121</c:v>
                </c:pt>
                <c:pt idx="2627">
                  <c:v>102</c:v>
                </c:pt>
                <c:pt idx="2628">
                  <c:v>99</c:v>
                </c:pt>
                <c:pt idx="2629">
                  <c:v>98</c:v>
                </c:pt>
                <c:pt idx="2630">
                  <c:v>118</c:v>
                </c:pt>
                <c:pt idx="2631">
                  <c:v>104</c:v>
                </c:pt>
                <c:pt idx="2632">
                  <c:v>109</c:v>
                </c:pt>
                <c:pt idx="2633">
                  <c:v>115</c:v>
                </c:pt>
                <c:pt idx="2634">
                  <c:v>92</c:v>
                </c:pt>
                <c:pt idx="2635">
                  <c:v>91</c:v>
                </c:pt>
                <c:pt idx="2636">
                  <c:v>94</c:v>
                </c:pt>
                <c:pt idx="2637">
                  <c:v>93</c:v>
                </c:pt>
                <c:pt idx="2638">
                  <c:v>100</c:v>
                </c:pt>
                <c:pt idx="2639">
                  <c:v>293</c:v>
                </c:pt>
                <c:pt idx="2640">
                  <c:v>93</c:v>
                </c:pt>
                <c:pt idx="2641">
                  <c:v>123</c:v>
                </c:pt>
                <c:pt idx="2642">
                  <c:v>119</c:v>
                </c:pt>
                <c:pt idx="2643">
                  <c:v>107</c:v>
                </c:pt>
                <c:pt idx="2644">
                  <c:v>106</c:v>
                </c:pt>
                <c:pt idx="2645">
                  <c:v>109</c:v>
                </c:pt>
                <c:pt idx="2646">
                  <c:v>81</c:v>
                </c:pt>
                <c:pt idx="2647">
                  <c:v>95</c:v>
                </c:pt>
                <c:pt idx="2648">
                  <c:v>86</c:v>
                </c:pt>
                <c:pt idx="2649">
                  <c:v>113</c:v>
                </c:pt>
                <c:pt idx="2650">
                  <c:v>122</c:v>
                </c:pt>
                <c:pt idx="2651">
                  <c:v>90</c:v>
                </c:pt>
                <c:pt idx="2652">
                  <c:v>108</c:v>
                </c:pt>
                <c:pt idx="2653">
                  <c:v>113</c:v>
                </c:pt>
                <c:pt idx="2654">
                  <c:v>110</c:v>
                </c:pt>
                <c:pt idx="2655">
                  <c:v>109</c:v>
                </c:pt>
                <c:pt idx="2656">
                  <c:v>110</c:v>
                </c:pt>
                <c:pt idx="2657">
                  <c:v>101</c:v>
                </c:pt>
                <c:pt idx="2658">
                  <c:v>97</c:v>
                </c:pt>
                <c:pt idx="2659">
                  <c:v>172</c:v>
                </c:pt>
                <c:pt idx="2660">
                  <c:v>104</c:v>
                </c:pt>
                <c:pt idx="2661">
                  <c:v>99</c:v>
                </c:pt>
                <c:pt idx="2662">
                  <c:v>129</c:v>
                </c:pt>
                <c:pt idx="2663">
                  <c:v>91</c:v>
                </c:pt>
                <c:pt idx="2664">
                  <c:v>100</c:v>
                </c:pt>
                <c:pt idx="2665">
                  <c:v>111</c:v>
                </c:pt>
                <c:pt idx="2666">
                  <c:v>114</c:v>
                </c:pt>
                <c:pt idx="2667">
                  <c:v>86</c:v>
                </c:pt>
                <c:pt idx="2668">
                  <c:v>107</c:v>
                </c:pt>
                <c:pt idx="2669">
                  <c:v>90</c:v>
                </c:pt>
                <c:pt idx="2670">
                  <c:v>120</c:v>
                </c:pt>
                <c:pt idx="2671">
                  <c:v>134</c:v>
                </c:pt>
                <c:pt idx="2672">
                  <c:v>110</c:v>
                </c:pt>
                <c:pt idx="2673">
                  <c:v>132</c:v>
                </c:pt>
                <c:pt idx="2674">
                  <c:v>113</c:v>
                </c:pt>
                <c:pt idx="2675">
                  <c:v>111</c:v>
                </c:pt>
                <c:pt idx="2676">
                  <c:v>99</c:v>
                </c:pt>
                <c:pt idx="2677">
                  <c:v>104</c:v>
                </c:pt>
                <c:pt idx="2678">
                  <c:v>103</c:v>
                </c:pt>
                <c:pt idx="2679">
                  <c:v>134</c:v>
                </c:pt>
                <c:pt idx="2680">
                  <c:v>106</c:v>
                </c:pt>
                <c:pt idx="2681">
                  <c:v>125</c:v>
                </c:pt>
                <c:pt idx="2682">
                  <c:v>109</c:v>
                </c:pt>
                <c:pt idx="2683">
                  <c:v>200</c:v>
                </c:pt>
                <c:pt idx="2684">
                  <c:v>112</c:v>
                </c:pt>
                <c:pt idx="2685">
                  <c:v>116</c:v>
                </c:pt>
                <c:pt idx="2686">
                  <c:v>120</c:v>
                </c:pt>
                <c:pt idx="2687">
                  <c:v>107</c:v>
                </c:pt>
                <c:pt idx="2688">
                  <c:v>107</c:v>
                </c:pt>
                <c:pt idx="2689">
                  <c:v>81</c:v>
                </c:pt>
                <c:pt idx="2690">
                  <c:v>101</c:v>
                </c:pt>
                <c:pt idx="2691">
                  <c:v>122</c:v>
                </c:pt>
                <c:pt idx="2692">
                  <c:v>97</c:v>
                </c:pt>
                <c:pt idx="2693">
                  <c:v>92</c:v>
                </c:pt>
                <c:pt idx="2694">
                  <c:v>110</c:v>
                </c:pt>
                <c:pt idx="2695">
                  <c:v>86</c:v>
                </c:pt>
                <c:pt idx="2696">
                  <c:v>91</c:v>
                </c:pt>
                <c:pt idx="2697">
                  <c:v>100</c:v>
                </c:pt>
                <c:pt idx="2698">
                  <c:v>111</c:v>
                </c:pt>
                <c:pt idx="2699">
                  <c:v>89</c:v>
                </c:pt>
                <c:pt idx="2700">
                  <c:v>84</c:v>
                </c:pt>
                <c:pt idx="2701">
                  <c:v>98</c:v>
                </c:pt>
                <c:pt idx="2702">
                  <c:v>95</c:v>
                </c:pt>
                <c:pt idx="2703">
                  <c:v>100</c:v>
                </c:pt>
                <c:pt idx="2704">
                  <c:v>109</c:v>
                </c:pt>
                <c:pt idx="2705">
                  <c:v>118</c:v>
                </c:pt>
                <c:pt idx="2706">
                  <c:v>88</c:v>
                </c:pt>
                <c:pt idx="2707">
                  <c:v>86</c:v>
                </c:pt>
                <c:pt idx="2708">
                  <c:v>118</c:v>
                </c:pt>
                <c:pt idx="2709">
                  <c:v>125</c:v>
                </c:pt>
                <c:pt idx="2710">
                  <c:v>125</c:v>
                </c:pt>
                <c:pt idx="2711">
                  <c:v>94</c:v>
                </c:pt>
                <c:pt idx="2712">
                  <c:v>113</c:v>
                </c:pt>
                <c:pt idx="2713">
                  <c:v>104</c:v>
                </c:pt>
                <c:pt idx="2714">
                  <c:v>95</c:v>
                </c:pt>
                <c:pt idx="2715">
                  <c:v>102</c:v>
                </c:pt>
                <c:pt idx="2716">
                  <c:v>104</c:v>
                </c:pt>
                <c:pt idx="2717">
                  <c:v>95</c:v>
                </c:pt>
                <c:pt idx="2718">
                  <c:v>118</c:v>
                </c:pt>
                <c:pt idx="2719">
                  <c:v>193</c:v>
                </c:pt>
                <c:pt idx="2720">
                  <c:v>97</c:v>
                </c:pt>
                <c:pt idx="2721">
                  <c:v>98</c:v>
                </c:pt>
                <c:pt idx="2722">
                  <c:v>103</c:v>
                </c:pt>
                <c:pt idx="2723">
                  <c:v>161</c:v>
                </c:pt>
                <c:pt idx="2724">
                  <c:v>120</c:v>
                </c:pt>
                <c:pt idx="2725">
                  <c:v>97</c:v>
                </c:pt>
                <c:pt idx="2726">
                  <c:v>99</c:v>
                </c:pt>
                <c:pt idx="2727">
                  <c:v>145</c:v>
                </c:pt>
                <c:pt idx="2728">
                  <c:v>126</c:v>
                </c:pt>
                <c:pt idx="2729">
                  <c:v>121</c:v>
                </c:pt>
                <c:pt idx="2730">
                  <c:v>117</c:v>
                </c:pt>
                <c:pt idx="2731">
                  <c:v>98</c:v>
                </c:pt>
                <c:pt idx="2732">
                  <c:v>109</c:v>
                </c:pt>
                <c:pt idx="2733">
                  <c:v>95</c:v>
                </c:pt>
                <c:pt idx="2734">
                  <c:v>96</c:v>
                </c:pt>
                <c:pt idx="2735">
                  <c:v>101</c:v>
                </c:pt>
                <c:pt idx="2736">
                  <c:v>107</c:v>
                </c:pt>
                <c:pt idx="2737">
                  <c:v>119</c:v>
                </c:pt>
                <c:pt idx="2738">
                  <c:v>100</c:v>
                </c:pt>
                <c:pt idx="2739">
                  <c:v>98</c:v>
                </c:pt>
                <c:pt idx="2740">
                  <c:v>92</c:v>
                </c:pt>
                <c:pt idx="2741">
                  <c:v>90</c:v>
                </c:pt>
                <c:pt idx="2742">
                  <c:v>90</c:v>
                </c:pt>
                <c:pt idx="2743">
                  <c:v>153</c:v>
                </c:pt>
                <c:pt idx="2744">
                  <c:v>124</c:v>
                </c:pt>
                <c:pt idx="2745">
                  <c:v>82</c:v>
                </c:pt>
                <c:pt idx="2746">
                  <c:v>107</c:v>
                </c:pt>
                <c:pt idx="2747">
                  <c:v>97</c:v>
                </c:pt>
                <c:pt idx="2748">
                  <c:v>80</c:v>
                </c:pt>
                <c:pt idx="2749">
                  <c:v>85</c:v>
                </c:pt>
                <c:pt idx="2750">
                  <c:v>97</c:v>
                </c:pt>
                <c:pt idx="2751">
                  <c:v>109</c:v>
                </c:pt>
                <c:pt idx="2752">
                  <c:v>140</c:v>
                </c:pt>
                <c:pt idx="2753">
                  <c:v>90</c:v>
                </c:pt>
                <c:pt idx="2754">
                  <c:v>130</c:v>
                </c:pt>
                <c:pt idx="2755">
                  <c:v>98</c:v>
                </c:pt>
                <c:pt idx="2756">
                  <c:v>101</c:v>
                </c:pt>
                <c:pt idx="2757">
                  <c:v>114</c:v>
                </c:pt>
                <c:pt idx="2758">
                  <c:v>100</c:v>
                </c:pt>
                <c:pt idx="2759">
                  <c:v>85</c:v>
                </c:pt>
                <c:pt idx="2760">
                  <c:v>103</c:v>
                </c:pt>
                <c:pt idx="2761">
                  <c:v>100</c:v>
                </c:pt>
                <c:pt idx="2762">
                  <c:v>114</c:v>
                </c:pt>
                <c:pt idx="2763">
                  <c:v>97</c:v>
                </c:pt>
                <c:pt idx="2764">
                  <c:v>116</c:v>
                </c:pt>
                <c:pt idx="2765">
                  <c:v>96</c:v>
                </c:pt>
                <c:pt idx="2766">
                  <c:v>98</c:v>
                </c:pt>
                <c:pt idx="2767">
                  <c:v>105</c:v>
                </c:pt>
                <c:pt idx="2768">
                  <c:v>123</c:v>
                </c:pt>
                <c:pt idx="2769">
                  <c:v>93</c:v>
                </c:pt>
                <c:pt idx="2770">
                  <c:v>97</c:v>
                </c:pt>
                <c:pt idx="2771">
                  <c:v>122</c:v>
                </c:pt>
                <c:pt idx="2772">
                  <c:v>101</c:v>
                </c:pt>
                <c:pt idx="2773">
                  <c:v>100</c:v>
                </c:pt>
                <c:pt idx="2774">
                  <c:v>129</c:v>
                </c:pt>
                <c:pt idx="2775">
                  <c:v>81</c:v>
                </c:pt>
                <c:pt idx="2776">
                  <c:v>96</c:v>
                </c:pt>
                <c:pt idx="2777">
                  <c:v>84</c:v>
                </c:pt>
                <c:pt idx="2778">
                  <c:v>110</c:v>
                </c:pt>
                <c:pt idx="2779">
                  <c:v>130</c:v>
                </c:pt>
                <c:pt idx="2780">
                  <c:v>84</c:v>
                </c:pt>
                <c:pt idx="2781">
                  <c:v>106</c:v>
                </c:pt>
                <c:pt idx="2782">
                  <c:v>76</c:v>
                </c:pt>
                <c:pt idx="2783">
                  <c:v>99</c:v>
                </c:pt>
                <c:pt idx="2784">
                  <c:v>96</c:v>
                </c:pt>
                <c:pt idx="2785">
                  <c:v>104</c:v>
                </c:pt>
                <c:pt idx="2786">
                  <c:v>108</c:v>
                </c:pt>
                <c:pt idx="2787">
                  <c:v>108</c:v>
                </c:pt>
                <c:pt idx="2788">
                  <c:v>87</c:v>
                </c:pt>
                <c:pt idx="2789">
                  <c:v>89</c:v>
                </c:pt>
                <c:pt idx="2790">
                  <c:v>97</c:v>
                </c:pt>
                <c:pt idx="2791">
                  <c:v>106</c:v>
                </c:pt>
                <c:pt idx="2792">
                  <c:v>100</c:v>
                </c:pt>
                <c:pt idx="2793">
                  <c:v>89</c:v>
                </c:pt>
                <c:pt idx="2794">
                  <c:v>95</c:v>
                </c:pt>
                <c:pt idx="2795">
                  <c:v>97</c:v>
                </c:pt>
                <c:pt idx="2796">
                  <c:v>94</c:v>
                </c:pt>
                <c:pt idx="2797">
                  <c:v>95</c:v>
                </c:pt>
                <c:pt idx="2798">
                  <c:v>101</c:v>
                </c:pt>
                <c:pt idx="2799">
                  <c:v>101</c:v>
                </c:pt>
                <c:pt idx="2800">
                  <c:v>82</c:v>
                </c:pt>
                <c:pt idx="2801">
                  <c:v>74</c:v>
                </c:pt>
                <c:pt idx="2802">
                  <c:v>130</c:v>
                </c:pt>
                <c:pt idx="2803">
                  <c:v>112</c:v>
                </c:pt>
                <c:pt idx="2804">
                  <c:v>96</c:v>
                </c:pt>
                <c:pt idx="2805">
                  <c:v>89</c:v>
                </c:pt>
                <c:pt idx="2806">
                  <c:v>121</c:v>
                </c:pt>
                <c:pt idx="2807">
                  <c:v>85</c:v>
                </c:pt>
                <c:pt idx="2808">
                  <c:v>120</c:v>
                </c:pt>
                <c:pt idx="2809">
                  <c:v>106</c:v>
                </c:pt>
                <c:pt idx="2810">
                  <c:v>83</c:v>
                </c:pt>
                <c:pt idx="2811">
                  <c:v>120</c:v>
                </c:pt>
                <c:pt idx="2812">
                  <c:v>111</c:v>
                </c:pt>
                <c:pt idx="2813">
                  <c:v>100</c:v>
                </c:pt>
                <c:pt idx="2814">
                  <c:v>89</c:v>
                </c:pt>
                <c:pt idx="2815">
                  <c:v>115</c:v>
                </c:pt>
                <c:pt idx="2816">
                  <c:v>135</c:v>
                </c:pt>
                <c:pt idx="2817">
                  <c:v>92</c:v>
                </c:pt>
                <c:pt idx="2818">
                  <c:v>120</c:v>
                </c:pt>
                <c:pt idx="2819">
                  <c:v>97</c:v>
                </c:pt>
                <c:pt idx="2820">
                  <c:v>135</c:v>
                </c:pt>
                <c:pt idx="2821">
                  <c:v>93</c:v>
                </c:pt>
                <c:pt idx="2822">
                  <c:v>118</c:v>
                </c:pt>
                <c:pt idx="2823">
                  <c:v>97</c:v>
                </c:pt>
                <c:pt idx="2824">
                  <c:v>98</c:v>
                </c:pt>
                <c:pt idx="2825">
                  <c:v>98</c:v>
                </c:pt>
                <c:pt idx="2826">
                  <c:v>101</c:v>
                </c:pt>
                <c:pt idx="2827">
                  <c:v>132</c:v>
                </c:pt>
                <c:pt idx="2828">
                  <c:v>106</c:v>
                </c:pt>
                <c:pt idx="2829">
                  <c:v>87</c:v>
                </c:pt>
                <c:pt idx="2830">
                  <c:v>98</c:v>
                </c:pt>
                <c:pt idx="2831">
                  <c:v>96</c:v>
                </c:pt>
                <c:pt idx="2832">
                  <c:v>104</c:v>
                </c:pt>
                <c:pt idx="2833">
                  <c:v>93</c:v>
                </c:pt>
                <c:pt idx="2834">
                  <c:v>95</c:v>
                </c:pt>
                <c:pt idx="2835">
                  <c:v>89</c:v>
                </c:pt>
                <c:pt idx="2836">
                  <c:v>107</c:v>
                </c:pt>
                <c:pt idx="2837">
                  <c:v>85</c:v>
                </c:pt>
                <c:pt idx="2838">
                  <c:v>93</c:v>
                </c:pt>
                <c:pt idx="2839">
                  <c:v>101</c:v>
                </c:pt>
                <c:pt idx="2840">
                  <c:v>103</c:v>
                </c:pt>
                <c:pt idx="2841">
                  <c:v>111</c:v>
                </c:pt>
                <c:pt idx="2842">
                  <c:v>86</c:v>
                </c:pt>
                <c:pt idx="2843">
                  <c:v>90</c:v>
                </c:pt>
                <c:pt idx="2844">
                  <c:v>82</c:v>
                </c:pt>
                <c:pt idx="2845">
                  <c:v>83</c:v>
                </c:pt>
                <c:pt idx="2846">
                  <c:v>125</c:v>
                </c:pt>
                <c:pt idx="2847">
                  <c:v>86</c:v>
                </c:pt>
                <c:pt idx="2848">
                  <c:v>91</c:v>
                </c:pt>
                <c:pt idx="2849">
                  <c:v>90</c:v>
                </c:pt>
                <c:pt idx="2850">
                  <c:v>90</c:v>
                </c:pt>
                <c:pt idx="2851">
                  <c:v>93</c:v>
                </c:pt>
                <c:pt idx="2852">
                  <c:v>104</c:v>
                </c:pt>
                <c:pt idx="2853">
                  <c:v>85</c:v>
                </c:pt>
                <c:pt idx="2854">
                  <c:v>81</c:v>
                </c:pt>
                <c:pt idx="2855">
                  <c:v>135</c:v>
                </c:pt>
                <c:pt idx="2856">
                  <c:v>144</c:v>
                </c:pt>
                <c:pt idx="2857">
                  <c:v>98</c:v>
                </c:pt>
                <c:pt idx="2858">
                  <c:v>117</c:v>
                </c:pt>
                <c:pt idx="2859">
                  <c:v>127</c:v>
                </c:pt>
                <c:pt idx="2860">
                  <c:v>98</c:v>
                </c:pt>
                <c:pt idx="2861">
                  <c:v>197</c:v>
                </c:pt>
                <c:pt idx="2862">
                  <c:v>104</c:v>
                </c:pt>
                <c:pt idx="2863">
                  <c:v>90</c:v>
                </c:pt>
                <c:pt idx="2864">
                  <c:v>130</c:v>
                </c:pt>
                <c:pt idx="2865">
                  <c:v>176</c:v>
                </c:pt>
                <c:pt idx="2866">
                  <c:v>116</c:v>
                </c:pt>
                <c:pt idx="2867">
                  <c:v>88</c:v>
                </c:pt>
                <c:pt idx="2868">
                  <c:v>106</c:v>
                </c:pt>
                <c:pt idx="2869">
                  <c:v>181</c:v>
                </c:pt>
                <c:pt idx="2870">
                  <c:v>130</c:v>
                </c:pt>
                <c:pt idx="2871">
                  <c:v>123</c:v>
                </c:pt>
                <c:pt idx="2872">
                  <c:v>120</c:v>
                </c:pt>
                <c:pt idx="2873">
                  <c:v>87</c:v>
                </c:pt>
                <c:pt idx="2874">
                  <c:v>123</c:v>
                </c:pt>
                <c:pt idx="2875">
                  <c:v>103</c:v>
                </c:pt>
                <c:pt idx="2876">
                  <c:v>91</c:v>
                </c:pt>
                <c:pt idx="2877">
                  <c:v>88</c:v>
                </c:pt>
                <c:pt idx="2878">
                  <c:v>126</c:v>
                </c:pt>
                <c:pt idx="2879">
                  <c:v>120</c:v>
                </c:pt>
                <c:pt idx="2880">
                  <c:v>94</c:v>
                </c:pt>
                <c:pt idx="2881">
                  <c:v>137</c:v>
                </c:pt>
                <c:pt idx="2882">
                  <c:v>119</c:v>
                </c:pt>
                <c:pt idx="2883">
                  <c:v>99</c:v>
                </c:pt>
                <c:pt idx="2884">
                  <c:v>79</c:v>
                </c:pt>
                <c:pt idx="2885">
                  <c:v>95</c:v>
                </c:pt>
                <c:pt idx="2886">
                  <c:v>103</c:v>
                </c:pt>
                <c:pt idx="2887">
                  <c:v>92</c:v>
                </c:pt>
                <c:pt idx="2888">
                  <c:v>84</c:v>
                </c:pt>
                <c:pt idx="2889">
                  <c:v>300</c:v>
                </c:pt>
                <c:pt idx="2890">
                  <c:v>120</c:v>
                </c:pt>
                <c:pt idx="2891">
                  <c:v>121</c:v>
                </c:pt>
                <c:pt idx="2892">
                  <c:v>97</c:v>
                </c:pt>
                <c:pt idx="2893">
                  <c:v>86</c:v>
                </c:pt>
                <c:pt idx="2894">
                  <c:v>45</c:v>
                </c:pt>
                <c:pt idx="2895">
                  <c:v>97</c:v>
                </c:pt>
                <c:pt idx="2896">
                  <c:v>93</c:v>
                </c:pt>
                <c:pt idx="2897">
                  <c:v>84</c:v>
                </c:pt>
                <c:pt idx="2898">
                  <c:v>96</c:v>
                </c:pt>
                <c:pt idx="2899">
                  <c:v>112</c:v>
                </c:pt>
                <c:pt idx="2900">
                  <c:v>125</c:v>
                </c:pt>
                <c:pt idx="2901">
                  <c:v>96</c:v>
                </c:pt>
                <c:pt idx="2902">
                  <c:v>103</c:v>
                </c:pt>
                <c:pt idx="2903">
                  <c:v>101</c:v>
                </c:pt>
                <c:pt idx="2904">
                  <c:v>104</c:v>
                </c:pt>
                <c:pt idx="2905">
                  <c:v>119</c:v>
                </c:pt>
                <c:pt idx="2906">
                  <c:v>128</c:v>
                </c:pt>
                <c:pt idx="2907">
                  <c:v>106</c:v>
                </c:pt>
                <c:pt idx="2908">
                  <c:v>126</c:v>
                </c:pt>
                <c:pt idx="2909">
                  <c:v>150</c:v>
                </c:pt>
                <c:pt idx="2910">
                  <c:v>178</c:v>
                </c:pt>
                <c:pt idx="2911">
                  <c:v>117</c:v>
                </c:pt>
                <c:pt idx="2912">
                  <c:v>119</c:v>
                </c:pt>
                <c:pt idx="2913">
                  <c:v>174</c:v>
                </c:pt>
                <c:pt idx="2914">
                  <c:v>111</c:v>
                </c:pt>
                <c:pt idx="2915">
                  <c:v>101</c:v>
                </c:pt>
                <c:pt idx="2916">
                  <c:v>89</c:v>
                </c:pt>
                <c:pt idx="2917">
                  <c:v>113</c:v>
                </c:pt>
                <c:pt idx="2918">
                  <c:v>95</c:v>
                </c:pt>
                <c:pt idx="2919">
                  <c:v>112</c:v>
                </c:pt>
                <c:pt idx="2920">
                  <c:v>109</c:v>
                </c:pt>
                <c:pt idx="2921">
                  <c:v>108</c:v>
                </c:pt>
                <c:pt idx="2922">
                  <c:v>100</c:v>
                </c:pt>
                <c:pt idx="2923">
                  <c:v>90</c:v>
                </c:pt>
                <c:pt idx="2924">
                  <c:v>94</c:v>
                </c:pt>
                <c:pt idx="2925">
                  <c:v>111</c:v>
                </c:pt>
                <c:pt idx="2926">
                  <c:v>142</c:v>
                </c:pt>
                <c:pt idx="2927">
                  <c:v>107</c:v>
                </c:pt>
                <c:pt idx="2928">
                  <c:v>91</c:v>
                </c:pt>
                <c:pt idx="2929">
                  <c:v>82</c:v>
                </c:pt>
                <c:pt idx="2930">
                  <c:v>97</c:v>
                </c:pt>
                <c:pt idx="2931">
                  <c:v>102</c:v>
                </c:pt>
                <c:pt idx="2932">
                  <c:v>93</c:v>
                </c:pt>
                <c:pt idx="2933">
                  <c:v>138</c:v>
                </c:pt>
                <c:pt idx="2934">
                  <c:v>93</c:v>
                </c:pt>
                <c:pt idx="2935">
                  <c:v>92</c:v>
                </c:pt>
                <c:pt idx="2936">
                  <c:v>92</c:v>
                </c:pt>
                <c:pt idx="2937">
                  <c:v>104</c:v>
                </c:pt>
                <c:pt idx="2938">
                  <c:v>89</c:v>
                </c:pt>
                <c:pt idx="2939">
                  <c:v>92</c:v>
                </c:pt>
                <c:pt idx="2940">
                  <c:v>90</c:v>
                </c:pt>
                <c:pt idx="2941">
                  <c:v>129</c:v>
                </c:pt>
                <c:pt idx="2942">
                  <c:v>111</c:v>
                </c:pt>
                <c:pt idx="2943">
                  <c:v>79</c:v>
                </c:pt>
                <c:pt idx="2944">
                  <c:v>104</c:v>
                </c:pt>
                <c:pt idx="2945">
                  <c:v>101</c:v>
                </c:pt>
                <c:pt idx="2946">
                  <c:v>113</c:v>
                </c:pt>
                <c:pt idx="2947">
                  <c:v>92</c:v>
                </c:pt>
                <c:pt idx="2948">
                  <c:v>106</c:v>
                </c:pt>
                <c:pt idx="2949">
                  <c:v>75</c:v>
                </c:pt>
                <c:pt idx="2950">
                  <c:v>104</c:v>
                </c:pt>
                <c:pt idx="2951">
                  <c:v>108</c:v>
                </c:pt>
                <c:pt idx="2952">
                  <c:v>99</c:v>
                </c:pt>
                <c:pt idx="2953">
                  <c:v>109</c:v>
                </c:pt>
                <c:pt idx="2954">
                  <c:v>93</c:v>
                </c:pt>
                <c:pt idx="2955">
                  <c:v>99</c:v>
                </c:pt>
                <c:pt idx="2956">
                  <c:v>98</c:v>
                </c:pt>
                <c:pt idx="2957">
                  <c:v>95</c:v>
                </c:pt>
                <c:pt idx="2958">
                  <c:v>107</c:v>
                </c:pt>
                <c:pt idx="2959">
                  <c:v>102</c:v>
                </c:pt>
                <c:pt idx="2960">
                  <c:v>97</c:v>
                </c:pt>
                <c:pt idx="2961">
                  <c:v>124</c:v>
                </c:pt>
                <c:pt idx="2962">
                  <c:v>90</c:v>
                </c:pt>
                <c:pt idx="2963">
                  <c:v>90</c:v>
                </c:pt>
                <c:pt idx="2964">
                  <c:v>99</c:v>
                </c:pt>
                <c:pt idx="2965">
                  <c:v>115</c:v>
                </c:pt>
                <c:pt idx="2966">
                  <c:v>89</c:v>
                </c:pt>
                <c:pt idx="2967">
                  <c:v>92</c:v>
                </c:pt>
                <c:pt idx="2968">
                  <c:v>94</c:v>
                </c:pt>
                <c:pt idx="2969">
                  <c:v>100</c:v>
                </c:pt>
                <c:pt idx="2970">
                  <c:v>109</c:v>
                </c:pt>
                <c:pt idx="2971">
                  <c:v>105</c:v>
                </c:pt>
                <c:pt idx="2972">
                  <c:v>102</c:v>
                </c:pt>
                <c:pt idx="2973">
                  <c:v>97</c:v>
                </c:pt>
                <c:pt idx="2974">
                  <c:v>118</c:v>
                </c:pt>
                <c:pt idx="2975">
                  <c:v>92</c:v>
                </c:pt>
                <c:pt idx="2976">
                  <c:v>103</c:v>
                </c:pt>
                <c:pt idx="2977">
                  <c:v>93</c:v>
                </c:pt>
                <c:pt idx="2978">
                  <c:v>113</c:v>
                </c:pt>
                <c:pt idx="2979">
                  <c:v>153</c:v>
                </c:pt>
                <c:pt idx="2980">
                  <c:v>89</c:v>
                </c:pt>
                <c:pt idx="2981">
                  <c:v>118</c:v>
                </c:pt>
                <c:pt idx="2982">
                  <c:v>97</c:v>
                </c:pt>
                <c:pt idx="2983">
                  <c:v>100</c:v>
                </c:pt>
                <c:pt idx="2984">
                  <c:v>96</c:v>
                </c:pt>
                <c:pt idx="2985">
                  <c:v>120</c:v>
                </c:pt>
                <c:pt idx="2986">
                  <c:v>175</c:v>
                </c:pt>
                <c:pt idx="2987">
                  <c:v>95</c:v>
                </c:pt>
                <c:pt idx="2988">
                  <c:v>95</c:v>
                </c:pt>
                <c:pt idx="2989">
                  <c:v>121</c:v>
                </c:pt>
                <c:pt idx="2990">
                  <c:v>110</c:v>
                </c:pt>
                <c:pt idx="2991">
                  <c:v>96</c:v>
                </c:pt>
                <c:pt idx="2992">
                  <c:v>121</c:v>
                </c:pt>
                <c:pt idx="2993">
                  <c:v>95</c:v>
                </c:pt>
                <c:pt idx="2994">
                  <c:v>112</c:v>
                </c:pt>
                <c:pt idx="2995">
                  <c:v>93</c:v>
                </c:pt>
                <c:pt idx="2996">
                  <c:v>110</c:v>
                </c:pt>
                <c:pt idx="2997">
                  <c:v>104</c:v>
                </c:pt>
                <c:pt idx="2998">
                  <c:v>119</c:v>
                </c:pt>
                <c:pt idx="2999">
                  <c:v>125</c:v>
                </c:pt>
                <c:pt idx="3000">
                  <c:v>96</c:v>
                </c:pt>
                <c:pt idx="3001">
                  <c:v>100</c:v>
                </c:pt>
                <c:pt idx="3002">
                  <c:v>89</c:v>
                </c:pt>
                <c:pt idx="3003">
                  <c:v>92</c:v>
                </c:pt>
                <c:pt idx="3004">
                  <c:v>109</c:v>
                </c:pt>
                <c:pt idx="3005">
                  <c:v>103</c:v>
                </c:pt>
                <c:pt idx="3006">
                  <c:v>95</c:v>
                </c:pt>
                <c:pt idx="3007">
                  <c:v>105</c:v>
                </c:pt>
                <c:pt idx="3008">
                  <c:v>106</c:v>
                </c:pt>
                <c:pt idx="3009">
                  <c:v>100</c:v>
                </c:pt>
                <c:pt idx="3010">
                  <c:v>103</c:v>
                </c:pt>
                <c:pt idx="3011">
                  <c:v>116</c:v>
                </c:pt>
                <c:pt idx="3012">
                  <c:v>99</c:v>
                </c:pt>
                <c:pt idx="3013">
                  <c:v>164</c:v>
                </c:pt>
                <c:pt idx="3014">
                  <c:v>96</c:v>
                </c:pt>
                <c:pt idx="3015">
                  <c:v>122</c:v>
                </c:pt>
                <c:pt idx="3016">
                  <c:v>94</c:v>
                </c:pt>
                <c:pt idx="3017">
                  <c:v>93</c:v>
                </c:pt>
                <c:pt idx="3018">
                  <c:v>96</c:v>
                </c:pt>
                <c:pt idx="3019">
                  <c:v>113</c:v>
                </c:pt>
                <c:pt idx="3020">
                  <c:v>192</c:v>
                </c:pt>
                <c:pt idx="3021">
                  <c:v>99</c:v>
                </c:pt>
                <c:pt idx="3022">
                  <c:v>91</c:v>
                </c:pt>
                <c:pt idx="3023">
                  <c:v>100</c:v>
                </c:pt>
                <c:pt idx="3024">
                  <c:v>105</c:v>
                </c:pt>
                <c:pt idx="3025">
                  <c:v>99</c:v>
                </c:pt>
                <c:pt idx="3026">
                  <c:v>112</c:v>
                </c:pt>
                <c:pt idx="3027">
                  <c:v>99</c:v>
                </c:pt>
                <c:pt idx="3028">
                  <c:v>125</c:v>
                </c:pt>
                <c:pt idx="3029">
                  <c:v>107</c:v>
                </c:pt>
                <c:pt idx="3030">
                  <c:v>107</c:v>
                </c:pt>
                <c:pt idx="3031">
                  <c:v>97</c:v>
                </c:pt>
                <c:pt idx="3032">
                  <c:v>95</c:v>
                </c:pt>
                <c:pt idx="3033">
                  <c:v>106</c:v>
                </c:pt>
                <c:pt idx="3034">
                  <c:v>103</c:v>
                </c:pt>
                <c:pt idx="3035">
                  <c:v>96</c:v>
                </c:pt>
                <c:pt idx="3036">
                  <c:v>103</c:v>
                </c:pt>
                <c:pt idx="3037">
                  <c:v>108</c:v>
                </c:pt>
                <c:pt idx="3038">
                  <c:v>118</c:v>
                </c:pt>
                <c:pt idx="3039">
                  <c:v>97</c:v>
                </c:pt>
                <c:pt idx="3040">
                  <c:v>115</c:v>
                </c:pt>
                <c:pt idx="3041">
                  <c:v>102</c:v>
                </c:pt>
                <c:pt idx="3042">
                  <c:v>125</c:v>
                </c:pt>
                <c:pt idx="3043">
                  <c:v>108</c:v>
                </c:pt>
                <c:pt idx="3044">
                  <c:v>101</c:v>
                </c:pt>
                <c:pt idx="3045">
                  <c:v>101</c:v>
                </c:pt>
                <c:pt idx="3046">
                  <c:v>139</c:v>
                </c:pt>
                <c:pt idx="3047">
                  <c:v>125</c:v>
                </c:pt>
                <c:pt idx="3048">
                  <c:v>115</c:v>
                </c:pt>
                <c:pt idx="3049">
                  <c:v>99</c:v>
                </c:pt>
                <c:pt idx="3050">
                  <c:v>88</c:v>
                </c:pt>
                <c:pt idx="3051">
                  <c:v>112</c:v>
                </c:pt>
                <c:pt idx="3052">
                  <c:v>108</c:v>
                </c:pt>
                <c:pt idx="3053">
                  <c:v>104</c:v>
                </c:pt>
                <c:pt idx="3054">
                  <c:v>108</c:v>
                </c:pt>
                <c:pt idx="3055">
                  <c:v>102</c:v>
                </c:pt>
                <c:pt idx="3056">
                  <c:v>88</c:v>
                </c:pt>
                <c:pt idx="3057">
                  <c:v>91</c:v>
                </c:pt>
                <c:pt idx="3058">
                  <c:v>141</c:v>
                </c:pt>
                <c:pt idx="3059">
                  <c:v>101</c:v>
                </c:pt>
                <c:pt idx="3060">
                  <c:v>105</c:v>
                </c:pt>
                <c:pt idx="3061">
                  <c:v>100</c:v>
                </c:pt>
                <c:pt idx="3062">
                  <c:v>116</c:v>
                </c:pt>
                <c:pt idx="3063">
                  <c:v>97</c:v>
                </c:pt>
                <c:pt idx="3064">
                  <c:v>106</c:v>
                </c:pt>
                <c:pt idx="3065">
                  <c:v>105</c:v>
                </c:pt>
                <c:pt idx="3066">
                  <c:v>122</c:v>
                </c:pt>
                <c:pt idx="3067">
                  <c:v>107</c:v>
                </c:pt>
                <c:pt idx="3068">
                  <c:v>121</c:v>
                </c:pt>
                <c:pt idx="3069">
                  <c:v>98</c:v>
                </c:pt>
                <c:pt idx="3070">
                  <c:v>123</c:v>
                </c:pt>
                <c:pt idx="3071">
                  <c:v>110</c:v>
                </c:pt>
                <c:pt idx="3072">
                  <c:v>120</c:v>
                </c:pt>
                <c:pt idx="3073">
                  <c:v>122</c:v>
                </c:pt>
                <c:pt idx="3074">
                  <c:v>110</c:v>
                </c:pt>
                <c:pt idx="3075">
                  <c:v>139</c:v>
                </c:pt>
                <c:pt idx="3076">
                  <c:v>124</c:v>
                </c:pt>
                <c:pt idx="3077">
                  <c:v>152</c:v>
                </c:pt>
                <c:pt idx="3078">
                  <c:v>98</c:v>
                </c:pt>
                <c:pt idx="3079">
                  <c:v>106</c:v>
                </c:pt>
                <c:pt idx="3080">
                  <c:v>106</c:v>
                </c:pt>
                <c:pt idx="3081">
                  <c:v>106</c:v>
                </c:pt>
                <c:pt idx="3082">
                  <c:v>89</c:v>
                </c:pt>
                <c:pt idx="3083">
                  <c:v>94</c:v>
                </c:pt>
                <c:pt idx="3084">
                  <c:v>109</c:v>
                </c:pt>
                <c:pt idx="3085">
                  <c:v>144</c:v>
                </c:pt>
                <c:pt idx="3086">
                  <c:v>90</c:v>
                </c:pt>
                <c:pt idx="3087">
                  <c:v>106</c:v>
                </c:pt>
                <c:pt idx="3088">
                  <c:v>121</c:v>
                </c:pt>
                <c:pt idx="3089">
                  <c:v>89</c:v>
                </c:pt>
                <c:pt idx="3090">
                  <c:v>104</c:v>
                </c:pt>
                <c:pt idx="3091">
                  <c:v>99</c:v>
                </c:pt>
                <c:pt idx="3092">
                  <c:v>98</c:v>
                </c:pt>
                <c:pt idx="3093">
                  <c:v>121</c:v>
                </c:pt>
                <c:pt idx="3094">
                  <c:v>96</c:v>
                </c:pt>
                <c:pt idx="3095">
                  <c:v>99</c:v>
                </c:pt>
                <c:pt idx="3096">
                  <c:v>42</c:v>
                </c:pt>
                <c:pt idx="3097">
                  <c:v>122</c:v>
                </c:pt>
                <c:pt idx="3098">
                  <c:v>101</c:v>
                </c:pt>
                <c:pt idx="3099">
                  <c:v>102</c:v>
                </c:pt>
                <c:pt idx="3100">
                  <c:v>84</c:v>
                </c:pt>
                <c:pt idx="3101">
                  <c:v>104</c:v>
                </c:pt>
                <c:pt idx="3102">
                  <c:v>96</c:v>
                </c:pt>
                <c:pt idx="3103">
                  <c:v>94</c:v>
                </c:pt>
                <c:pt idx="3104">
                  <c:v>90</c:v>
                </c:pt>
                <c:pt idx="3105">
                  <c:v>90</c:v>
                </c:pt>
                <c:pt idx="3106">
                  <c:v>106</c:v>
                </c:pt>
                <c:pt idx="3107">
                  <c:v>96</c:v>
                </c:pt>
                <c:pt idx="3108">
                  <c:v>95</c:v>
                </c:pt>
                <c:pt idx="3109">
                  <c:v>99</c:v>
                </c:pt>
                <c:pt idx="3110">
                  <c:v>99</c:v>
                </c:pt>
                <c:pt idx="3111">
                  <c:v>95</c:v>
                </c:pt>
                <c:pt idx="3112">
                  <c:v>99</c:v>
                </c:pt>
                <c:pt idx="3113">
                  <c:v>107</c:v>
                </c:pt>
                <c:pt idx="3114">
                  <c:v>90</c:v>
                </c:pt>
                <c:pt idx="3115">
                  <c:v>96</c:v>
                </c:pt>
                <c:pt idx="3116">
                  <c:v>104</c:v>
                </c:pt>
                <c:pt idx="3117">
                  <c:v>97</c:v>
                </c:pt>
                <c:pt idx="3118">
                  <c:v>107</c:v>
                </c:pt>
                <c:pt idx="3119">
                  <c:v>85</c:v>
                </c:pt>
                <c:pt idx="3120">
                  <c:v>95</c:v>
                </c:pt>
                <c:pt idx="3121">
                  <c:v>111</c:v>
                </c:pt>
                <c:pt idx="3122">
                  <c:v>86</c:v>
                </c:pt>
                <c:pt idx="3123">
                  <c:v>103</c:v>
                </c:pt>
                <c:pt idx="3124">
                  <c:v>111</c:v>
                </c:pt>
                <c:pt idx="3125">
                  <c:v>112</c:v>
                </c:pt>
                <c:pt idx="3126">
                  <c:v>141</c:v>
                </c:pt>
                <c:pt idx="3127">
                  <c:v>95</c:v>
                </c:pt>
                <c:pt idx="3128">
                  <c:v>85</c:v>
                </c:pt>
                <c:pt idx="3129">
                  <c:v>129</c:v>
                </c:pt>
                <c:pt idx="3130">
                  <c:v>125</c:v>
                </c:pt>
                <c:pt idx="3131">
                  <c:v>116</c:v>
                </c:pt>
                <c:pt idx="3132">
                  <c:v>105</c:v>
                </c:pt>
                <c:pt idx="3133">
                  <c:v>90</c:v>
                </c:pt>
                <c:pt idx="3134">
                  <c:v>111</c:v>
                </c:pt>
                <c:pt idx="3135">
                  <c:v>91</c:v>
                </c:pt>
                <c:pt idx="3136">
                  <c:v>97</c:v>
                </c:pt>
                <c:pt idx="3137">
                  <c:v>92</c:v>
                </c:pt>
                <c:pt idx="3138">
                  <c:v>104</c:v>
                </c:pt>
                <c:pt idx="3139">
                  <c:v>120</c:v>
                </c:pt>
                <c:pt idx="3140">
                  <c:v>99</c:v>
                </c:pt>
                <c:pt idx="3141">
                  <c:v>93</c:v>
                </c:pt>
                <c:pt idx="3142">
                  <c:v>99</c:v>
                </c:pt>
                <c:pt idx="3143">
                  <c:v>96</c:v>
                </c:pt>
                <c:pt idx="3144">
                  <c:v>96</c:v>
                </c:pt>
                <c:pt idx="3145">
                  <c:v>100</c:v>
                </c:pt>
                <c:pt idx="3146">
                  <c:v>98</c:v>
                </c:pt>
                <c:pt idx="3147">
                  <c:v>106</c:v>
                </c:pt>
                <c:pt idx="3148">
                  <c:v>95</c:v>
                </c:pt>
                <c:pt idx="3149">
                  <c:v>104</c:v>
                </c:pt>
                <c:pt idx="3150">
                  <c:v>87</c:v>
                </c:pt>
                <c:pt idx="3151">
                  <c:v>81</c:v>
                </c:pt>
                <c:pt idx="3152">
                  <c:v>94</c:v>
                </c:pt>
                <c:pt idx="3153">
                  <c:v>89</c:v>
                </c:pt>
                <c:pt idx="3154">
                  <c:v>88</c:v>
                </c:pt>
                <c:pt idx="3155">
                  <c:v>115</c:v>
                </c:pt>
                <c:pt idx="3156">
                  <c:v>96</c:v>
                </c:pt>
                <c:pt idx="3157">
                  <c:v>135</c:v>
                </c:pt>
                <c:pt idx="3158">
                  <c:v>93</c:v>
                </c:pt>
                <c:pt idx="3159">
                  <c:v>109</c:v>
                </c:pt>
                <c:pt idx="3160">
                  <c:v>101</c:v>
                </c:pt>
                <c:pt idx="3161">
                  <c:v>117</c:v>
                </c:pt>
                <c:pt idx="3162">
                  <c:v>83</c:v>
                </c:pt>
                <c:pt idx="3163">
                  <c:v>113</c:v>
                </c:pt>
                <c:pt idx="3164">
                  <c:v>104</c:v>
                </c:pt>
                <c:pt idx="3165">
                  <c:v>97</c:v>
                </c:pt>
                <c:pt idx="3166">
                  <c:v>110</c:v>
                </c:pt>
                <c:pt idx="3167">
                  <c:v>103</c:v>
                </c:pt>
                <c:pt idx="3168">
                  <c:v>94</c:v>
                </c:pt>
                <c:pt idx="3169">
                  <c:v>77</c:v>
                </c:pt>
                <c:pt idx="3170">
                  <c:v>134</c:v>
                </c:pt>
                <c:pt idx="3171">
                  <c:v>90</c:v>
                </c:pt>
                <c:pt idx="3172">
                  <c:v>104</c:v>
                </c:pt>
                <c:pt idx="3173">
                  <c:v>93</c:v>
                </c:pt>
                <c:pt idx="3174">
                  <c:v>106</c:v>
                </c:pt>
                <c:pt idx="3175">
                  <c:v>109</c:v>
                </c:pt>
                <c:pt idx="3176">
                  <c:v>101</c:v>
                </c:pt>
                <c:pt idx="3177">
                  <c:v>100</c:v>
                </c:pt>
                <c:pt idx="3178">
                  <c:v>95</c:v>
                </c:pt>
                <c:pt idx="3179">
                  <c:v>94</c:v>
                </c:pt>
                <c:pt idx="3180">
                  <c:v>93</c:v>
                </c:pt>
                <c:pt idx="3181">
                  <c:v>106</c:v>
                </c:pt>
                <c:pt idx="3182">
                  <c:v>99</c:v>
                </c:pt>
                <c:pt idx="3183">
                  <c:v>82</c:v>
                </c:pt>
                <c:pt idx="3184">
                  <c:v>135</c:v>
                </c:pt>
                <c:pt idx="3185">
                  <c:v>88</c:v>
                </c:pt>
                <c:pt idx="3186">
                  <c:v>89</c:v>
                </c:pt>
                <c:pt idx="3187">
                  <c:v>110</c:v>
                </c:pt>
                <c:pt idx="3188">
                  <c:v>107</c:v>
                </c:pt>
                <c:pt idx="3189">
                  <c:v>86</c:v>
                </c:pt>
                <c:pt idx="3190">
                  <c:v>91</c:v>
                </c:pt>
                <c:pt idx="3191">
                  <c:v>103</c:v>
                </c:pt>
                <c:pt idx="3192">
                  <c:v>92</c:v>
                </c:pt>
                <c:pt idx="3193">
                  <c:v>99</c:v>
                </c:pt>
                <c:pt idx="3194">
                  <c:v>96</c:v>
                </c:pt>
                <c:pt idx="3195">
                  <c:v>82</c:v>
                </c:pt>
                <c:pt idx="3196">
                  <c:v>92</c:v>
                </c:pt>
                <c:pt idx="3197">
                  <c:v>112</c:v>
                </c:pt>
                <c:pt idx="3198">
                  <c:v>90</c:v>
                </c:pt>
                <c:pt idx="3199">
                  <c:v>150</c:v>
                </c:pt>
                <c:pt idx="3200">
                  <c:v>91</c:v>
                </c:pt>
                <c:pt idx="3201">
                  <c:v>95</c:v>
                </c:pt>
                <c:pt idx="3202">
                  <c:v>97</c:v>
                </c:pt>
                <c:pt idx="3203">
                  <c:v>41</c:v>
                </c:pt>
                <c:pt idx="3204">
                  <c:v>112</c:v>
                </c:pt>
                <c:pt idx="3205">
                  <c:v>122</c:v>
                </c:pt>
                <c:pt idx="3206">
                  <c:v>110</c:v>
                </c:pt>
                <c:pt idx="3207">
                  <c:v>108</c:v>
                </c:pt>
                <c:pt idx="3208">
                  <c:v>121</c:v>
                </c:pt>
                <c:pt idx="3209">
                  <c:v>97</c:v>
                </c:pt>
                <c:pt idx="3210">
                  <c:v>116</c:v>
                </c:pt>
                <c:pt idx="3211">
                  <c:v>94</c:v>
                </c:pt>
                <c:pt idx="3212">
                  <c:v>103</c:v>
                </c:pt>
                <c:pt idx="3213">
                  <c:v>112</c:v>
                </c:pt>
                <c:pt idx="3214">
                  <c:v>91</c:v>
                </c:pt>
                <c:pt idx="3215">
                  <c:v>98</c:v>
                </c:pt>
                <c:pt idx="3216">
                  <c:v>95</c:v>
                </c:pt>
                <c:pt idx="3217">
                  <c:v>99</c:v>
                </c:pt>
                <c:pt idx="3218">
                  <c:v>91</c:v>
                </c:pt>
                <c:pt idx="3219">
                  <c:v>97</c:v>
                </c:pt>
                <c:pt idx="3220">
                  <c:v>90</c:v>
                </c:pt>
                <c:pt idx="3221">
                  <c:v>90</c:v>
                </c:pt>
                <c:pt idx="3222">
                  <c:v>94</c:v>
                </c:pt>
                <c:pt idx="3223">
                  <c:v>90</c:v>
                </c:pt>
                <c:pt idx="3224">
                  <c:v>103</c:v>
                </c:pt>
                <c:pt idx="3225">
                  <c:v>105</c:v>
                </c:pt>
                <c:pt idx="3226">
                  <c:v>113</c:v>
                </c:pt>
                <c:pt idx="3227">
                  <c:v>99</c:v>
                </c:pt>
                <c:pt idx="3228">
                  <c:v>148</c:v>
                </c:pt>
                <c:pt idx="3229">
                  <c:v>93</c:v>
                </c:pt>
                <c:pt idx="3230">
                  <c:v>94</c:v>
                </c:pt>
                <c:pt idx="3231">
                  <c:v>121</c:v>
                </c:pt>
                <c:pt idx="3232">
                  <c:v>118</c:v>
                </c:pt>
                <c:pt idx="3233">
                  <c:v>101</c:v>
                </c:pt>
                <c:pt idx="3234">
                  <c:v>90</c:v>
                </c:pt>
                <c:pt idx="3235">
                  <c:v>100</c:v>
                </c:pt>
                <c:pt idx="3236">
                  <c:v>97</c:v>
                </c:pt>
                <c:pt idx="3237">
                  <c:v>96</c:v>
                </c:pt>
                <c:pt idx="3238">
                  <c:v>117</c:v>
                </c:pt>
                <c:pt idx="3239">
                  <c:v>108</c:v>
                </c:pt>
                <c:pt idx="3240">
                  <c:v>109</c:v>
                </c:pt>
                <c:pt idx="3241">
                  <c:v>102</c:v>
                </c:pt>
                <c:pt idx="3242">
                  <c:v>115</c:v>
                </c:pt>
                <c:pt idx="3243">
                  <c:v>98</c:v>
                </c:pt>
                <c:pt idx="3244">
                  <c:v>133</c:v>
                </c:pt>
                <c:pt idx="3245">
                  <c:v>122</c:v>
                </c:pt>
                <c:pt idx="3246">
                  <c:v>106</c:v>
                </c:pt>
                <c:pt idx="3247">
                  <c:v>112</c:v>
                </c:pt>
                <c:pt idx="3248">
                  <c:v>99</c:v>
                </c:pt>
                <c:pt idx="3249">
                  <c:v>110</c:v>
                </c:pt>
                <c:pt idx="3250">
                  <c:v>104</c:v>
                </c:pt>
                <c:pt idx="3251">
                  <c:v>133</c:v>
                </c:pt>
                <c:pt idx="3252">
                  <c:v>103</c:v>
                </c:pt>
                <c:pt idx="3253">
                  <c:v>112</c:v>
                </c:pt>
                <c:pt idx="3254">
                  <c:v>101</c:v>
                </c:pt>
                <c:pt idx="3255">
                  <c:v>133</c:v>
                </c:pt>
                <c:pt idx="3256">
                  <c:v>104</c:v>
                </c:pt>
                <c:pt idx="3257">
                  <c:v>112</c:v>
                </c:pt>
                <c:pt idx="3258">
                  <c:v>94</c:v>
                </c:pt>
                <c:pt idx="3259">
                  <c:v>90</c:v>
                </c:pt>
                <c:pt idx="3260">
                  <c:v>101</c:v>
                </c:pt>
                <c:pt idx="3261">
                  <c:v>93</c:v>
                </c:pt>
                <c:pt idx="3262">
                  <c:v>152</c:v>
                </c:pt>
                <c:pt idx="3263">
                  <c:v>112</c:v>
                </c:pt>
                <c:pt idx="3264">
                  <c:v>95</c:v>
                </c:pt>
                <c:pt idx="3265">
                  <c:v>111</c:v>
                </c:pt>
                <c:pt idx="3266">
                  <c:v>91</c:v>
                </c:pt>
                <c:pt idx="3267">
                  <c:v>106</c:v>
                </c:pt>
                <c:pt idx="3268">
                  <c:v>93</c:v>
                </c:pt>
                <c:pt idx="3269">
                  <c:v>93</c:v>
                </c:pt>
                <c:pt idx="3270">
                  <c:v>165</c:v>
                </c:pt>
                <c:pt idx="3271">
                  <c:v>96</c:v>
                </c:pt>
                <c:pt idx="3272">
                  <c:v>93</c:v>
                </c:pt>
                <c:pt idx="3273">
                  <c:v>82</c:v>
                </c:pt>
                <c:pt idx="3274">
                  <c:v>101</c:v>
                </c:pt>
                <c:pt idx="3275">
                  <c:v>81</c:v>
                </c:pt>
                <c:pt idx="3276">
                  <c:v>105</c:v>
                </c:pt>
                <c:pt idx="3277">
                  <c:v>86</c:v>
                </c:pt>
                <c:pt idx="3278">
                  <c:v>110</c:v>
                </c:pt>
                <c:pt idx="3279">
                  <c:v>110</c:v>
                </c:pt>
                <c:pt idx="3280">
                  <c:v>104</c:v>
                </c:pt>
                <c:pt idx="3281">
                  <c:v>96</c:v>
                </c:pt>
                <c:pt idx="3282">
                  <c:v>110</c:v>
                </c:pt>
                <c:pt idx="3283">
                  <c:v>84</c:v>
                </c:pt>
                <c:pt idx="3284">
                  <c:v>94</c:v>
                </c:pt>
                <c:pt idx="3285">
                  <c:v>93</c:v>
                </c:pt>
                <c:pt idx="3286">
                  <c:v>96</c:v>
                </c:pt>
                <c:pt idx="3287">
                  <c:v>101</c:v>
                </c:pt>
                <c:pt idx="3288">
                  <c:v>102</c:v>
                </c:pt>
                <c:pt idx="3289">
                  <c:v>87</c:v>
                </c:pt>
                <c:pt idx="3290">
                  <c:v>99</c:v>
                </c:pt>
                <c:pt idx="3291">
                  <c:v>106</c:v>
                </c:pt>
                <c:pt idx="3292">
                  <c:v>117</c:v>
                </c:pt>
                <c:pt idx="3293">
                  <c:v>99</c:v>
                </c:pt>
                <c:pt idx="3294">
                  <c:v>102</c:v>
                </c:pt>
                <c:pt idx="3295">
                  <c:v>85</c:v>
                </c:pt>
                <c:pt idx="3296">
                  <c:v>86</c:v>
                </c:pt>
                <c:pt idx="3297">
                  <c:v>120</c:v>
                </c:pt>
                <c:pt idx="3298">
                  <c:v>106</c:v>
                </c:pt>
                <c:pt idx="3299">
                  <c:v>103</c:v>
                </c:pt>
                <c:pt idx="3300">
                  <c:v>93</c:v>
                </c:pt>
                <c:pt idx="3301">
                  <c:v>112</c:v>
                </c:pt>
                <c:pt idx="3302">
                  <c:v>113</c:v>
                </c:pt>
                <c:pt idx="3303">
                  <c:v>98</c:v>
                </c:pt>
                <c:pt idx="3304">
                  <c:v>92</c:v>
                </c:pt>
                <c:pt idx="3305">
                  <c:v>106</c:v>
                </c:pt>
                <c:pt idx="3306">
                  <c:v>93</c:v>
                </c:pt>
                <c:pt idx="3307">
                  <c:v>226</c:v>
                </c:pt>
                <c:pt idx="3308">
                  <c:v>104</c:v>
                </c:pt>
                <c:pt idx="3309">
                  <c:v>152</c:v>
                </c:pt>
                <c:pt idx="3310">
                  <c:v>107</c:v>
                </c:pt>
                <c:pt idx="3311">
                  <c:v>95</c:v>
                </c:pt>
                <c:pt idx="3312">
                  <c:v>102</c:v>
                </c:pt>
                <c:pt idx="3313">
                  <c:v>99</c:v>
                </c:pt>
                <c:pt idx="3314">
                  <c:v>109</c:v>
                </c:pt>
                <c:pt idx="3315">
                  <c:v>91</c:v>
                </c:pt>
                <c:pt idx="3316">
                  <c:v>88</c:v>
                </c:pt>
                <c:pt idx="3317">
                  <c:v>97</c:v>
                </c:pt>
                <c:pt idx="3318">
                  <c:v>97</c:v>
                </c:pt>
                <c:pt idx="3319">
                  <c:v>85</c:v>
                </c:pt>
                <c:pt idx="3320">
                  <c:v>92</c:v>
                </c:pt>
                <c:pt idx="3321">
                  <c:v>93</c:v>
                </c:pt>
                <c:pt idx="3322">
                  <c:v>96</c:v>
                </c:pt>
                <c:pt idx="3323">
                  <c:v>105</c:v>
                </c:pt>
                <c:pt idx="3324">
                  <c:v>129</c:v>
                </c:pt>
                <c:pt idx="3325">
                  <c:v>37</c:v>
                </c:pt>
                <c:pt idx="3326">
                  <c:v>81</c:v>
                </c:pt>
                <c:pt idx="3327">
                  <c:v>106</c:v>
                </c:pt>
                <c:pt idx="3328">
                  <c:v>103</c:v>
                </c:pt>
                <c:pt idx="3329">
                  <c:v>101</c:v>
                </c:pt>
                <c:pt idx="3330">
                  <c:v>98</c:v>
                </c:pt>
                <c:pt idx="3331">
                  <c:v>91</c:v>
                </c:pt>
                <c:pt idx="3332">
                  <c:v>105</c:v>
                </c:pt>
                <c:pt idx="3333">
                  <c:v>100</c:v>
                </c:pt>
                <c:pt idx="3334">
                  <c:v>80</c:v>
                </c:pt>
                <c:pt idx="3335">
                  <c:v>107</c:v>
                </c:pt>
                <c:pt idx="3336">
                  <c:v>92</c:v>
                </c:pt>
                <c:pt idx="3337">
                  <c:v>107</c:v>
                </c:pt>
                <c:pt idx="3338">
                  <c:v>135</c:v>
                </c:pt>
                <c:pt idx="3339">
                  <c:v>99</c:v>
                </c:pt>
                <c:pt idx="3340">
                  <c:v>115</c:v>
                </c:pt>
                <c:pt idx="3341">
                  <c:v>91</c:v>
                </c:pt>
                <c:pt idx="3342">
                  <c:v>92</c:v>
                </c:pt>
                <c:pt idx="3343">
                  <c:v>101</c:v>
                </c:pt>
                <c:pt idx="3344">
                  <c:v>105</c:v>
                </c:pt>
                <c:pt idx="3345">
                  <c:v>109</c:v>
                </c:pt>
                <c:pt idx="3346">
                  <c:v>110</c:v>
                </c:pt>
                <c:pt idx="3347">
                  <c:v>94</c:v>
                </c:pt>
                <c:pt idx="3348">
                  <c:v>115</c:v>
                </c:pt>
                <c:pt idx="3349">
                  <c:v>98</c:v>
                </c:pt>
                <c:pt idx="3350">
                  <c:v>91</c:v>
                </c:pt>
                <c:pt idx="3351">
                  <c:v>120</c:v>
                </c:pt>
                <c:pt idx="3352">
                  <c:v>87</c:v>
                </c:pt>
                <c:pt idx="3353">
                  <c:v>117</c:v>
                </c:pt>
                <c:pt idx="3354">
                  <c:v>85</c:v>
                </c:pt>
                <c:pt idx="3355">
                  <c:v>110</c:v>
                </c:pt>
                <c:pt idx="3356">
                  <c:v>113</c:v>
                </c:pt>
                <c:pt idx="3357">
                  <c:v>98</c:v>
                </c:pt>
                <c:pt idx="3358">
                  <c:v>86</c:v>
                </c:pt>
                <c:pt idx="3359">
                  <c:v>161</c:v>
                </c:pt>
                <c:pt idx="3360">
                  <c:v>100</c:v>
                </c:pt>
                <c:pt idx="3361">
                  <c:v>91</c:v>
                </c:pt>
                <c:pt idx="3362">
                  <c:v>100</c:v>
                </c:pt>
                <c:pt idx="3363">
                  <c:v>84</c:v>
                </c:pt>
                <c:pt idx="3364">
                  <c:v>99</c:v>
                </c:pt>
                <c:pt idx="3365">
                  <c:v>109</c:v>
                </c:pt>
                <c:pt idx="3366">
                  <c:v>95</c:v>
                </c:pt>
                <c:pt idx="3367">
                  <c:v>97</c:v>
                </c:pt>
                <c:pt idx="3368">
                  <c:v>90</c:v>
                </c:pt>
                <c:pt idx="3369">
                  <c:v>96</c:v>
                </c:pt>
                <c:pt idx="3370">
                  <c:v>82</c:v>
                </c:pt>
                <c:pt idx="3371">
                  <c:v>109</c:v>
                </c:pt>
                <c:pt idx="3372">
                  <c:v>98</c:v>
                </c:pt>
                <c:pt idx="3373">
                  <c:v>95</c:v>
                </c:pt>
                <c:pt idx="3374">
                  <c:v>104</c:v>
                </c:pt>
                <c:pt idx="3375">
                  <c:v>87</c:v>
                </c:pt>
                <c:pt idx="3376">
                  <c:v>108</c:v>
                </c:pt>
                <c:pt idx="3377">
                  <c:v>94</c:v>
                </c:pt>
                <c:pt idx="3378">
                  <c:v>134</c:v>
                </c:pt>
                <c:pt idx="3379">
                  <c:v>89</c:v>
                </c:pt>
                <c:pt idx="3380">
                  <c:v>102</c:v>
                </c:pt>
                <c:pt idx="3381">
                  <c:v>120</c:v>
                </c:pt>
                <c:pt idx="3382">
                  <c:v>110</c:v>
                </c:pt>
                <c:pt idx="3383">
                  <c:v>86</c:v>
                </c:pt>
                <c:pt idx="3384">
                  <c:v>101</c:v>
                </c:pt>
                <c:pt idx="3385">
                  <c:v>87</c:v>
                </c:pt>
                <c:pt idx="3386">
                  <c:v>93</c:v>
                </c:pt>
                <c:pt idx="3387">
                  <c:v>98</c:v>
                </c:pt>
                <c:pt idx="3388">
                  <c:v>100</c:v>
                </c:pt>
                <c:pt idx="3389">
                  <c:v>88</c:v>
                </c:pt>
                <c:pt idx="3390">
                  <c:v>97</c:v>
                </c:pt>
                <c:pt idx="3391">
                  <c:v>122</c:v>
                </c:pt>
                <c:pt idx="3392">
                  <c:v>96</c:v>
                </c:pt>
                <c:pt idx="3393">
                  <c:v>113</c:v>
                </c:pt>
                <c:pt idx="3394">
                  <c:v>105</c:v>
                </c:pt>
                <c:pt idx="3395">
                  <c:v>93</c:v>
                </c:pt>
                <c:pt idx="3396">
                  <c:v>89</c:v>
                </c:pt>
                <c:pt idx="3397">
                  <c:v>116</c:v>
                </c:pt>
                <c:pt idx="3398">
                  <c:v>120</c:v>
                </c:pt>
                <c:pt idx="3399">
                  <c:v>88</c:v>
                </c:pt>
                <c:pt idx="3400">
                  <c:v>102</c:v>
                </c:pt>
                <c:pt idx="3401">
                  <c:v>106</c:v>
                </c:pt>
                <c:pt idx="3402">
                  <c:v>95</c:v>
                </c:pt>
                <c:pt idx="3403">
                  <c:v>113</c:v>
                </c:pt>
                <c:pt idx="3404">
                  <c:v>93</c:v>
                </c:pt>
                <c:pt idx="3405">
                  <c:v>97</c:v>
                </c:pt>
                <c:pt idx="3406">
                  <c:v>140</c:v>
                </c:pt>
                <c:pt idx="3407">
                  <c:v>86</c:v>
                </c:pt>
                <c:pt idx="3408">
                  <c:v>66</c:v>
                </c:pt>
                <c:pt idx="3409">
                  <c:v>86</c:v>
                </c:pt>
                <c:pt idx="3410">
                  <c:v>87</c:v>
                </c:pt>
                <c:pt idx="3411">
                  <c:v>149</c:v>
                </c:pt>
                <c:pt idx="3412">
                  <c:v>98</c:v>
                </c:pt>
                <c:pt idx="3413">
                  <c:v>75</c:v>
                </c:pt>
                <c:pt idx="3414">
                  <c:v>104</c:v>
                </c:pt>
                <c:pt idx="3415">
                  <c:v>102</c:v>
                </c:pt>
                <c:pt idx="3416">
                  <c:v>105</c:v>
                </c:pt>
                <c:pt idx="3417">
                  <c:v>107</c:v>
                </c:pt>
                <c:pt idx="3418">
                  <c:v>89</c:v>
                </c:pt>
                <c:pt idx="3419">
                  <c:v>106</c:v>
                </c:pt>
                <c:pt idx="3420">
                  <c:v>95</c:v>
                </c:pt>
                <c:pt idx="3421">
                  <c:v>34</c:v>
                </c:pt>
                <c:pt idx="3422">
                  <c:v>101</c:v>
                </c:pt>
                <c:pt idx="3423">
                  <c:v>112</c:v>
                </c:pt>
                <c:pt idx="3424">
                  <c:v>100</c:v>
                </c:pt>
                <c:pt idx="3425">
                  <c:v>100</c:v>
                </c:pt>
                <c:pt idx="3426">
                  <c:v>80</c:v>
                </c:pt>
                <c:pt idx="3427">
                  <c:v>106</c:v>
                </c:pt>
                <c:pt idx="3428">
                  <c:v>103</c:v>
                </c:pt>
                <c:pt idx="3429">
                  <c:v>90</c:v>
                </c:pt>
                <c:pt idx="3430">
                  <c:v>96</c:v>
                </c:pt>
                <c:pt idx="3431">
                  <c:v>120</c:v>
                </c:pt>
                <c:pt idx="3432">
                  <c:v>101</c:v>
                </c:pt>
                <c:pt idx="3433">
                  <c:v>101</c:v>
                </c:pt>
                <c:pt idx="3434">
                  <c:v>105</c:v>
                </c:pt>
                <c:pt idx="3435">
                  <c:v>120</c:v>
                </c:pt>
                <c:pt idx="3436">
                  <c:v>91</c:v>
                </c:pt>
                <c:pt idx="3437">
                  <c:v>92</c:v>
                </c:pt>
                <c:pt idx="3438">
                  <c:v>117</c:v>
                </c:pt>
                <c:pt idx="3439">
                  <c:v>120</c:v>
                </c:pt>
                <c:pt idx="3440">
                  <c:v>172</c:v>
                </c:pt>
                <c:pt idx="3441">
                  <c:v>89</c:v>
                </c:pt>
                <c:pt idx="3442">
                  <c:v>125</c:v>
                </c:pt>
                <c:pt idx="3443">
                  <c:v>115</c:v>
                </c:pt>
                <c:pt idx="3444">
                  <c:v>96</c:v>
                </c:pt>
                <c:pt idx="3445">
                  <c:v>100</c:v>
                </c:pt>
                <c:pt idx="3446">
                  <c:v>87</c:v>
                </c:pt>
                <c:pt idx="3447">
                  <c:v>102</c:v>
                </c:pt>
                <c:pt idx="3448">
                  <c:v>118</c:v>
                </c:pt>
                <c:pt idx="3449">
                  <c:v>86</c:v>
                </c:pt>
                <c:pt idx="3450">
                  <c:v>137</c:v>
                </c:pt>
                <c:pt idx="3451">
                  <c:v>129</c:v>
                </c:pt>
                <c:pt idx="3452">
                  <c:v>80</c:v>
                </c:pt>
                <c:pt idx="3453">
                  <c:v>89</c:v>
                </c:pt>
                <c:pt idx="3454">
                  <c:v>80</c:v>
                </c:pt>
                <c:pt idx="3455">
                  <c:v>115</c:v>
                </c:pt>
                <c:pt idx="3456">
                  <c:v>100</c:v>
                </c:pt>
                <c:pt idx="3457">
                  <c:v>100</c:v>
                </c:pt>
                <c:pt idx="3458">
                  <c:v>91</c:v>
                </c:pt>
                <c:pt idx="3459">
                  <c:v>96</c:v>
                </c:pt>
                <c:pt idx="3460">
                  <c:v>116</c:v>
                </c:pt>
                <c:pt idx="3461">
                  <c:v>97</c:v>
                </c:pt>
                <c:pt idx="3462">
                  <c:v>101</c:v>
                </c:pt>
                <c:pt idx="3463">
                  <c:v>98</c:v>
                </c:pt>
                <c:pt idx="3464">
                  <c:v>101</c:v>
                </c:pt>
                <c:pt idx="3465">
                  <c:v>90</c:v>
                </c:pt>
                <c:pt idx="3466">
                  <c:v>120</c:v>
                </c:pt>
                <c:pt idx="3467">
                  <c:v>102</c:v>
                </c:pt>
                <c:pt idx="3468">
                  <c:v>102</c:v>
                </c:pt>
                <c:pt idx="3469">
                  <c:v>100</c:v>
                </c:pt>
                <c:pt idx="3470">
                  <c:v>89</c:v>
                </c:pt>
                <c:pt idx="3471">
                  <c:v>86</c:v>
                </c:pt>
                <c:pt idx="3472">
                  <c:v>96</c:v>
                </c:pt>
                <c:pt idx="3473">
                  <c:v>91</c:v>
                </c:pt>
                <c:pt idx="3474">
                  <c:v>85</c:v>
                </c:pt>
                <c:pt idx="3475">
                  <c:v>129</c:v>
                </c:pt>
                <c:pt idx="3476">
                  <c:v>95</c:v>
                </c:pt>
                <c:pt idx="3477">
                  <c:v>92</c:v>
                </c:pt>
                <c:pt idx="3478">
                  <c:v>96</c:v>
                </c:pt>
                <c:pt idx="3479">
                  <c:v>119</c:v>
                </c:pt>
                <c:pt idx="3480">
                  <c:v>92</c:v>
                </c:pt>
                <c:pt idx="3481">
                  <c:v>106</c:v>
                </c:pt>
                <c:pt idx="3482">
                  <c:v>99</c:v>
                </c:pt>
                <c:pt idx="3483">
                  <c:v>103</c:v>
                </c:pt>
                <c:pt idx="3484">
                  <c:v>95</c:v>
                </c:pt>
                <c:pt idx="3485">
                  <c:v>95</c:v>
                </c:pt>
                <c:pt idx="3486">
                  <c:v>90</c:v>
                </c:pt>
                <c:pt idx="3487">
                  <c:v>89</c:v>
                </c:pt>
                <c:pt idx="3488">
                  <c:v>87</c:v>
                </c:pt>
                <c:pt idx="3489">
                  <c:v>118</c:v>
                </c:pt>
                <c:pt idx="3490">
                  <c:v>93</c:v>
                </c:pt>
                <c:pt idx="3491">
                  <c:v>109</c:v>
                </c:pt>
                <c:pt idx="3492">
                  <c:v>90</c:v>
                </c:pt>
                <c:pt idx="3493">
                  <c:v>108</c:v>
                </c:pt>
                <c:pt idx="3494">
                  <c:v>81</c:v>
                </c:pt>
                <c:pt idx="3495">
                  <c:v>93</c:v>
                </c:pt>
                <c:pt idx="3496">
                  <c:v>138</c:v>
                </c:pt>
                <c:pt idx="3497">
                  <c:v>105</c:v>
                </c:pt>
                <c:pt idx="3498">
                  <c:v>98</c:v>
                </c:pt>
                <c:pt idx="3499">
                  <c:v>86</c:v>
                </c:pt>
                <c:pt idx="3500">
                  <c:v>104</c:v>
                </c:pt>
                <c:pt idx="3501">
                  <c:v>100</c:v>
                </c:pt>
                <c:pt idx="3502">
                  <c:v>84</c:v>
                </c:pt>
                <c:pt idx="3503">
                  <c:v>95</c:v>
                </c:pt>
                <c:pt idx="3504">
                  <c:v>90</c:v>
                </c:pt>
                <c:pt idx="3505">
                  <c:v>123</c:v>
                </c:pt>
                <c:pt idx="3506">
                  <c:v>111</c:v>
                </c:pt>
                <c:pt idx="3507">
                  <c:v>108</c:v>
                </c:pt>
                <c:pt idx="3508">
                  <c:v>92</c:v>
                </c:pt>
                <c:pt idx="3509">
                  <c:v>91</c:v>
                </c:pt>
                <c:pt idx="3510">
                  <c:v>88</c:v>
                </c:pt>
                <c:pt idx="3511">
                  <c:v>97</c:v>
                </c:pt>
                <c:pt idx="3512">
                  <c:v>103</c:v>
                </c:pt>
                <c:pt idx="3513">
                  <c:v>110</c:v>
                </c:pt>
                <c:pt idx="3514">
                  <c:v>103</c:v>
                </c:pt>
                <c:pt idx="3515">
                  <c:v>114</c:v>
                </c:pt>
                <c:pt idx="3516">
                  <c:v>112</c:v>
                </c:pt>
                <c:pt idx="3517">
                  <c:v>104</c:v>
                </c:pt>
                <c:pt idx="3518">
                  <c:v>99</c:v>
                </c:pt>
                <c:pt idx="3519">
                  <c:v>98</c:v>
                </c:pt>
                <c:pt idx="3520">
                  <c:v>100</c:v>
                </c:pt>
                <c:pt idx="3521">
                  <c:v>80</c:v>
                </c:pt>
                <c:pt idx="3522">
                  <c:v>87</c:v>
                </c:pt>
                <c:pt idx="3523">
                  <c:v>91</c:v>
                </c:pt>
                <c:pt idx="3524">
                  <c:v>84</c:v>
                </c:pt>
                <c:pt idx="3525">
                  <c:v>90</c:v>
                </c:pt>
                <c:pt idx="3526">
                  <c:v>98</c:v>
                </c:pt>
                <c:pt idx="3527">
                  <c:v>124</c:v>
                </c:pt>
                <c:pt idx="3528">
                  <c:v>95</c:v>
                </c:pt>
                <c:pt idx="3529">
                  <c:v>90</c:v>
                </c:pt>
                <c:pt idx="3530">
                  <c:v>101</c:v>
                </c:pt>
                <c:pt idx="3531">
                  <c:v>83</c:v>
                </c:pt>
                <c:pt idx="3532">
                  <c:v>106</c:v>
                </c:pt>
                <c:pt idx="3533">
                  <c:v>94</c:v>
                </c:pt>
                <c:pt idx="3534">
                  <c:v>120</c:v>
                </c:pt>
                <c:pt idx="3535">
                  <c:v>105</c:v>
                </c:pt>
                <c:pt idx="3536">
                  <c:v>95</c:v>
                </c:pt>
                <c:pt idx="3537">
                  <c:v>135</c:v>
                </c:pt>
                <c:pt idx="3538">
                  <c:v>105</c:v>
                </c:pt>
                <c:pt idx="3539">
                  <c:v>83</c:v>
                </c:pt>
                <c:pt idx="3540">
                  <c:v>87</c:v>
                </c:pt>
                <c:pt idx="3541">
                  <c:v>97</c:v>
                </c:pt>
                <c:pt idx="3542">
                  <c:v>87</c:v>
                </c:pt>
                <c:pt idx="3543">
                  <c:v>80</c:v>
                </c:pt>
                <c:pt idx="3544">
                  <c:v>100</c:v>
                </c:pt>
                <c:pt idx="3545">
                  <c:v>103</c:v>
                </c:pt>
                <c:pt idx="3546">
                  <c:v>100</c:v>
                </c:pt>
                <c:pt idx="3547">
                  <c:v>89</c:v>
                </c:pt>
                <c:pt idx="3548">
                  <c:v>114</c:v>
                </c:pt>
                <c:pt idx="3549">
                  <c:v>111</c:v>
                </c:pt>
                <c:pt idx="3550">
                  <c:v>85</c:v>
                </c:pt>
                <c:pt idx="3551">
                  <c:v>113</c:v>
                </c:pt>
                <c:pt idx="3552">
                  <c:v>99</c:v>
                </c:pt>
                <c:pt idx="3553">
                  <c:v>142</c:v>
                </c:pt>
                <c:pt idx="3554">
                  <c:v>112</c:v>
                </c:pt>
                <c:pt idx="3555">
                  <c:v>108</c:v>
                </c:pt>
                <c:pt idx="3556">
                  <c:v>88</c:v>
                </c:pt>
                <c:pt idx="3557">
                  <c:v>97</c:v>
                </c:pt>
                <c:pt idx="3558">
                  <c:v>85</c:v>
                </c:pt>
                <c:pt idx="3559">
                  <c:v>110</c:v>
                </c:pt>
                <c:pt idx="3560">
                  <c:v>91</c:v>
                </c:pt>
                <c:pt idx="3561">
                  <c:v>94</c:v>
                </c:pt>
                <c:pt idx="3562">
                  <c:v>90</c:v>
                </c:pt>
                <c:pt idx="3563">
                  <c:v>92</c:v>
                </c:pt>
                <c:pt idx="3564">
                  <c:v>73</c:v>
                </c:pt>
                <c:pt idx="3565">
                  <c:v>110</c:v>
                </c:pt>
                <c:pt idx="3566">
                  <c:v>102</c:v>
                </c:pt>
                <c:pt idx="3567">
                  <c:v>145</c:v>
                </c:pt>
                <c:pt idx="3568">
                  <c:v>83</c:v>
                </c:pt>
                <c:pt idx="3569">
                  <c:v>91</c:v>
                </c:pt>
                <c:pt idx="3570">
                  <c:v>110</c:v>
                </c:pt>
                <c:pt idx="3571">
                  <c:v>86</c:v>
                </c:pt>
                <c:pt idx="3572">
                  <c:v>86</c:v>
                </c:pt>
                <c:pt idx="3573">
                  <c:v>120</c:v>
                </c:pt>
                <c:pt idx="3574">
                  <c:v>90</c:v>
                </c:pt>
                <c:pt idx="3575">
                  <c:v>99</c:v>
                </c:pt>
                <c:pt idx="3576">
                  <c:v>112</c:v>
                </c:pt>
                <c:pt idx="3577">
                  <c:v>103</c:v>
                </c:pt>
                <c:pt idx="3578">
                  <c:v>83</c:v>
                </c:pt>
                <c:pt idx="3579">
                  <c:v>109</c:v>
                </c:pt>
                <c:pt idx="3580">
                  <c:v>100</c:v>
                </c:pt>
                <c:pt idx="3581">
                  <c:v>95</c:v>
                </c:pt>
                <c:pt idx="3582">
                  <c:v>104</c:v>
                </c:pt>
                <c:pt idx="3583">
                  <c:v>97</c:v>
                </c:pt>
                <c:pt idx="3584">
                  <c:v>91</c:v>
                </c:pt>
                <c:pt idx="3585">
                  <c:v>84</c:v>
                </c:pt>
                <c:pt idx="3586">
                  <c:v>86</c:v>
                </c:pt>
                <c:pt idx="3587">
                  <c:v>92</c:v>
                </c:pt>
                <c:pt idx="3588">
                  <c:v>94</c:v>
                </c:pt>
                <c:pt idx="3589">
                  <c:v>100</c:v>
                </c:pt>
                <c:pt idx="3590">
                  <c:v>119</c:v>
                </c:pt>
                <c:pt idx="3591">
                  <c:v>167</c:v>
                </c:pt>
                <c:pt idx="3592">
                  <c:v>92</c:v>
                </c:pt>
                <c:pt idx="3593">
                  <c:v>108</c:v>
                </c:pt>
                <c:pt idx="3594">
                  <c:v>97</c:v>
                </c:pt>
                <c:pt idx="3595">
                  <c:v>88</c:v>
                </c:pt>
                <c:pt idx="3596">
                  <c:v>100</c:v>
                </c:pt>
                <c:pt idx="3597">
                  <c:v>88</c:v>
                </c:pt>
                <c:pt idx="3598">
                  <c:v>79</c:v>
                </c:pt>
                <c:pt idx="3599">
                  <c:v>96</c:v>
                </c:pt>
                <c:pt idx="3600">
                  <c:v>53</c:v>
                </c:pt>
                <c:pt idx="3601">
                  <c:v>97</c:v>
                </c:pt>
                <c:pt idx="3602">
                  <c:v>91</c:v>
                </c:pt>
                <c:pt idx="3603">
                  <c:v>93</c:v>
                </c:pt>
                <c:pt idx="3604">
                  <c:v>112</c:v>
                </c:pt>
                <c:pt idx="3605">
                  <c:v>160</c:v>
                </c:pt>
                <c:pt idx="3606">
                  <c:v>95</c:v>
                </c:pt>
                <c:pt idx="3607">
                  <c:v>93</c:v>
                </c:pt>
                <c:pt idx="3608">
                  <c:v>88</c:v>
                </c:pt>
                <c:pt idx="3609">
                  <c:v>82</c:v>
                </c:pt>
                <c:pt idx="3610">
                  <c:v>78</c:v>
                </c:pt>
                <c:pt idx="3611">
                  <c:v>97</c:v>
                </c:pt>
                <c:pt idx="3612">
                  <c:v>81</c:v>
                </c:pt>
                <c:pt idx="3613">
                  <c:v>88</c:v>
                </c:pt>
                <c:pt idx="3614">
                  <c:v>96</c:v>
                </c:pt>
                <c:pt idx="3615">
                  <c:v>108</c:v>
                </c:pt>
                <c:pt idx="3616">
                  <c:v>100</c:v>
                </c:pt>
                <c:pt idx="3617">
                  <c:v>113</c:v>
                </c:pt>
                <c:pt idx="3618">
                  <c:v>104</c:v>
                </c:pt>
                <c:pt idx="3619">
                  <c:v>91</c:v>
                </c:pt>
                <c:pt idx="3620">
                  <c:v>85</c:v>
                </c:pt>
                <c:pt idx="3621">
                  <c:v>101</c:v>
                </c:pt>
                <c:pt idx="3622">
                  <c:v>88</c:v>
                </c:pt>
                <c:pt idx="3623">
                  <c:v>107</c:v>
                </c:pt>
                <c:pt idx="3624">
                  <c:v>88</c:v>
                </c:pt>
                <c:pt idx="3625">
                  <c:v>95</c:v>
                </c:pt>
                <c:pt idx="3626">
                  <c:v>123</c:v>
                </c:pt>
                <c:pt idx="3627">
                  <c:v>88</c:v>
                </c:pt>
                <c:pt idx="3628">
                  <c:v>114</c:v>
                </c:pt>
                <c:pt idx="3629">
                  <c:v>88</c:v>
                </c:pt>
                <c:pt idx="3630">
                  <c:v>104</c:v>
                </c:pt>
                <c:pt idx="3631">
                  <c:v>93</c:v>
                </c:pt>
                <c:pt idx="3632">
                  <c:v>91</c:v>
                </c:pt>
                <c:pt idx="3633">
                  <c:v>90</c:v>
                </c:pt>
                <c:pt idx="3634">
                  <c:v>112</c:v>
                </c:pt>
                <c:pt idx="3635">
                  <c:v>86</c:v>
                </c:pt>
                <c:pt idx="3636">
                  <c:v>86</c:v>
                </c:pt>
                <c:pt idx="3637">
                  <c:v>95</c:v>
                </c:pt>
                <c:pt idx="3638">
                  <c:v>101</c:v>
                </c:pt>
                <c:pt idx="3639">
                  <c:v>88</c:v>
                </c:pt>
                <c:pt idx="3640">
                  <c:v>99</c:v>
                </c:pt>
                <c:pt idx="3641">
                  <c:v>170</c:v>
                </c:pt>
                <c:pt idx="3642">
                  <c:v>97</c:v>
                </c:pt>
                <c:pt idx="3643">
                  <c:v>106</c:v>
                </c:pt>
                <c:pt idx="3644">
                  <c:v>107</c:v>
                </c:pt>
                <c:pt idx="3645">
                  <c:v>84</c:v>
                </c:pt>
                <c:pt idx="3646">
                  <c:v>81</c:v>
                </c:pt>
                <c:pt idx="3647">
                  <c:v>81</c:v>
                </c:pt>
                <c:pt idx="3648">
                  <c:v>215</c:v>
                </c:pt>
                <c:pt idx="3649">
                  <c:v>106</c:v>
                </c:pt>
                <c:pt idx="3650">
                  <c:v>103</c:v>
                </c:pt>
                <c:pt idx="3651">
                  <c:v>90</c:v>
                </c:pt>
                <c:pt idx="3652">
                  <c:v>87</c:v>
                </c:pt>
                <c:pt idx="3653">
                  <c:v>80</c:v>
                </c:pt>
                <c:pt idx="3654">
                  <c:v>122</c:v>
                </c:pt>
                <c:pt idx="3655">
                  <c:v>86</c:v>
                </c:pt>
                <c:pt idx="3656">
                  <c:v>79</c:v>
                </c:pt>
                <c:pt idx="3657">
                  <c:v>97</c:v>
                </c:pt>
                <c:pt idx="3658">
                  <c:v>89</c:v>
                </c:pt>
                <c:pt idx="3659">
                  <c:v>120</c:v>
                </c:pt>
                <c:pt idx="3660">
                  <c:v>108</c:v>
                </c:pt>
                <c:pt idx="3661">
                  <c:v>102</c:v>
                </c:pt>
                <c:pt idx="3662">
                  <c:v>83</c:v>
                </c:pt>
                <c:pt idx="3663">
                  <c:v>93</c:v>
                </c:pt>
                <c:pt idx="3664">
                  <c:v>86</c:v>
                </c:pt>
                <c:pt idx="3665">
                  <c:v>101</c:v>
                </c:pt>
                <c:pt idx="3666">
                  <c:v>111</c:v>
                </c:pt>
                <c:pt idx="3667">
                  <c:v>90</c:v>
                </c:pt>
                <c:pt idx="3668">
                  <c:v>86</c:v>
                </c:pt>
                <c:pt idx="3669">
                  <c:v>98</c:v>
                </c:pt>
                <c:pt idx="3670">
                  <c:v>91</c:v>
                </c:pt>
                <c:pt idx="3671">
                  <c:v>91</c:v>
                </c:pt>
                <c:pt idx="3672">
                  <c:v>88</c:v>
                </c:pt>
                <c:pt idx="3673">
                  <c:v>202</c:v>
                </c:pt>
                <c:pt idx="3674">
                  <c:v>89</c:v>
                </c:pt>
                <c:pt idx="3675">
                  <c:v>84</c:v>
                </c:pt>
                <c:pt idx="3676">
                  <c:v>82</c:v>
                </c:pt>
                <c:pt idx="3677">
                  <c:v>100</c:v>
                </c:pt>
                <c:pt idx="3678">
                  <c:v>112</c:v>
                </c:pt>
                <c:pt idx="3679">
                  <c:v>94</c:v>
                </c:pt>
                <c:pt idx="3680">
                  <c:v>91</c:v>
                </c:pt>
                <c:pt idx="3681">
                  <c:v>87</c:v>
                </c:pt>
                <c:pt idx="3682">
                  <c:v>82</c:v>
                </c:pt>
                <c:pt idx="3683">
                  <c:v>91</c:v>
                </c:pt>
                <c:pt idx="3684">
                  <c:v>107</c:v>
                </c:pt>
                <c:pt idx="3685">
                  <c:v>84</c:v>
                </c:pt>
                <c:pt idx="3686">
                  <c:v>103</c:v>
                </c:pt>
                <c:pt idx="3687">
                  <c:v>89</c:v>
                </c:pt>
                <c:pt idx="3688">
                  <c:v>98</c:v>
                </c:pt>
                <c:pt idx="3689">
                  <c:v>133</c:v>
                </c:pt>
                <c:pt idx="3690">
                  <c:v>92</c:v>
                </c:pt>
                <c:pt idx="3691">
                  <c:v>90</c:v>
                </c:pt>
                <c:pt idx="3692">
                  <c:v>84</c:v>
                </c:pt>
                <c:pt idx="3693">
                  <c:v>91</c:v>
                </c:pt>
                <c:pt idx="3694">
                  <c:v>90</c:v>
                </c:pt>
                <c:pt idx="3695">
                  <c:v>96</c:v>
                </c:pt>
                <c:pt idx="3696">
                  <c:v>88</c:v>
                </c:pt>
                <c:pt idx="3697">
                  <c:v>92</c:v>
                </c:pt>
                <c:pt idx="3698">
                  <c:v>82</c:v>
                </c:pt>
                <c:pt idx="3699">
                  <c:v>101</c:v>
                </c:pt>
                <c:pt idx="3700">
                  <c:v>86</c:v>
                </c:pt>
                <c:pt idx="3701">
                  <c:v>100</c:v>
                </c:pt>
                <c:pt idx="3702">
                  <c:v>89</c:v>
                </c:pt>
                <c:pt idx="3703">
                  <c:v>84</c:v>
                </c:pt>
                <c:pt idx="3704">
                  <c:v>88</c:v>
                </c:pt>
                <c:pt idx="3705">
                  <c:v>90</c:v>
                </c:pt>
                <c:pt idx="3706">
                  <c:v>102</c:v>
                </c:pt>
                <c:pt idx="3707">
                  <c:v>98</c:v>
                </c:pt>
                <c:pt idx="3708">
                  <c:v>91</c:v>
                </c:pt>
                <c:pt idx="3709">
                  <c:v>80</c:v>
                </c:pt>
                <c:pt idx="3710">
                  <c:v>76</c:v>
                </c:pt>
                <c:pt idx="3711">
                  <c:v>80</c:v>
                </c:pt>
                <c:pt idx="3712">
                  <c:v>102</c:v>
                </c:pt>
                <c:pt idx="3713">
                  <c:v>95</c:v>
                </c:pt>
                <c:pt idx="3714">
                  <c:v>94</c:v>
                </c:pt>
                <c:pt idx="3715">
                  <c:v>109</c:v>
                </c:pt>
                <c:pt idx="3716">
                  <c:v>95</c:v>
                </c:pt>
                <c:pt idx="3717">
                  <c:v>90</c:v>
                </c:pt>
                <c:pt idx="3718">
                  <c:v>113</c:v>
                </c:pt>
                <c:pt idx="3719">
                  <c:v>91</c:v>
                </c:pt>
                <c:pt idx="3720">
                  <c:v>98</c:v>
                </c:pt>
                <c:pt idx="3721">
                  <c:v>94</c:v>
                </c:pt>
                <c:pt idx="3722">
                  <c:v>96</c:v>
                </c:pt>
                <c:pt idx="3723">
                  <c:v>100</c:v>
                </c:pt>
                <c:pt idx="3724">
                  <c:v>90</c:v>
                </c:pt>
                <c:pt idx="3725">
                  <c:v>76</c:v>
                </c:pt>
                <c:pt idx="3726">
                  <c:v>75</c:v>
                </c:pt>
                <c:pt idx="3727">
                  <c:v>78</c:v>
                </c:pt>
                <c:pt idx="3728">
                  <c:v>90</c:v>
                </c:pt>
                <c:pt idx="3729">
                  <c:v>92</c:v>
                </c:pt>
                <c:pt idx="3730">
                  <c:v>99</c:v>
                </c:pt>
                <c:pt idx="3731">
                  <c:v>81</c:v>
                </c:pt>
                <c:pt idx="3732">
                  <c:v>86</c:v>
                </c:pt>
                <c:pt idx="3733">
                  <c:v>106</c:v>
                </c:pt>
                <c:pt idx="3734">
                  <c:v>80</c:v>
                </c:pt>
                <c:pt idx="3735">
                  <c:v>96</c:v>
                </c:pt>
                <c:pt idx="3736">
                  <c:v>99</c:v>
                </c:pt>
                <c:pt idx="3737">
                  <c:v>85</c:v>
                </c:pt>
                <c:pt idx="3738">
                  <c:v>101</c:v>
                </c:pt>
                <c:pt idx="3739">
                  <c:v>97</c:v>
                </c:pt>
                <c:pt idx="3740">
                  <c:v>103</c:v>
                </c:pt>
                <c:pt idx="3741">
                  <c:v>86</c:v>
                </c:pt>
                <c:pt idx="3742">
                  <c:v>106</c:v>
                </c:pt>
                <c:pt idx="3743">
                  <c:v>89</c:v>
                </c:pt>
                <c:pt idx="3744">
                  <c:v>97</c:v>
                </c:pt>
                <c:pt idx="3745">
                  <c:v>88</c:v>
                </c:pt>
                <c:pt idx="3746">
                  <c:v>92</c:v>
                </c:pt>
                <c:pt idx="3747">
                  <c:v>97</c:v>
                </c:pt>
                <c:pt idx="3748">
                  <c:v>78</c:v>
                </c:pt>
                <c:pt idx="3749">
                  <c:v>85</c:v>
                </c:pt>
                <c:pt idx="3750">
                  <c:v>88</c:v>
                </c:pt>
                <c:pt idx="3751">
                  <c:v>93</c:v>
                </c:pt>
                <c:pt idx="3752">
                  <c:v>72</c:v>
                </c:pt>
                <c:pt idx="3753">
                  <c:v>80</c:v>
                </c:pt>
                <c:pt idx="3754">
                  <c:v>91</c:v>
                </c:pt>
                <c:pt idx="3755">
                  <c:v>90</c:v>
                </c:pt>
                <c:pt idx="3756">
                  <c:v>111</c:v>
                </c:pt>
                <c:pt idx="3757">
                  <c:v>81</c:v>
                </c:pt>
                <c:pt idx="3758">
                  <c:v>81</c:v>
                </c:pt>
                <c:pt idx="3759">
                  <c:v>90</c:v>
                </c:pt>
                <c:pt idx="3760">
                  <c:v>88</c:v>
                </c:pt>
                <c:pt idx="3761">
                  <c:v>84</c:v>
                </c:pt>
                <c:pt idx="3762">
                  <c:v>87</c:v>
                </c:pt>
                <c:pt idx="3763">
                  <c:v>100</c:v>
                </c:pt>
                <c:pt idx="3764">
                  <c:v>82</c:v>
                </c:pt>
                <c:pt idx="3765">
                  <c:v>82</c:v>
                </c:pt>
                <c:pt idx="3766">
                  <c:v>98</c:v>
                </c:pt>
                <c:pt idx="3767">
                  <c:v>98</c:v>
                </c:pt>
                <c:pt idx="3768">
                  <c:v>90</c:v>
                </c:pt>
                <c:pt idx="3769">
                  <c:v>90</c:v>
                </c:pt>
                <c:pt idx="3770">
                  <c:v>78</c:v>
                </c:pt>
                <c:pt idx="3771">
                  <c:v>102</c:v>
                </c:pt>
                <c:pt idx="3772">
                  <c:v>65</c:v>
                </c:pt>
                <c:pt idx="3773">
                  <c:v>97</c:v>
                </c:pt>
                <c:pt idx="3774">
                  <c:v>100</c:v>
                </c:pt>
                <c:pt idx="3775">
                  <c:v>85</c:v>
                </c:pt>
                <c:pt idx="3776">
                  <c:v>88</c:v>
                </c:pt>
                <c:pt idx="3777">
                  <c:v>108</c:v>
                </c:pt>
                <c:pt idx="3778">
                  <c:v>110</c:v>
                </c:pt>
                <c:pt idx="3779">
                  <c:v>90</c:v>
                </c:pt>
                <c:pt idx="3780">
                  <c:v>111</c:v>
                </c:pt>
                <c:pt idx="3781">
                  <c:v>77</c:v>
                </c:pt>
                <c:pt idx="3782">
                  <c:v>80</c:v>
                </c:pt>
                <c:pt idx="3783">
                  <c:v>81</c:v>
                </c:pt>
                <c:pt idx="3784">
                  <c:v>95</c:v>
                </c:pt>
                <c:pt idx="3785">
                  <c:v>90</c:v>
                </c:pt>
              </c:numCache>
            </c:numRef>
          </c:xVal>
          <c:yVal>
            <c:numRef>
              <c:f>[1]Solution!$I$2:$I$3890</c:f>
              <c:numCache>
                <c:formatCode>General</c:formatCode>
                <c:ptCount val="3889"/>
                <c:pt idx="0">
                  <c:v>7.9</c:v>
                </c:pt>
                <c:pt idx="1">
                  <c:v>7.1</c:v>
                </c:pt>
                <c:pt idx="2">
                  <c:v>6.8</c:v>
                </c:pt>
                <c:pt idx="3">
                  <c:v>8.5</c:v>
                </c:pt>
                <c:pt idx="4">
                  <c:v>6.6</c:v>
                </c:pt>
                <c:pt idx="5">
                  <c:v>6.2</c:v>
                </c:pt>
                <c:pt idx="6">
                  <c:v>7.8</c:v>
                </c:pt>
                <c:pt idx="7">
                  <c:v>7.5</c:v>
                </c:pt>
                <c:pt idx="8">
                  <c:v>7.5</c:v>
                </c:pt>
                <c:pt idx="9">
                  <c:v>6.9</c:v>
                </c:pt>
                <c:pt idx="10">
                  <c:v>6.1</c:v>
                </c:pt>
                <c:pt idx="11">
                  <c:v>6.7</c:v>
                </c:pt>
                <c:pt idx="12">
                  <c:v>7.3</c:v>
                </c:pt>
                <c:pt idx="13">
                  <c:v>6.5</c:v>
                </c:pt>
                <c:pt idx="14">
                  <c:v>7.2</c:v>
                </c:pt>
                <c:pt idx="15">
                  <c:v>6.6</c:v>
                </c:pt>
                <c:pt idx="16">
                  <c:v>8.1</c:v>
                </c:pt>
                <c:pt idx="17">
                  <c:v>6.7</c:v>
                </c:pt>
                <c:pt idx="18">
                  <c:v>6.8</c:v>
                </c:pt>
                <c:pt idx="19">
                  <c:v>7.5</c:v>
                </c:pt>
                <c:pt idx="20">
                  <c:v>7</c:v>
                </c:pt>
                <c:pt idx="21">
                  <c:v>6.7</c:v>
                </c:pt>
                <c:pt idx="22">
                  <c:v>7.9</c:v>
                </c:pt>
                <c:pt idx="23">
                  <c:v>6.1</c:v>
                </c:pt>
                <c:pt idx="24">
                  <c:v>7.2</c:v>
                </c:pt>
                <c:pt idx="25">
                  <c:v>7.7</c:v>
                </c:pt>
                <c:pt idx="26">
                  <c:v>8.1999999999999993</c:v>
                </c:pt>
                <c:pt idx="27">
                  <c:v>5.9</c:v>
                </c:pt>
                <c:pt idx="28">
                  <c:v>7</c:v>
                </c:pt>
                <c:pt idx="29">
                  <c:v>7.8</c:v>
                </c:pt>
                <c:pt idx="30">
                  <c:v>7.3</c:v>
                </c:pt>
                <c:pt idx="31">
                  <c:v>7.2</c:v>
                </c:pt>
                <c:pt idx="32">
                  <c:v>6.5</c:v>
                </c:pt>
                <c:pt idx="33">
                  <c:v>6.8</c:v>
                </c:pt>
                <c:pt idx="34">
                  <c:v>7.3</c:v>
                </c:pt>
                <c:pt idx="35">
                  <c:v>6</c:v>
                </c:pt>
                <c:pt idx="36">
                  <c:v>5.7</c:v>
                </c:pt>
                <c:pt idx="37">
                  <c:v>6.4</c:v>
                </c:pt>
                <c:pt idx="38">
                  <c:v>6.7</c:v>
                </c:pt>
                <c:pt idx="39">
                  <c:v>6.8</c:v>
                </c:pt>
                <c:pt idx="40">
                  <c:v>6.3</c:v>
                </c:pt>
                <c:pt idx="41">
                  <c:v>5.6</c:v>
                </c:pt>
                <c:pt idx="42">
                  <c:v>8.3000000000000007</c:v>
                </c:pt>
                <c:pt idx="43">
                  <c:v>6.6</c:v>
                </c:pt>
                <c:pt idx="44">
                  <c:v>7.2</c:v>
                </c:pt>
                <c:pt idx="45">
                  <c:v>7</c:v>
                </c:pt>
                <c:pt idx="46">
                  <c:v>8</c:v>
                </c:pt>
                <c:pt idx="47">
                  <c:v>7.8</c:v>
                </c:pt>
                <c:pt idx="48">
                  <c:v>6.3</c:v>
                </c:pt>
                <c:pt idx="49">
                  <c:v>7.3</c:v>
                </c:pt>
                <c:pt idx="50">
                  <c:v>6.6</c:v>
                </c:pt>
                <c:pt idx="51">
                  <c:v>7</c:v>
                </c:pt>
                <c:pt idx="52">
                  <c:v>6.3</c:v>
                </c:pt>
                <c:pt idx="53">
                  <c:v>6.2</c:v>
                </c:pt>
                <c:pt idx="54">
                  <c:v>7.2</c:v>
                </c:pt>
                <c:pt idx="55">
                  <c:v>7.5</c:v>
                </c:pt>
                <c:pt idx="56">
                  <c:v>8.4</c:v>
                </c:pt>
                <c:pt idx="57">
                  <c:v>6.2</c:v>
                </c:pt>
                <c:pt idx="58">
                  <c:v>5.8</c:v>
                </c:pt>
                <c:pt idx="59">
                  <c:v>6.8</c:v>
                </c:pt>
                <c:pt idx="60">
                  <c:v>5.4</c:v>
                </c:pt>
                <c:pt idx="61">
                  <c:v>6.6</c:v>
                </c:pt>
                <c:pt idx="62">
                  <c:v>6.9</c:v>
                </c:pt>
                <c:pt idx="63">
                  <c:v>7.3</c:v>
                </c:pt>
                <c:pt idx="64">
                  <c:v>9</c:v>
                </c:pt>
                <c:pt idx="65">
                  <c:v>8.3000000000000007</c:v>
                </c:pt>
                <c:pt idx="66">
                  <c:v>6.5</c:v>
                </c:pt>
                <c:pt idx="67">
                  <c:v>7.9</c:v>
                </c:pt>
                <c:pt idx="68">
                  <c:v>7.5</c:v>
                </c:pt>
                <c:pt idx="69">
                  <c:v>4.8</c:v>
                </c:pt>
                <c:pt idx="70">
                  <c:v>5.2</c:v>
                </c:pt>
                <c:pt idx="71">
                  <c:v>6.9</c:v>
                </c:pt>
                <c:pt idx="72">
                  <c:v>5.4</c:v>
                </c:pt>
                <c:pt idx="73">
                  <c:v>7.9</c:v>
                </c:pt>
                <c:pt idx="74">
                  <c:v>6.1</c:v>
                </c:pt>
                <c:pt idx="75">
                  <c:v>5.8</c:v>
                </c:pt>
                <c:pt idx="76">
                  <c:v>8.3000000000000007</c:v>
                </c:pt>
                <c:pt idx="77">
                  <c:v>7.8</c:v>
                </c:pt>
                <c:pt idx="78">
                  <c:v>7</c:v>
                </c:pt>
                <c:pt idx="79">
                  <c:v>6.1</c:v>
                </c:pt>
                <c:pt idx="80">
                  <c:v>7</c:v>
                </c:pt>
                <c:pt idx="81">
                  <c:v>7.6</c:v>
                </c:pt>
                <c:pt idx="82">
                  <c:v>6.3</c:v>
                </c:pt>
                <c:pt idx="83">
                  <c:v>7.8</c:v>
                </c:pt>
                <c:pt idx="84">
                  <c:v>6.4</c:v>
                </c:pt>
                <c:pt idx="85">
                  <c:v>6.5</c:v>
                </c:pt>
                <c:pt idx="86">
                  <c:v>7.9</c:v>
                </c:pt>
                <c:pt idx="87">
                  <c:v>7.8</c:v>
                </c:pt>
                <c:pt idx="88">
                  <c:v>6.6</c:v>
                </c:pt>
                <c:pt idx="89">
                  <c:v>5.5</c:v>
                </c:pt>
                <c:pt idx="90">
                  <c:v>8.1999999999999993</c:v>
                </c:pt>
                <c:pt idx="91">
                  <c:v>6.4</c:v>
                </c:pt>
                <c:pt idx="92">
                  <c:v>8.1</c:v>
                </c:pt>
                <c:pt idx="93">
                  <c:v>8.6</c:v>
                </c:pt>
                <c:pt idx="94">
                  <c:v>8.8000000000000007</c:v>
                </c:pt>
                <c:pt idx="95">
                  <c:v>7.9</c:v>
                </c:pt>
                <c:pt idx="96">
                  <c:v>6.7</c:v>
                </c:pt>
                <c:pt idx="97">
                  <c:v>7.8</c:v>
                </c:pt>
                <c:pt idx="98">
                  <c:v>7.8</c:v>
                </c:pt>
                <c:pt idx="99">
                  <c:v>6.6</c:v>
                </c:pt>
                <c:pt idx="100">
                  <c:v>6.1</c:v>
                </c:pt>
                <c:pt idx="101">
                  <c:v>5.6</c:v>
                </c:pt>
                <c:pt idx="102">
                  <c:v>6.4</c:v>
                </c:pt>
                <c:pt idx="103">
                  <c:v>6.1</c:v>
                </c:pt>
                <c:pt idx="104">
                  <c:v>7.3</c:v>
                </c:pt>
                <c:pt idx="105">
                  <c:v>6.6</c:v>
                </c:pt>
                <c:pt idx="106">
                  <c:v>6.3</c:v>
                </c:pt>
                <c:pt idx="107">
                  <c:v>6.1</c:v>
                </c:pt>
                <c:pt idx="108">
                  <c:v>7.1</c:v>
                </c:pt>
                <c:pt idx="109">
                  <c:v>5.5</c:v>
                </c:pt>
                <c:pt idx="110">
                  <c:v>7.5</c:v>
                </c:pt>
                <c:pt idx="111">
                  <c:v>7.6</c:v>
                </c:pt>
                <c:pt idx="112">
                  <c:v>6.4</c:v>
                </c:pt>
                <c:pt idx="113">
                  <c:v>7.2</c:v>
                </c:pt>
                <c:pt idx="114">
                  <c:v>6.7</c:v>
                </c:pt>
                <c:pt idx="115">
                  <c:v>8</c:v>
                </c:pt>
                <c:pt idx="116">
                  <c:v>8.3000000000000007</c:v>
                </c:pt>
                <c:pt idx="117">
                  <c:v>6.7</c:v>
                </c:pt>
                <c:pt idx="118">
                  <c:v>5.9</c:v>
                </c:pt>
                <c:pt idx="119">
                  <c:v>6.7</c:v>
                </c:pt>
                <c:pt idx="120">
                  <c:v>6.7</c:v>
                </c:pt>
                <c:pt idx="121">
                  <c:v>7.6</c:v>
                </c:pt>
                <c:pt idx="122">
                  <c:v>7.2</c:v>
                </c:pt>
                <c:pt idx="123">
                  <c:v>7.1</c:v>
                </c:pt>
                <c:pt idx="124">
                  <c:v>8.1</c:v>
                </c:pt>
                <c:pt idx="125">
                  <c:v>6.7</c:v>
                </c:pt>
                <c:pt idx="126">
                  <c:v>7</c:v>
                </c:pt>
                <c:pt idx="127">
                  <c:v>6.9</c:v>
                </c:pt>
                <c:pt idx="128">
                  <c:v>5.0999999999999996</c:v>
                </c:pt>
                <c:pt idx="129">
                  <c:v>5.8</c:v>
                </c:pt>
                <c:pt idx="130">
                  <c:v>6.2</c:v>
                </c:pt>
                <c:pt idx="131">
                  <c:v>7.4</c:v>
                </c:pt>
                <c:pt idx="132">
                  <c:v>5.8</c:v>
                </c:pt>
                <c:pt idx="133">
                  <c:v>6.2</c:v>
                </c:pt>
                <c:pt idx="134">
                  <c:v>7.3</c:v>
                </c:pt>
                <c:pt idx="135">
                  <c:v>4.2</c:v>
                </c:pt>
                <c:pt idx="136">
                  <c:v>6.9</c:v>
                </c:pt>
                <c:pt idx="137">
                  <c:v>6.4</c:v>
                </c:pt>
                <c:pt idx="138">
                  <c:v>5.4</c:v>
                </c:pt>
                <c:pt idx="139">
                  <c:v>6.7</c:v>
                </c:pt>
                <c:pt idx="140">
                  <c:v>5.8</c:v>
                </c:pt>
                <c:pt idx="141">
                  <c:v>6.9</c:v>
                </c:pt>
                <c:pt idx="142">
                  <c:v>7.2</c:v>
                </c:pt>
                <c:pt idx="143">
                  <c:v>6.9</c:v>
                </c:pt>
                <c:pt idx="144">
                  <c:v>6.1</c:v>
                </c:pt>
                <c:pt idx="145">
                  <c:v>5.5</c:v>
                </c:pt>
                <c:pt idx="146">
                  <c:v>6.6</c:v>
                </c:pt>
                <c:pt idx="147">
                  <c:v>6.1</c:v>
                </c:pt>
                <c:pt idx="148">
                  <c:v>6.3</c:v>
                </c:pt>
                <c:pt idx="149">
                  <c:v>7.2</c:v>
                </c:pt>
                <c:pt idx="150">
                  <c:v>7.4</c:v>
                </c:pt>
                <c:pt idx="151">
                  <c:v>7.3</c:v>
                </c:pt>
                <c:pt idx="152">
                  <c:v>6.1</c:v>
                </c:pt>
                <c:pt idx="153">
                  <c:v>7.7</c:v>
                </c:pt>
                <c:pt idx="154">
                  <c:v>6.1</c:v>
                </c:pt>
                <c:pt idx="155">
                  <c:v>8</c:v>
                </c:pt>
                <c:pt idx="156">
                  <c:v>7.3</c:v>
                </c:pt>
                <c:pt idx="157">
                  <c:v>7.9</c:v>
                </c:pt>
                <c:pt idx="158">
                  <c:v>5.5</c:v>
                </c:pt>
                <c:pt idx="159">
                  <c:v>5</c:v>
                </c:pt>
                <c:pt idx="160">
                  <c:v>7.7</c:v>
                </c:pt>
                <c:pt idx="161">
                  <c:v>6.6</c:v>
                </c:pt>
                <c:pt idx="162">
                  <c:v>5.7</c:v>
                </c:pt>
                <c:pt idx="163">
                  <c:v>5.8</c:v>
                </c:pt>
                <c:pt idx="164">
                  <c:v>6</c:v>
                </c:pt>
                <c:pt idx="165">
                  <c:v>6.4</c:v>
                </c:pt>
                <c:pt idx="166">
                  <c:v>6.9</c:v>
                </c:pt>
                <c:pt idx="167">
                  <c:v>6.4</c:v>
                </c:pt>
                <c:pt idx="168">
                  <c:v>7.4</c:v>
                </c:pt>
                <c:pt idx="169">
                  <c:v>5.5</c:v>
                </c:pt>
                <c:pt idx="170">
                  <c:v>5.9</c:v>
                </c:pt>
                <c:pt idx="171">
                  <c:v>6.8</c:v>
                </c:pt>
                <c:pt idx="172">
                  <c:v>6.8</c:v>
                </c:pt>
                <c:pt idx="173">
                  <c:v>8.1</c:v>
                </c:pt>
                <c:pt idx="174">
                  <c:v>6.5</c:v>
                </c:pt>
                <c:pt idx="175">
                  <c:v>7.2</c:v>
                </c:pt>
                <c:pt idx="176">
                  <c:v>6.7</c:v>
                </c:pt>
                <c:pt idx="177">
                  <c:v>8.1</c:v>
                </c:pt>
                <c:pt idx="178">
                  <c:v>7.6</c:v>
                </c:pt>
                <c:pt idx="179">
                  <c:v>7.4</c:v>
                </c:pt>
                <c:pt idx="180">
                  <c:v>7.6</c:v>
                </c:pt>
                <c:pt idx="181">
                  <c:v>6.7</c:v>
                </c:pt>
                <c:pt idx="182">
                  <c:v>6.5</c:v>
                </c:pt>
                <c:pt idx="183">
                  <c:v>6.6</c:v>
                </c:pt>
                <c:pt idx="184">
                  <c:v>6.7</c:v>
                </c:pt>
                <c:pt idx="185">
                  <c:v>6.4</c:v>
                </c:pt>
                <c:pt idx="186">
                  <c:v>5.8</c:v>
                </c:pt>
                <c:pt idx="187">
                  <c:v>7.4</c:v>
                </c:pt>
                <c:pt idx="188">
                  <c:v>7.8</c:v>
                </c:pt>
                <c:pt idx="189">
                  <c:v>6.6</c:v>
                </c:pt>
                <c:pt idx="190">
                  <c:v>4.9000000000000004</c:v>
                </c:pt>
                <c:pt idx="191">
                  <c:v>6.5</c:v>
                </c:pt>
                <c:pt idx="192">
                  <c:v>6.2</c:v>
                </c:pt>
                <c:pt idx="193">
                  <c:v>7.3</c:v>
                </c:pt>
                <c:pt idx="194">
                  <c:v>7.5</c:v>
                </c:pt>
                <c:pt idx="195">
                  <c:v>5.6</c:v>
                </c:pt>
                <c:pt idx="196">
                  <c:v>8.1</c:v>
                </c:pt>
                <c:pt idx="197">
                  <c:v>6.7</c:v>
                </c:pt>
                <c:pt idx="198">
                  <c:v>6.6</c:v>
                </c:pt>
                <c:pt idx="199">
                  <c:v>6.4</c:v>
                </c:pt>
                <c:pt idx="200">
                  <c:v>7.5</c:v>
                </c:pt>
                <c:pt idx="201">
                  <c:v>7.3</c:v>
                </c:pt>
                <c:pt idx="202">
                  <c:v>7.5</c:v>
                </c:pt>
                <c:pt idx="203">
                  <c:v>5.8</c:v>
                </c:pt>
                <c:pt idx="204">
                  <c:v>7.5</c:v>
                </c:pt>
                <c:pt idx="205">
                  <c:v>6.6</c:v>
                </c:pt>
                <c:pt idx="206">
                  <c:v>6.7</c:v>
                </c:pt>
                <c:pt idx="207">
                  <c:v>3.7</c:v>
                </c:pt>
                <c:pt idx="208">
                  <c:v>6</c:v>
                </c:pt>
                <c:pt idx="209">
                  <c:v>6.4</c:v>
                </c:pt>
                <c:pt idx="210">
                  <c:v>6.1</c:v>
                </c:pt>
                <c:pt idx="211">
                  <c:v>6.4</c:v>
                </c:pt>
                <c:pt idx="212">
                  <c:v>5.6</c:v>
                </c:pt>
                <c:pt idx="213">
                  <c:v>8</c:v>
                </c:pt>
                <c:pt idx="214">
                  <c:v>5.2</c:v>
                </c:pt>
                <c:pt idx="215">
                  <c:v>7.1</c:v>
                </c:pt>
                <c:pt idx="216">
                  <c:v>4.8</c:v>
                </c:pt>
                <c:pt idx="217">
                  <c:v>7</c:v>
                </c:pt>
                <c:pt idx="218">
                  <c:v>5.4</c:v>
                </c:pt>
                <c:pt idx="219">
                  <c:v>6.6</c:v>
                </c:pt>
                <c:pt idx="220">
                  <c:v>6.7</c:v>
                </c:pt>
                <c:pt idx="221">
                  <c:v>6.2</c:v>
                </c:pt>
                <c:pt idx="222">
                  <c:v>6.1</c:v>
                </c:pt>
                <c:pt idx="223">
                  <c:v>5.3</c:v>
                </c:pt>
                <c:pt idx="224">
                  <c:v>6.3</c:v>
                </c:pt>
                <c:pt idx="225">
                  <c:v>7</c:v>
                </c:pt>
                <c:pt idx="226">
                  <c:v>7.6</c:v>
                </c:pt>
                <c:pt idx="227">
                  <c:v>6.7</c:v>
                </c:pt>
                <c:pt idx="228">
                  <c:v>8.1</c:v>
                </c:pt>
                <c:pt idx="229">
                  <c:v>6.7</c:v>
                </c:pt>
                <c:pt idx="230">
                  <c:v>6.5</c:v>
                </c:pt>
                <c:pt idx="231">
                  <c:v>7.3</c:v>
                </c:pt>
                <c:pt idx="232">
                  <c:v>6</c:v>
                </c:pt>
                <c:pt idx="233">
                  <c:v>6.1</c:v>
                </c:pt>
                <c:pt idx="234">
                  <c:v>5.9</c:v>
                </c:pt>
                <c:pt idx="235">
                  <c:v>7.8</c:v>
                </c:pt>
                <c:pt idx="236">
                  <c:v>5.8</c:v>
                </c:pt>
                <c:pt idx="237">
                  <c:v>6.3</c:v>
                </c:pt>
                <c:pt idx="238">
                  <c:v>4.3</c:v>
                </c:pt>
                <c:pt idx="239">
                  <c:v>6.4</c:v>
                </c:pt>
                <c:pt idx="240">
                  <c:v>6.1</c:v>
                </c:pt>
                <c:pt idx="241">
                  <c:v>6.5</c:v>
                </c:pt>
                <c:pt idx="242">
                  <c:v>7.1</c:v>
                </c:pt>
                <c:pt idx="243">
                  <c:v>6.4</c:v>
                </c:pt>
                <c:pt idx="244">
                  <c:v>6.5</c:v>
                </c:pt>
                <c:pt idx="245">
                  <c:v>6.3</c:v>
                </c:pt>
                <c:pt idx="246">
                  <c:v>7.5</c:v>
                </c:pt>
                <c:pt idx="247">
                  <c:v>4.9000000000000004</c:v>
                </c:pt>
                <c:pt idx="248">
                  <c:v>5.8</c:v>
                </c:pt>
                <c:pt idx="249">
                  <c:v>6.2</c:v>
                </c:pt>
                <c:pt idx="250">
                  <c:v>5.5</c:v>
                </c:pt>
                <c:pt idx="251">
                  <c:v>5.4</c:v>
                </c:pt>
                <c:pt idx="252">
                  <c:v>5.8</c:v>
                </c:pt>
                <c:pt idx="253">
                  <c:v>7.1</c:v>
                </c:pt>
                <c:pt idx="254">
                  <c:v>5.4</c:v>
                </c:pt>
                <c:pt idx="255">
                  <c:v>3.7</c:v>
                </c:pt>
                <c:pt idx="256">
                  <c:v>6.7</c:v>
                </c:pt>
                <c:pt idx="257">
                  <c:v>7.2</c:v>
                </c:pt>
                <c:pt idx="258">
                  <c:v>8.8000000000000007</c:v>
                </c:pt>
                <c:pt idx="259">
                  <c:v>5.8</c:v>
                </c:pt>
                <c:pt idx="260">
                  <c:v>6.8</c:v>
                </c:pt>
                <c:pt idx="261">
                  <c:v>3.8</c:v>
                </c:pt>
                <c:pt idx="262">
                  <c:v>7.1</c:v>
                </c:pt>
                <c:pt idx="263">
                  <c:v>7.2</c:v>
                </c:pt>
                <c:pt idx="264">
                  <c:v>5.9</c:v>
                </c:pt>
                <c:pt idx="265">
                  <c:v>7.1</c:v>
                </c:pt>
                <c:pt idx="266">
                  <c:v>8.1</c:v>
                </c:pt>
                <c:pt idx="267">
                  <c:v>6.9</c:v>
                </c:pt>
                <c:pt idx="268">
                  <c:v>4.4000000000000004</c:v>
                </c:pt>
                <c:pt idx="269">
                  <c:v>6.5</c:v>
                </c:pt>
                <c:pt idx="270">
                  <c:v>8.5</c:v>
                </c:pt>
                <c:pt idx="271">
                  <c:v>7.7</c:v>
                </c:pt>
                <c:pt idx="272">
                  <c:v>7.4</c:v>
                </c:pt>
                <c:pt idx="273">
                  <c:v>8</c:v>
                </c:pt>
                <c:pt idx="274">
                  <c:v>5.7</c:v>
                </c:pt>
                <c:pt idx="275">
                  <c:v>8.5</c:v>
                </c:pt>
                <c:pt idx="276">
                  <c:v>7</c:v>
                </c:pt>
                <c:pt idx="277">
                  <c:v>7.8</c:v>
                </c:pt>
                <c:pt idx="278">
                  <c:v>7.2</c:v>
                </c:pt>
                <c:pt idx="279">
                  <c:v>6.4</c:v>
                </c:pt>
                <c:pt idx="280">
                  <c:v>5.5</c:v>
                </c:pt>
                <c:pt idx="281">
                  <c:v>6.7</c:v>
                </c:pt>
                <c:pt idx="282">
                  <c:v>6.1</c:v>
                </c:pt>
                <c:pt idx="283">
                  <c:v>8.5</c:v>
                </c:pt>
                <c:pt idx="284">
                  <c:v>6.9</c:v>
                </c:pt>
                <c:pt idx="285">
                  <c:v>7.3</c:v>
                </c:pt>
                <c:pt idx="286">
                  <c:v>6.7</c:v>
                </c:pt>
                <c:pt idx="287">
                  <c:v>6.9</c:v>
                </c:pt>
                <c:pt idx="288">
                  <c:v>5.0999999999999996</c:v>
                </c:pt>
                <c:pt idx="289">
                  <c:v>6.8</c:v>
                </c:pt>
                <c:pt idx="290">
                  <c:v>6.7</c:v>
                </c:pt>
                <c:pt idx="291">
                  <c:v>6</c:v>
                </c:pt>
                <c:pt idx="292">
                  <c:v>5.7</c:v>
                </c:pt>
                <c:pt idx="293">
                  <c:v>8</c:v>
                </c:pt>
                <c:pt idx="294">
                  <c:v>8.1999999999999993</c:v>
                </c:pt>
                <c:pt idx="295">
                  <c:v>5.4</c:v>
                </c:pt>
                <c:pt idx="296">
                  <c:v>7.2</c:v>
                </c:pt>
                <c:pt idx="297">
                  <c:v>7.5</c:v>
                </c:pt>
                <c:pt idx="298">
                  <c:v>7</c:v>
                </c:pt>
                <c:pt idx="299">
                  <c:v>3.3</c:v>
                </c:pt>
                <c:pt idx="300">
                  <c:v>6</c:v>
                </c:pt>
                <c:pt idx="301">
                  <c:v>7.1</c:v>
                </c:pt>
                <c:pt idx="302">
                  <c:v>5.4</c:v>
                </c:pt>
                <c:pt idx="303">
                  <c:v>6.1</c:v>
                </c:pt>
                <c:pt idx="304">
                  <c:v>5.3</c:v>
                </c:pt>
                <c:pt idx="305">
                  <c:v>2.2000000000000002</c:v>
                </c:pt>
                <c:pt idx="306">
                  <c:v>7</c:v>
                </c:pt>
                <c:pt idx="307">
                  <c:v>3.8</c:v>
                </c:pt>
                <c:pt idx="308">
                  <c:v>6.9</c:v>
                </c:pt>
                <c:pt idx="309">
                  <c:v>7.2</c:v>
                </c:pt>
                <c:pt idx="310">
                  <c:v>7.3</c:v>
                </c:pt>
                <c:pt idx="311">
                  <c:v>6.3</c:v>
                </c:pt>
                <c:pt idx="312">
                  <c:v>7.5</c:v>
                </c:pt>
                <c:pt idx="313">
                  <c:v>7.6</c:v>
                </c:pt>
                <c:pt idx="314">
                  <c:v>6.8</c:v>
                </c:pt>
                <c:pt idx="315">
                  <c:v>5.2</c:v>
                </c:pt>
                <c:pt idx="316">
                  <c:v>7.7</c:v>
                </c:pt>
                <c:pt idx="317">
                  <c:v>6.2</c:v>
                </c:pt>
                <c:pt idx="318">
                  <c:v>7.7</c:v>
                </c:pt>
                <c:pt idx="319">
                  <c:v>4.3</c:v>
                </c:pt>
                <c:pt idx="320">
                  <c:v>6.9</c:v>
                </c:pt>
                <c:pt idx="321">
                  <c:v>6.6</c:v>
                </c:pt>
                <c:pt idx="322">
                  <c:v>7</c:v>
                </c:pt>
                <c:pt idx="323">
                  <c:v>6.7</c:v>
                </c:pt>
                <c:pt idx="324">
                  <c:v>8.1999999999999993</c:v>
                </c:pt>
                <c:pt idx="325">
                  <c:v>8.9</c:v>
                </c:pt>
                <c:pt idx="326">
                  <c:v>8.6999999999999993</c:v>
                </c:pt>
                <c:pt idx="327">
                  <c:v>5.5</c:v>
                </c:pt>
                <c:pt idx="328">
                  <c:v>5.7</c:v>
                </c:pt>
                <c:pt idx="329">
                  <c:v>6.3</c:v>
                </c:pt>
                <c:pt idx="330">
                  <c:v>5.9</c:v>
                </c:pt>
                <c:pt idx="331">
                  <c:v>7.6</c:v>
                </c:pt>
                <c:pt idx="332">
                  <c:v>6.6</c:v>
                </c:pt>
                <c:pt idx="333">
                  <c:v>5.3</c:v>
                </c:pt>
                <c:pt idx="334">
                  <c:v>6</c:v>
                </c:pt>
                <c:pt idx="335">
                  <c:v>8</c:v>
                </c:pt>
                <c:pt idx="336">
                  <c:v>5.6</c:v>
                </c:pt>
                <c:pt idx="337">
                  <c:v>5.9</c:v>
                </c:pt>
                <c:pt idx="338">
                  <c:v>7.3</c:v>
                </c:pt>
                <c:pt idx="339">
                  <c:v>7.9</c:v>
                </c:pt>
                <c:pt idx="340">
                  <c:v>6.8</c:v>
                </c:pt>
                <c:pt idx="341">
                  <c:v>6.6</c:v>
                </c:pt>
                <c:pt idx="342">
                  <c:v>6.6</c:v>
                </c:pt>
                <c:pt idx="343">
                  <c:v>7</c:v>
                </c:pt>
                <c:pt idx="344">
                  <c:v>7</c:v>
                </c:pt>
                <c:pt idx="345">
                  <c:v>7.3</c:v>
                </c:pt>
                <c:pt idx="346">
                  <c:v>5.5</c:v>
                </c:pt>
                <c:pt idx="347">
                  <c:v>8.5</c:v>
                </c:pt>
                <c:pt idx="348">
                  <c:v>7.5</c:v>
                </c:pt>
                <c:pt idx="349">
                  <c:v>7</c:v>
                </c:pt>
                <c:pt idx="350">
                  <c:v>7.8</c:v>
                </c:pt>
                <c:pt idx="351">
                  <c:v>7.6</c:v>
                </c:pt>
                <c:pt idx="352">
                  <c:v>7.6</c:v>
                </c:pt>
                <c:pt idx="353">
                  <c:v>6.8</c:v>
                </c:pt>
                <c:pt idx="354">
                  <c:v>5</c:v>
                </c:pt>
                <c:pt idx="355">
                  <c:v>7.1</c:v>
                </c:pt>
                <c:pt idx="356">
                  <c:v>5.5</c:v>
                </c:pt>
                <c:pt idx="357">
                  <c:v>5.6</c:v>
                </c:pt>
                <c:pt idx="358">
                  <c:v>7.1</c:v>
                </c:pt>
                <c:pt idx="359">
                  <c:v>4.9000000000000004</c:v>
                </c:pt>
                <c:pt idx="360">
                  <c:v>7.4</c:v>
                </c:pt>
                <c:pt idx="361">
                  <c:v>5.7</c:v>
                </c:pt>
                <c:pt idx="362">
                  <c:v>6.4</c:v>
                </c:pt>
                <c:pt idx="363">
                  <c:v>5.9</c:v>
                </c:pt>
                <c:pt idx="364">
                  <c:v>5.5</c:v>
                </c:pt>
                <c:pt idx="365">
                  <c:v>6.9</c:v>
                </c:pt>
                <c:pt idx="366">
                  <c:v>6.2</c:v>
                </c:pt>
                <c:pt idx="367">
                  <c:v>7</c:v>
                </c:pt>
                <c:pt idx="368">
                  <c:v>5.6</c:v>
                </c:pt>
                <c:pt idx="369">
                  <c:v>7</c:v>
                </c:pt>
                <c:pt idx="370">
                  <c:v>6.8</c:v>
                </c:pt>
                <c:pt idx="371">
                  <c:v>5.4</c:v>
                </c:pt>
                <c:pt idx="372">
                  <c:v>6.1</c:v>
                </c:pt>
                <c:pt idx="373">
                  <c:v>6.7</c:v>
                </c:pt>
                <c:pt idx="374">
                  <c:v>6.9</c:v>
                </c:pt>
                <c:pt idx="375">
                  <c:v>8</c:v>
                </c:pt>
                <c:pt idx="376">
                  <c:v>4.4000000000000004</c:v>
                </c:pt>
                <c:pt idx="377">
                  <c:v>7.3</c:v>
                </c:pt>
                <c:pt idx="378">
                  <c:v>6.3</c:v>
                </c:pt>
                <c:pt idx="379">
                  <c:v>7.7</c:v>
                </c:pt>
                <c:pt idx="380">
                  <c:v>6.5</c:v>
                </c:pt>
                <c:pt idx="381">
                  <c:v>7.8</c:v>
                </c:pt>
                <c:pt idx="382">
                  <c:v>6.4</c:v>
                </c:pt>
                <c:pt idx="383">
                  <c:v>7.8</c:v>
                </c:pt>
                <c:pt idx="384">
                  <c:v>5.8</c:v>
                </c:pt>
                <c:pt idx="385">
                  <c:v>7.1</c:v>
                </c:pt>
                <c:pt idx="386">
                  <c:v>7.1</c:v>
                </c:pt>
                <c:pt idx="387">
                  <c:v>6.8</c:v>
                </c:pt>
                <c:pt idx="388">
                  <c:v>4.8</c:v>
                </c:pt>
                <c:pt idx="389">
                  <c:v>6.2</c:v>
                </c:pt>
                <c:pt idx="390">
                  <c:v>6.9</c:v>
                </c:pt>
                <c:pt idx="391">
                  <c:v>7.3</c:v>
                </c:pt>
                <c:pt idx="392">
                  <c:v>6.6</c:v>
                </c:pt>
                <c:pt idx="393">
                  <c:v>6.9</c:v>
                </c:pt>
                <c:pt idx="394">
                  <c:v>6.2</c:v>
                </c:pt>
                <c:pt idx="395">
                  <c:v>6.7</c:v>
                </c:pt>
                <c:pt idx="396">
                  <c:v>7.6</c:v>
                </c:pt>
                <c:pt idx="397">
                  <c:v>6.7</c:v>
                </c:pt>
                <c:pt idx="398">
                  <c:v>6.2</c:v>
                </c:pt>
                <c:pt idx="399">
                  <c:v>7.3</c:v>
                </c:pt>
                <c:pt idx="400">
                  <c:v>6</c:v>
                </c:pt>
                <c:pt idx="401">
                  <c:v>7.1</c:v>
                </c:pt>
                <c:pt idx="402">
                  <c:v>7.1</c:v>
                </c:pt>
                <c:pt idx="403">
                  <c:v>5.5</c:v>
                </c:pt>
                <c:pt idx="404">
                  <c:v>5.6</c:v>
                </c:pt>
                <c:pt idx="405">
                  <c:v>7.5</c:v>
                </c:pt>
                <c:pt idx="406">
                  <c:v>5.4</c:v>
                </c:pt>
                <c:pt idx="407">
                  <c:v>4.3</c:v>
                </c:pt>
                <c:pt idx="408">
                  <c:v>4.9000000000000004</c:v>
                </c:pt>
                <c:pt idx="409">
                  <c:v>7.1</c:v>
                </c:pt>
                <c:pt idx="410">
                  <c:v>6.4</c:v>
                </c:pt>
                <c:pt idx="411">
                  <c:v>4.3</c:v>
                </c:pt>
                <c:pt idx="412">
                  <c:v>6.1</c:v>
                </c:pt>
                <c:pt idx="413">
                  <c:v>7</c:v>
                </c:pt>
                <c:pt idx="414">
                  <c:v>7.7</c:v>
                </c:pt>
                <c:pt idx="415">
                  <c:v>5.9</c:v>
                </c:pt>
                <c:pt idx="416">
                  <c:v>6.7</c:v>
                </c:pt>
                <c:pt idx="417">
                  <c:v>6.5</c:v>
                </c:pt>
                <c:pt idx="418">
                  <c:v>7.1</c:v>
                </c:pt>
                <c:pt idx="419">
                  <c:v>7.3</c:v>
                </c:pt>
                <c:pt idx="420">
                  <c:v>6.5</c:v>
                </c:pt>
                <c:pt idx="421">
                  <c:v>7</c:v>
                </c:pt>
                <c:pt idx="422">
                  <c:v>6.8</c:v>
                </c:pt>
                <c:pt idx="423">
                  <c:v>7.2</c:v>
                </c:pt>
                <c:pt idx="424">
                  <c:v>6.1</c:v>
                </c:pt>
                <c:pt idx="425">
                  <c:v>6.7</c:v>
                </c:pt>
                <c:pt idx="426">
                  <c:v>6.4</c:v>
                </c:pt>
                <c:pt idx="427">
                  <c:v>4.4000000000000004</c:v>
                </c:pt>
                <c:pt idx="428">
                  <c:v>5.4</c:v>
                </c:pt>
                <c:pt idx="429">
                  <c:v>6.5</c:v>
                </c:pt>
                <c:pt idx="430">
                  <c:v>6.7</c:v>
                </c:pt>
                <c:pt idx="431">
                  <c:v>8.1</c:v>
                </c:pt>
                <c:pt idx="432">
                  <c:v>5.6</c:v>
                </c:pt>
                <c:pt idx="433">
                  <c:v>6.3</c:v>
                </c:pt>
                <c:pt idx="434">
                  <c:v>7.3</c:v>
                </c:pt>
                <c:pt idx="435">
                  <c:v>6.1</c:v>
                </c:pt>
                <c:pt idx="436">
                  <c:v>7.7</c:v>
                </c:pt>
                <c:pt idx="437">
                  <c:v>6.4</c:v>
                </c:pt>
                <c:pt idx="438">
                  <c:v>6.8</c:v>
                </c:pt>
                <c:pt idx="439">
                  <c:v>6.6</c:v>
                </c:pt>
                <c:pt idx="440">
                  <c:v>7.2</c:v>
                </c:pt>
                <c:pt idx="441">
                  <c:v>6.9</c:v>
                </c:pt>
                <c:pt idx="442">
                  <c:v>5.2</c:v>
                </c:pt>
                <c:pt idx="443">
                  <c:v>4.9000000000000004</c:v>
                </c:pt>
                <c:pt idx="444">
                  <c:v>6.3</c:v>
                </c:pt>
                <c:pt idx="445">
                  <c:v>5.6</c:v>
                </c:pt>
                <c:pt idx="446">
                  <c:v>5.5</c:v>
                </c:pt>
                <c:pt idx="447">
                  <c:v>6.7</c:v>
                </c:pt>
                <c:pt idx="448">
                  <c:v>7.6</c:v>
                </c:pt>
                <c:pt idx="449">
                  <c:v>5.7</c:v>
                </c:pt>
                <c:pt idx="450">
                  <c:v>4.5999999999999996</c:v>
                </c:pt>
                <c:pt idx="451">
                  <c:v>7</c:v>
                </c:pt>
                <c:pt idx="452">
                  <c:v>5.2</c:v>
                </c:pt>
                <c:pt idx="453">
                  <c:v>5.0999999999999996</c:v>
                </c:pt>
                <c:pt idx="454">
                  <c:v>6.6</c:v>
                </c:pt>
                <c:pt idx="455">
                  <c:v>6.7</c:v>
                </c:pt>
                <c:pt idx="456">
                  <c:v>7.3</c:v>
                </c:pt>
                <c:pt idx="457">
                  <c:v>5.9</c:v>
                </c:pt>
                <c:pt idx="458">
                  <c:v>5.6</c:v>
                </c:pt>
                <c:pt idx="459">
                  <c:v>6.5</c:v>
                </c:pt>
                <c:pt idx="460">
                  <c:v>5.9</c:v>
                </c:pt>
                <c:pt idx="461">
                  <c:v>7</c:v>
                </c:pt>
                <c:pt idx="462">
                  <c:v>5.3</c:v>
                </c:pt>
                <c:pt idx="463">
                  <c:v>5.9</c:v>
                </c:pt>
                <c:pt idx="464">
                  <c:v>6.3</c:v>
                </c:pt>
                <c:pt idx="465">
                  <c:v>6.3</c:v>
                </c:pt>
                <c:pt idx="466">
                  <c:v>7.3</c:v>
                </c:pt>
                <c:pt idx="467">
                  <c:v>5.8</c:v>
                </c:pt>
                <c:pt idx="468">
                  <c:v>5.2</c:v>
                </c:pt>
                <c:pt idx="469">
                  <c:v>2.4</c:v>
                </c:pt>
                <c:pt idx="470">
                  <c:v>5.7</c:v>
                </c:pt>
                <c:pt idx="471">
                  <c:v>5.8</c:v>
                </c:pt>
                <c:pt idx="472">
                  <c:v>5.6</c:v>
                </c:pt>
                <c:pt idx="473">
                  <c:v>6</c:v>
                </c:pt>
                <c:pt idx="474">
                  <c:v>5.8</c:v>
                </c:pt>
                <c:pt idx="475">
                  <c:v>6</c:v>
                </c:pt>
                <c:pt idx="476">
                  <c:v>5.7</c:v>
                </c:pt>
                <c:pt idx="477">
                  <c:v>6</c:v>
                </c:pt>
                <c:pt idx="478">
                  <c:v>7.8</c:v>
                </c:pt>
                <c:pt idx="479">
                  <c:v>4.2</c:v>
                </c:pt>
                <c:pt idx="480">
                  <c:v>5.6</c:v>
                </c:pt>
                <c:pt idx="481">
                  <c:v>8.1999999999999993</c:v>
                </c:pt>
                <c:pt idx="482">
                  <c:v>8.5</c:v>
                </c:pt>
                <c:pt idx="483">
                  <c:v>5.8</c:v>
                </c:pt>
                <c:pt idx="484">
                  <c:v>6.5</c:v>
                </c:pt>
                <c:pt idx="485">
                  <c:v>7.2</c:v>
                </c:pt>
                <c:pt idx="486">
                  <c:v>6.7</c:v>
                </c:pt>
                <c:pt idx="487">
                  <c:v>3.4</c:v>
                </c:pt>
                <c:pt idx="488">
                  <c:v>5.9</c:v>
                </c:pt>
                <c:pt idx="489">
                  <c:v>7.8</c:v>
                </c:pt>
                <c:pt idx="490">
                  <c:v>5.9</c:v>
                </c:pt>
                <c:pt idx="491">
                  <c:v>4.0999999999999996</c:v>
                </c:pt>
                <c:pt idx="492">
                  <c:v>6.8</c:v>
                </c:pt>
                <c:pt idx="493">
                  <c:v>5.8</c:v>
                </c:pt>
                <c:pt idx="494">
                  <c:v>7.5</c:v>
                </c:pt>
                <c:pt idx="495">
                  <c:v>6.9</c:v>
                </c:pt>
                <c:pt idx="496">
                  <c:v>6.5</c:v>
                </c:pt>
                <c:pt idx="497">
                  <c:v>6.9</c:v>
                </c:pt>
                <c:pt idx="498">
                  <c:v>7.9</c:v>
                </c:pt>
                <c:pt idx="499">
                  <c:v>7.4</c:v>
                </c:pt>
                <c:pt idx="500">
                  <c:v>6.7</c:v>
                </c:pt>
                <c:pt idx="501">
                  <c:v>7.4</c:v>
                </c:pt>
                <c:pt idx="502">
                  <c:v>6.9</c:v>
                </c:pt>
                <c:pt idx="503">
                  <c:v>6.8</c:v>
                </c:pt>
                <c:pt idx="504">
                  <c:v>6.7</c:v>
                </c:pt>
                <c:pt idx="505">
                  <c:v>5.0999999999999996</c:v>
                </c:pt>
                <c:pt idx="506">
                  <c:v>4.0999999999999996</c:v>
                </c:pt>
                <c:pt idx="507">
                  <c:v>7.3</c:v>
                </c:pt>
                <c:pt idx="508">
                  <c:v>6</c:v>
                </c:pt>
                <c:pt idx="509">
                  <c:v>7.3</c:v>
                </c:pt>
                <c:pt idx="510">
                  <c:v>5.4</c:v>
                </c:pt>
                <c:pt idx="511">
                  <c:v>5.9</c:v>
                </c:pt>
                <c:pt idx="512">
                  <c:v>7.1</c:v>
                </c:pt>
                <c:pt idx="513">
                  <c:v>6</c:v>
                </c:pt>
                <c:pt idx="514">
                  <c:v>6.5</c:v>
                </c:pt>
                <c:pt idx="515">
                  <c:v>5.7</c:v>
                </c:pt>
                <c:pt idx="516">
                  <c:v>7.6</c:v>
                </c:pt>
                <c:pt idx="517">
                  <c:v>6.6</c:v>
                </c:pt>
                <c:pt idx="518">
                  <c:v>5.4</c:v>
                </c:pt>
                <c:pt idx="519">
                  <c:v>7.3</c:v>
                </c:pt>
                <c:pt idx="520">
                  <c:v>6.5</c:v>
                </c:pt>
                <c:pt idx="521">
                  <c:v>6.6</c:v>
                </c:pt>
                <c:pt idx="522">
                  <c:v>6.6</c:v>
                </c:pt>
                <c:pt idx="523">
                  <c:v>5.9</c:v>
                </c:pt>
                <c:pt idx="524">
                  <c:v>6.7</c:v>
                </c:pt>
                <c:pt idx="525">
                  <c:v>6.1</c:v>
                </c:pt>
                <c:pt idx="526">
                  <c:v>6.6</c:v>
                </c:pt>
                <c:pt idx="527">
                  <c:v>6.6</c:v>
                </c:pt>
                <c:pt idx="528">
                  <c:v>5.3</c:v>
                </c:pt>
                <c:pt idx="529">
                  <c:v>6</c:v>
                </c:pt>
                <c:pt idx="530">
                  <c:v>4.7</c:v>
                </c:pt>
                <c:pt idx="531">
                  <c:v>6.1</c:v>
                </c:pt>
                <c:pt idx="532">
                  <c:v>7.2</c:v>
                </c:pt>
                <c:pt idx="533">
                  <c:v>6.4</c:v>
                </c:pt>
                <c:pt idx="534">
                  <c:v>6.1</c:v>
                </c:pt>
                <c:pt idx="535">
                  <c:v>5.9</c:v>
                </c:pt>
                <c:pt idx="536">
                  <c:v>6</c:v>
                </c:pt>
                <c:pt idx="537">
                  <c:v>6.3</c:v>
                </c:pt>
                <c:pt idx="538">
                  <c:v>5.6</c:v>
                </c:pt>
                <c:pt idx="539">
                  <c:v>6.4</c:v>
                </c:pt>
                <c:pt idx="540">
                  <c:v>7.1</c:v>
                </c:pt>
                <c:pt idx="541">
                  <c:v>6.6</c:v>
                </c:pt>
                <c:pt idx="542">
                  <c:v>4.5999999999999996</c:v>
                </c:pt>
                <c:pt idx="543">
                  <c:v>8.4</c:v>
                </c:pt>
                <c:pt idx="544">
                  <c:v>7.1</c:v>
                </c:pt>
                <c:pt idx="545">
                  <c:v>7.4</c:v>
                </c:pt>
                <c:pt idx="546">
                  <c:v>6.9</c:v>
                </c:pt>
                <c:pt idx="547">
                  <c:v>4.5</c:v>
                </c:pt>
                <c:pt idx="548">
                  <c:v>7.1</c:v>
                </c:pt>
                <c:pt idx="549">
                  <c:v>6.5</c:v>
                </c:pt>
                <c:pt idx="550">
                  <c:v>5.3</c:v>
                </c:pt>
                <c:pt idx="551">
                  <c:v>6.7</c:v>
                </c:pt>
                <c:pt idx="552">
                  <c:v>7.2</c:v>
                </c:pt>
                <c:pt idx="553">
                  <c:v>7.2</c:v>
                </c:pt>
                <c:pt idx="554">
                  <c:v>5.5</c:v>
                </c:pt>
                <c:pt idx="555">
                  <c:v>5.8</c:v>
                </c:pt>
                <c:pt idx="556">
                  <c:v>6</c:v>
                </c:pt>
                <c:pt idx="557">
                  <c:v>6.6</c:v>
                </c:pt>
                <c:pt idx="558">
                  <c:v>8.3000000000000007</c:v>
                </c:pt>
                <c:pt idx="559">
                  <c:v>6.7</c:v>
                </c:pt>
                <c:pt idx="560">
                  <c:v>7.1</c:v>
                </c:pt>
                <c:pt idx="561">
                  <c:v>6</c:v>
                </c:pt>
                <c:pt idx="562">
                  <c:v>6.9</c:v>
                </c:pt>
                <c:pt idx="563">
                  <c:v>5.6</c:v>
                </c:pt>
                <c:pt idx="564">
                  <c:v>5.6</c:v>
                </c:pt>
                <c:pt idx="565">
                  <c:v>4.5</c:v>
                </c:pt>
                <c:pt idx="566">
                  <c:v>7.1</c:v>
                </c:pt>
                <c:pt idx="567">
                  <c:v>6.5</c:v>
                </c:pt>
                <c:pt idx="568">
                  <c:v>6.4</c:v>
                </c:pt>
                <c:pt idx="569">
                  <c:v>5.8</c:v>
                </c:pt>
                <c:pt idx="570">
                  <c:v>8</c:v>
                </c:pt>
                <c:pt idx="571">
                  <c:v>6.2</c:v>
                </c:pt>
                <c:pt idx="572">
                  <c:v>7.2</c:v>
                </c:pt>
                <c:pt idx="573">
                  <c:v>6.1</c:v>
                </c:pt>
                <c:pt idx="574">
                  <c:v>7.6</c:v>
                </c:pt>
                <c:pt idx="575">
                  <c:v>6.3</c:v>
                </c:pt>
                <c:pt idx="576">
                  <c:v>6.3</c:v>
                </c:pt>
                <c:pt idx="577">
                  <c:v>6.3</c:v>
                </c:pt>
                <c:pt idx="578">
                  <c:v>7.7</c:v>
                </c:pt>
                <c:pt idx="579">
                  <c:v>7</c:v>
                </c:pt>
                <c:pt idx="580">
                  <c:v>5.3</c:v>
                </c:pt>
                <c:pt idx="581">
                  <c:v>5.6</c:v>
                </c:pt>
                <c:pt idx="582">
                  <c:v>5.2</c:v>
                </c:pt>
                <c:pt idx="583">
                  <c:v>5.4</c:v>
                </c:pt>
                <c:pt idx="584">
                  <c:v>6.4</c:v>
                </c:pt>
                <c:pt idx="585">
                  <c:v>5.9</c:v>
                </c:pt>
                <c:pt idx="586">
                  <c:v>6.3</c:v>
                </c:pt>
                <c:pt idx="587">
                  <c:v>6.5</c:v>
                </c:pt>
                <c:pt idx="588">
                  <c:v>3</c:v>
                </c:pt>
                <c:pt idx="589">
                  <c:v>3.6</c:v>
                </c:pt>
                <c:pt idx="590">
                  <c:v>5.8</c:v>
                </c:pt>
                <c:pt idx="591">
                  <c:v>6.2</c:v>
                </c:pt>
                <c:pt idx="592">
                  <c:v>5.6</c:v>
                </c:pt>
                <c:pt idx="593">
                  <c:v>5.4</c:v>
                </c:pt>
                <c:pt idx="594">
                  <c:v>6.1</c:v>
                </c:pt>
                <c:pt idx="595">
                  <c:v>4.2</c:v>
                </c:pt>
                <c:pt idx="596">
                  <c:v>6.7</c:v>
                </c:pt>
                <c:pt idx="597">
                  <c:v>4.2</c:v>
                </c:pt>
                <c:pt idx="598">
                  <c:v>6.4</c:v>
                </c:pt>
                <c:pt idx="599">
                  <c:v>4.9000000000000004</c:v>
                </c:pt>
                <c:pt idx="600">
                  <c:v>6.8</c:v>
                </c:pt>
                <c:pt idx="601">
                  <c:v>7.7</c:v>
                </c:pt>
                <c:pt idx="602">
                  <c:v>5.6</c:v>
                </c:pt>
                <c:pt idx="603">
                  <c:v>6.4</c:v>
                </c:pt>
                <c:pt idx="604">
                  <c:v>7.2</c:v>
                </c:pt>
                <c:pt idx="605">
                  <c:v>6</c:v>
                </c:pt>
                <c:pt idx="606">
                  <c:v>5.9</c:v>
                </c:pt>
                <c:pt idx="607">
                  <c:v>7.9</c:v>
                </c:pt>
                <c:pt idx="608">
                  <c:v>7.1</c:v>
                </c:pt>
                <c:pt idx="609">
                  <c:v>5.9</c:v>
                </c:pt>
                <c:pt idx="610">
                  <c:v>6.2</c:v>
                </c:pt>
                <c:pt idx="611">
                  <c:v>7</c:v>
                </c:pt>
                <c:pt idx="612">
                  <c:v>5.4</c:v>
                </c:pt>
                <c:pt idx="613">
                  <c:v>8.6</c:v>
                </c:pt>
                <c:pt idx="614">
                  <c:v>6.5</c:v>
                </c:pt>
                <c:pt idx="615">
                  <c:v>6.4</c:v>
                </c:pt>
                <c:pt idx="616">
                  <c:v>7.6</c:v>
                </c:pt>
                <c:pt idx="617">
                  <c:v>5.5</c:v>
                </c:pt>
                <c:pt idx="618">
                  <c:v>7.4</c:v>
                </c:pt>
                <c:pt idx="619">
                  <c:v>8.6999999999999993</c:v>
                </c:pt>
                <c:pt idx="620">
                  <c:v>7.6</c:v>
                </c:pt>
                <c:pt idx="621">
                  <c:v>5.5</c:v>
                </c:pt>
                <c:pt idx="622">
                  <c:v>7.6</c:v>
                </c:pt>
                <c:pt idx="623">
                  <c:v>6.5</c:v>
                </c:pt>
                <c:pt idx="624">
                  <c:v>6.9</c:v>
                </c:pt>
                <c:pt idx="625">
                  <c:v>6.7</c:v>
                </c:pt>
                <c:pt idx="626">
                  <c:v>6.6</c:v>
                </c:pt>
                <c:pt idx="627">
                  <c:v>7.2</c:v>
                </c:pt>
                <c:pt idx="628">
                  <c:v>6.4</c:v>
                </c:pt>
                <c:pt idx="629">
                  <c:v>6.4</c:v>
                </c:pt>
                <c:pt idx="630">
                  <c:v>6</c:v>
                </c:pt>
                <c:pt idx="631">
                  <c:v>6.1</c:v>
                </c:pt>
                <c:pt idx="632">
                  <c:v>6</c:v>
                </c:pt>
                <c:pt idx="633">
                  <c:v>6.4</c:v>
                </c:pt>
                <c:pt idx="634">
                  <c:v>6.4</c:v>
                </c:pt>
                <c:pt idx="635">
                  <c:v>7.3</c:v>
                </c:pt>
                <c:pt idx="636">
                  <c:v>5.2</c:v>
                </c:pt>
                <c:pt idx="637">
                  <c:v>6.6</c:v>
                </c:pt>
                <c:pt idx="638">
                  <c:v>6.3</c:v>
                </c:pt>
                <c:pt idx="639">
                  <c:v>5.9</c:v>
                </c:pt>
                <c:pt idx="640">
                  <c:v>6.7</c:v>
                </c:pt>
                <c:pt idx="641">
                  <c:v>5.4</c:v>
                </c:pt>
                <c:pt idx="642">
                  <c:v>6.4</c:v>
                </c:pt>
                <c:pt idx="643">
                  <c:v>6.7</c:v>
                </c:pt>
                <c:pt idx="644">
                  <c:v>6.2</c:v>
                </c:pt>
                <c:pt idx="645">
                  <c:v>6.1</c:v>
                </c:pt>
                <c:pt idx="646">
                  <c:v>8.8000000000000007</c:v>
                </c:pt>
                <c:pt idx="647">
                  <c:v>7.1</c:v>
                </c:pt>
                <c:pt idx="648">
                  <c:v>5.7</c:v>
                </c:pt>
                <c:pt idx="649">
                  <c:v>5</c:v>
                </c:pt>
                <c:pt idx="650">
                  <c:v>5.0999999999999996</c:v>
                </c:pt>
                <c:pt idx="651">
                  <c:v>6.9</c:v>
                </c:pt>
                <c:pt idx="652">
                  <c:v>4.8</c:v>
                </c:pt>
                <c:pt idx="653">
                  <c:v>6.5</c:v>
                </c:pt>
                <c:pt idx="654">
                  <c:v>5.0999999999999996</c:v>
                </c:pt>
                <c:pt idx="655">
                  <c:v>7.1</c:v>
                </c:pt>
                <c:pt idx="656">
                  <c:v>7.5</c:v>
                </c:pt>
                <c:pt idx="657">
                  <c:v>6.2</c:v>
                </c:pt>
                <c:pt idx="658">
                  <c:v>6.3</c:v>
                </c:pt>
                <c:pt idx="659">
                  <c:v>8.1</c:v>
                </c:pt>
                <c:pt idx="660">
                  <c:v>6.6</c:v>
                </c:pt>
                <c:pt idx="661">
                  <c:v>6.9</c:v>
                </c:pt>
                <c:pt idx="662">
                  <c:v>6.1</c:v>
                </c:pt>
                <c:pt idx="663">
                  <c:v>4.3</c:v>
                </c:pt>
                <c:pt idx="664">
                  <c:v>6.6</c:v>
                </c:pt>
                <c:pt idx="665">
                  <c:v>6.8</c:v>
                </c:pt>
                <c:pt idx="666">
                  <c:v>3.8</c:v>
                </c:pt>
                <c:pt idx="667">
                  <c:v>5.9</c:v>
                </c:pt>
                <c:pt idx="668">
                  <c:v>7.9</c:v>
                </c:pt>
                <c:pt idx="669">
                  <c:v>6.3</c:v>
                </c:pt>
                <c:pt idx="670">
                  <c:v>5.5</c:v>
                </c:pt>
                <c:pt idx="671">
                  <c:v>7.7</c:v>
                </c:pt>
                <c:pt idx="672">
                  <c:v>6.3</c:v>
                </c:pt>
                <c:pt idx="673">
                  <c:v>7.1</c:v>
                </c:pt>
                <c:pt idx="674">
                  <c:v>8.5</c:v>
                </c:pt>
                <c:pt idx="675">
                  <c:v>5.8</c:v>
                </c:pt>
                <c:pt idx="676">
                  <c:v>8.1</c:v>
                </c:pt>
                <c:pt idx="677">
                  <c:v>7.9</c:v>
                </c:pt>
                <c:pt idx="678">
                  <c:v>7.2</c:v>
                </c:pt>
                <c:pt idx="679">
                  <c:v>6.3</c:v>
                </c:pt>
                <c:pt idx="680">
                  <c:v>8.1</c:v>
                </c:pt>
                <c:pt idx="681">
                  <c:v>7</c:v>
                </c:pt>
                <c:pt idx="682">
                  <c:v>5.5</c:v>
                </c:pt>
                <c:pt idx="683">
                  <c:v>6.7</c:v>
                </c:pt>
                <c:pt idx="684">
                  <c:v>5.2</c:v>
                </c:pt>
                <c:pt idx="685">
                  <c:v>7</c:v>
                </c:pt>
                <c:pt idx="686">
                  <c:v>6.1</c:v>
                </c:pt>
                <c:pt idx="687">
                  <c:v>6.6</c:v>
                </c:pt>
                <c:pt idx="688">
                  <c:v>5.5</c:v>
                </c:pt>
                <c:pt idx="689">
                  <c:v>5.9</c:v>
                </c:pt>
                <c:pt idx="690">
                  <c:v>5.4</c:v>
                </c:pt>
                <c:pt idx="691">
                  <c:v>6.4</c:v>
                </c:pt>
                <c:pt idx="692">
                  <c:v>5.7</c:v>
                </c:pt>
                <c:pt idx="693">
                  <c:v>6.7</c:v>
                </c:pt>
                <c:pt idx="694">
                  <c:v>7.1</c:v>
                </c:pt>
                <c:pt idx="695">
                  <c:v>6.8</c:v>
                </c:pt>
                <c:pt idx="696">
                  <c:v>6.5</c:v>
                </c:pt>
                <c:pt idx="697">
                  <c:v>7.6</c:v>
                </c:pt>
                <c:pt idx="698">
                  <c:v>5.5</c:v>
                </c:pt>
                <c:pt idx="699">
                  <c:v>6.5</c:v>
                </c:pt>
                <c:pt idx="700">
                  <c:v>7</c:v>
                </c:pt>
                <c:pt idx="701">
                  <c:v>5.8</c:v>
                </c:pt>
                <c:pt idx="702">
                  <c:v>7.3</c:v>
                </c:pt>
                <c:pt idx="703">
                  <c:v>6.6</c:v>
                </c:pt>
                <c:pt idx="704">
                  <c:v>4.4000000000000004</c:v>
                </c:pt>
                <c:pt idx="705">
                  <c:v>7.7</c:v>
                </c:pt>
                <c:pt idx="706">
                  <c:v>5</c:v>
                </c:pt>
                <c:pt idx="707">
                  <c:v>7.7</c:v>
                </c:pt>
                <c:pt idx="708">
                  <c:v>4.4000000000000004</c:v>
                </c:pt>
                <c:pt idx="709">
                  <c:v>6.1</c:v>
                </c:pt>
                <c:pt idx="710">
                  <c:v>5.4</c:v>
                </c:pt>
                <c:pt idx="711">
                  <c:v>6.8</c:v>
                </c:pt>
                <c:pt idx="712">
                  <c:v>6.5</c:v>
                </c:pt>
                <c:pt idx="713">
                  <c:v>7</c:v>
                </c:pt>
                <c:pt idx="714">
                  <c:v>6.3</c:v>
                </c:pt>
                <c:pt idx="715">
                  <c:v>6.3</c:v>
                </c:pt>
                <c:pt idx="716">
                  <c:v>6.1</c:v>
                </c:pt>
                <c:pt idx="717">
                  <c:v>6.1</c:v>
                </c:pt>
                <c:pt idx="718">
                  <c:v>5.3</c:v>
                </c:pt>
                <c:pt idx="719">
                  <c:v>5.4</c:v>
                </c:pt>
                <c:pt idx="720">
                  <c:v>6.2</c:v>
                </c:pt>
                <c:pt idx="721">
                  <c:v>6.6</c:v>
                </c:pt>
                <c:pt idx="722">
                  <c:v>5.9</c:v>
                </c:pt>
                <c:pt idx="723">
                  <c:v>6.3</c:v>
                </c:pt>
                <c:pt idx="724">
                  <c:v>7.2</c:v>
                </c:pt>
                <c:pt idx="725">
                  <c:v>6.8</c:v>
                </c:pt>
                <c:pt idx="726">
                  <c:v>6.1</c:v>
                </c:pt>
                <c:pt idx="727">
                  <c:v>7.8</c:v>
                </c:pt>
                <c:pt idx="728">
                  <c:v>5</c:v>
                </c:pt>
                <c:pt idx="729">
                  <c:v>6.2</c:v>
                </c:pt>
                <c:pt idx="730">
                  <c:v>6.7</c:v>
                </c:pt>
                <c:pt idx="731">
                  <c:v>4.9000000000000004</c:v>
                </c:pt>
                <c:pt idx="732">
                  <c:v>7.4</c:v>
                </c:pt>
                <c:pt idx="733">
                  <c:v>6.2</c:v>
                </c:pt>
                <c:pt idx="734">
                  <c:v>4.9000000000000004</c:v>
                </c:pt>
                <c:pt idx="735">
                  <c:v>6.1</c:v>
                </c:pt>
                <c:pt idx="736">
                  <c:v>6.1</c:v>
                </c:pt>
                <c:pt idx="737">
                  <c:v>6.4</c:v>
                </c:pt>
                <c:pt idx="738">
                  <c:v>6.3</c:v>
                </c:pt>
                <c:pt idx="739">
                  <c:v>6.6</c:v>
                </c:pt>
                <c:pt idx="740">
                  <c:v>5.7</c:v>
                </c:pt>
                <c:pt idx="741">
                  <c:v>5.9</c:v>
                </c:pt>
                <c:pt idx="742">
                  <c:v>6</c:v>
                </c:pt>
                <c:pt idx="743">
                  <c:v>6.1</c:v>
                </c:pt>
                <c:pt idx="744">
                  <c:v>6.7</c:v>
                </c:pt>
                <c:pt idx="745">
                  <c:v>6.7</c:v>
                </c:pt>
                <c:pt idx="746">
                  <c:v>7.9</c:v>
                </c:pt>
                <c:pt idx="747">
                  <c:v>4.3</c:v>
                </c:pt>
                <c:pt idx="748">
                  <c:v>5.7</c:v>
                </c:pt>
                <c:pt idx="749">
                  <c:v>6.7</c:v>
                </c:pt>
                <c:pt idx="750">
                  <c:v>6.7</c:v>
                </c:pt>
                <c:pt idx="751">
                  <c:v>6.1</c:v>
                </c:pt>
                <c:pt idx="752">
                  <c:v>5.6</c:v>
                </c:pt>
                <c:pt idx="753">
                  <c:v>6.6</c:v>
                </c:pt>
                <c:pt idx="754">
                  <c:v>6.9</c:v>
                </c:pt>
                <c:pt idx="755">
                  <c:v>4.8</c:v>
                </c:pt>
                <c:pt idx="756">
                  <c:v>6.2</c:v>
                </c:pt>
                <c:pt idx="757">
                  <c:v>6</c:v>
                </c:pt>
                <c:pt idx="758">
                  <c:v>4.9000000000000004</c:v>
                </c:pt>
                <c:pt idx="759">
                  <c:v>5.6</c:v>
                </c:pt>
                <c:pt idx="760">
                  <c:v>6.1</c:v>
                </c:pt>
                <c:pt idx="761">
                  <c:v>6.1</c:v>
                </c:pt>
                <c:pt idx="762">
                  <c:v>4.8</c:v>
                </c:pt>
                <c:pt idx="763">
                  <c:v>5.5</c:v>
                </c:pt>
                <c:pt idx="764">
                  <c:v>3.8</c:v>
                </c:pt>
                <c:pt idx="765">
                  <c:v>6.5</c:v>
                </c:pt>
                <c:pt idx="766">
                  <c:v>6.7</c:v>
                </c:pt>
                <c:pt idx="767">
                  <c:v>8.1</c:v>
                </c:pt>
                <c:pt idx="768">
                  <c:v>4.9000000000000004</c:v>
                </c:pt>
                <c:pt idx="769">
                  <c:v>7.3</c:v>
                </c:pt>
                <c:pt idx="770">
                  <c:v>6.4</c:v>
                </c:pt>
                <c:pt idx="771">
                  <c:v>6.7</c:v>
                </c:pt>
                <c:pt idx="772">
                  <c:v>3.6</c:v>
                </c:pt>
                <c:pt idx="773">
                  <c:v>5.7</c:v>
                </c:pt>
                <c:pt idx="774">
                  <c:v>6</c:v>
                </c:pt>
                <c:pt idx="775">
                  <c:v>4.7</c:v>
                </c:pt>
                <c:pt idx="776">
                  <c:v>6.3</c:v>
                </c:pt>
                <c:pt idx="777">
                  <c:v>5.9</c:v>
                </c:pt>
                <c:pt idx="778">
                  <c:v>5.9</c:v>
                </c:pt>
                <c:pt idx="779">
                  <c:v>7.5</c:v>
                </c:pt>
                <c:pt idx="780">
                  <c:v>5.6</c:v>
                </c:pt>
                <c:pt idx="781">
                  <c:v>6.4</c:v>
                </c:pt>
                <c:pt idx="782">
                  <c:v>6.3</c:v>
                </c:pt>
                <c:pt idx="783">
                  <c:v>4.3</c:v>
                </c:pt>
                <c:pt idx="784">
                  <c:v>5.9</c:v>
                </c:pt>
                <c:pt idx="785">
                  <c:v>5.5</c:v>
                </c:pt>
                <c:pt idx="786">
                  <c:v>6.2</c:v>
                </c:pt>
                <c:pt idx="787">
                  <c:v>8.8000000000000007</c:v>
                </c:pt>
                <c:pt idx="788">
                  <c:v>5.2</c:v>
                </c:pt>
                <c:pt idx="789">
                  <c:v>7</c:v>
                </c:pt>
                <c:pt idx="790">
                  <c:v>6.6</c:v>
                </c:pt>
                <c:pt idx="791">
                  <c:v>7.3</c:v>
                </c:pt>
                <c:pt idx="792">
                  <c:v>5.6</c:v>
                </c:pt>
                <c:pt idx="793">
                  <c:v>6.6</c:v>
                </c:pt>
                <c:pt idx="794">
                  <c:v>5.4</c:v>
                </c:pt>
                <c:pt idx="795">
                  <c:v>6.3</c:v>
                </c:pt>
                <c:pt idx="796">
                  <c:v>7.9</c:v>
                </c:pt>
                <c:pt idx="797">
                  <c:v>6.3</c:v>
                </c:pt>
                <c:pt idx="798">
                  <c:v>6</c:v>
                </c:pt>
                <c:pt idx="799">
                  <c:v>7.2</c:v>
                </c:pt>
                <c:pt idx="800">
                  <c:v>5.0999999999999996</c:v>
                </c:pt>
                <c:pt idx="801">
                  <c:v>7.3</c:v>
                </c:pt>
                <c:pt idx="802">
                  <c:v>8</c:v>
                </c:pt>
                <c:pt idx="803">
                  <c:v>6.2</c:v>
                </c:pt>
                <c:pt idx="804">
                  <c:v>6</c:v>
                </c:pt>
                <c:pt idx="805">
                  <c:v>6.7</c:v>
                </c:pt>
                <c:pt idx="806">
                  <c:v>8.1</c:v>
                </c:pt>
                <c:pt idx="807">
                  <c:v>6.4</c:v>
                </c:pt>
                <c:pt idx="808">
                  <c:v>8</c:v>
                </c:pt>
                <c:pt idx="809">
                  <c:v>6.3</c:v>
                </c:pt>
                <c:pt idx="810">
                  <c:v>6.4</c:v>
                </c:pt>
                <c:pt idx="811">
                  <c:v>6.6</c:v>
                </c:pt>
                <c:pt idx="812">
                  <c:v>6.4</c:v>
                </c:pt>
                <c:pt idx="813">
                  <c:v>6</c:v>
                </c:pt>
                <c:pt idx="814">
                  <c:v>6.6</c:v>
                </c:pt>
                <c:pt idx="815">
                  <c:v>5.9</c:v>
                </c:pt>
                <c:pt idx="816">
                  <c:v>6.4</c:v>
                </c:pt>
                <c:pt idx="817">
                  <c:v>6.3</c:v>
                </c:pt>
                <c:pt idx="818">
                  <c:v>7.3</c:v>
                </c:pt>
                <c:pt idx="819">
                  <c:v>6.8</c:v>
                </c:pt>
                <c:pt idx="820">
                  <c:v>7.2</c:v>
                </c:pt>
                <c:pt idx="821">
                  <c:v>5.7</c:v>
                </c:pt>
                <c:pt idx="822">
                  <c:v>6</c:v>
                </c:pt>
                <c:pt idx="823">
                  <c:v>6.5</c:v>
                </c:pt>
                <c:pt idx="824">
                  <c:v>5.8</c:v>
                </c:pt>
                <c:pt idx="825">
                  <c:v>5.8</c:v>
                </c:pt>
                <c:pt idx="826">
                  <c:v>6.7</c:v>
                </c:pt>
                <c:pt idx="827">
                  <c:v>7.8</c:v>
                </c:pt>
                <c:pt idx="828">
                  <c:v>5.6</c:v>
                </c:pt>
                <c:pt idx="829">
                  <c:v>5.8</c:v>
                </c:pt>
                <c:pt idx="830">
                  <c:v>7.4</c:v>
                </c:pt>
                <c:pt idx="831">
                  <c:v>6.9</c:v>
                </c:pt>
                <c:pt idx="832">
                  <c:v>5.5</c:v>
                </c:pt>
                <c:pt idx="833">
                  <c:v>6.3</c:v>
                </c:pt>
                <c:pt idx="834">
                  <c:v>4.7</c:v>
                </c:pt>
                <c:pt idx="835">
                  <c:v>5.6</c:v>
                </c:pt>
                <c:pt idx="836">
                  <c:v>6.4</c:v>
                </c:pt>
                <c:pt idx="837">
                  <c:v>4.2</c:v>
                </c:pt>
                <c:pt idx="838">
                  <c:v>6.4</c:v>
                </c:pt>
                <c:pt idx="839">
                  <c:v>7.7</c:v>
                </c:pt>
                <c:pt idx="840">
                  <c:v>6.7</c:v>
                </c:pt>
                <c:pt idx="841">
                  <c:v>7.7</c:v>
                </c:pt>
                <c:pt idx="842">
                  <c:v>5.7</c:v>
                </c:pt>
                <c:pt idx="843">
                  <c:v>7.6</c:v>
                </c:pt>
                <c:pt idx="844">
                  <c:v>6.4</c:v>
                </c:pt>
                <c:pt idx="845">
                  <c:v>5.6</c:v>
                </c:pt>
                <c:pt idx="846">
                  <c:v>6.8</c:v>
                </c:pt>
                <c:pt idx="847">
                  <c:v>2.4</c:v>
                </c:pt>
                <c:pt idx="848">
                  <c:v>6.2</c:v>
                </c:pt>
                <c:pt idx="849">
                  <c:v>5.9</c:v>
                </c:pt>
                <c:pt idx="850">
                  <c:v>7.1</c:v>
                </c:pt>
                <c:pt idx="851">
                  <c:v>7.6</c:v>
                </c:pt>
                <c:pt idx="852">
                  <c:v>5.5</c:v>
                </c:pt>
                <c:pt idx="853">
                  <c:v>7</c:v>
                </c:pt>
                <c:pt idx="854">
                  <c:v>7.1</c:v>
                </c:pt>
                <c:pt idx="855">
                  <c:v>7.4</c:v>
                </c:pt>
                <c:pt idx="856">
                  <c:v>7.6</c:v>
                </c:pt>
                <c:pt idx="857">
                  <c:v>5.9</c:v>
                </c:pt>
                <c:pt idx="858">
                  <c:v>5.9</c:v>
                </c:pt>
                <c:pt idx="859">
                  <c:v>8</c:v>
                </c:pt>
                <c:pt idx="860">
                  <c:v>7.4</c:v>
                </c:pt>
                <c:pt idx="861">
                  <c:v>5.8</c:v>
                </c:pt>
                <c:pt idx="862">
                  <c:v>6.3</c:v>
                </c:pt>
                <c:pt idx="863">
                  <c:v>5.7</c:v>
                </c:pt>
                <c:pt idx="864">
                  <c:v>5.0999999999999996</c:v>
                </c:pt>
                <c:pt idx="865">
                  <c:v>7.6</c:v>
                </c:pt>
                <c:pt idx="866">
                  <c:v>6.4</c:v>
                </c:pt>
                <c:pt idx="867">
                  <c:v>7.4</c:v>
                </c:pt>
                <c:pt idx="868">
                  <c:v>8.1999999999999993</c:v>
                </c:pt>
                <c:pt idx="869">
                  <c:v>6.5</c:v>
                </c:pt>
                <c:pt idx="870">
                  <c:v>5.5</c:v>
                </c:pt>
                <c:pt idx="871">
                  <c:v>6.5</c:v>
                </c:pt>
                <c:pt idx="872">
                  <c:v>5.6</c:v>
                </c:pt>
                <c:pt idx="873">
                  <c:v>4.5999999999999996</c:v>
                </c:pt>
                <c:pt idx="874">
                  <c:v>7.9</c:v>
                </c:pt>
                <c:pt idx="875">
                  <c:v>7.1</c:v>
                </c:pt>
                <c:pt idx="876">
                  <c:v>6.9</c:v>
                </c:pt>
                <c:pt idx="877">
                  <c:v>7.3</c:v>
                </c:pt>
                <c:pt idx="878">
                  <c:v>7</c:v>
                </c:pt>
                <c:pt idx="879">
                  <c:v>7.7</c:v>
                </c:pt>
                <c:pt idx="880">
                  <c:v>6.7</c:v>
                </c:pt>
                <c:pt idx="881">
                  <c:v>6.3</c:v>
                </c:pt>
                <c:pt idx="882">
                  <c:v>5.8</c:v>
                </c:pt>
                <c:pt idx="883">
                  <c:v>7.1</c:v>
                </c:pt>
                <c:pt idx="884">
                  <c:v>7.3</c:v>
                </c:pt>
                <c:pt idx="885">
                  <c:v>6.4</c:v>
                </c:pt>
                <c:pt idx="886">
                  <c:v>7.1</c:v>
                </c:pt>
                <c:pt idx="887">
                  <c:v>7.6</c:v>
                </c:pt>
                <c:pt idx="888">
                  <c:v>6.8</c:v>
                </c:pt>
                <c:pt idx="889">
                  <c:v>6.6</c:v>
                </c:pt>
                <c:pt idx="890">
                  <c:v>6.7</c:v>
                </c:pt>
                <c:pt idx="891">
                  <c:v>6.1</c:v>
                </c:pt>
                <c:pt idx="892">
                  <c:v>6</c:v>
                </c:pt>
                <c:pt idx="893">
                  <c:v>7.6</c:v>
                </c:pt>
                <c:pt idx="894">
                  <c:v>7.1</c:v>
                </c:pt>
                <c:pt idx="895">
                  <c:v>5</c:v>
                </c:pt>
                <c:pt idx="896">
                  <c:v>6.2</c:v>
                </c:pt>
                <c:pt idx="897">
                  <c:v>5.6</c:v>
                </c:pt>
                <c:pt idx="898">
                  <c:v>7.4</c:v>
                </c:pt>
                <c:pt idx="899">
                  <c:v>5</c:v>
                </c:pt>
                <c:pt idx="900">
                  <c:v>5.2</c:v>
                </c:pt>
                <c:pt idx="901">
                  <c:v>7.6</c:v>
                </c:pt>
                <c:pt idx="902">
                  <c:v>6.6</c:v>
                </c:pt>
                <c:pt idx="903">
                  <c:v>7</c:v>
                </c:pt>
                <c:pt idx="904">
                  <c:v>5.7</c:v>
                </c:pt>
                <c:pt idx="905">
                  <c:v>8.1999999999999993</c:v>
                </c:pt>
                <c:pt idx="906">
                  <c:v>6.2</c:v>
                </c:pt>
                <c:pt idx="907">
                  <c:v>6.6</c:v>
                </c:pt>
                <c:pt idx="908">
                  <c:v>4.7</c:v>
                </c:pt>
                <c:pt idx="909">
                  <c:v>6.3</c:v>
                </c:pt>
                <c:pt idx="910">
                  <c:v>6.1</c:v>
                </c:pt>
                <c:pt idx="911">
                  <c:v>6.7</c:v>
                </c:pt>
                <c:pt idx="912">
                  <c:v>6.1</c:v>
                </c:pt>
                <c:pt idx="913">
                  <c:v>7</c:v>
                </c:pt>
                <c:pt idx="914">
                  <c:v>7.4</c:v>
                </c:pt>
                <c:pt idx="915">
                  <c:v>7.3</c:v>
                </c:pt>
                <c:pt idx="916">
                  <c:v>5.8</c:v>
                </c:pt>
                <c:pt idx="917">
                  <c:v>6.7</c:v>
                </c:pt>
                <c:pt idx="918">
                  <c:v>5.8</c:v>
                </c:pt>
                <c:pt idx="919">
                  <c:v>7.8</c:v>
                </c:pt>
                <c:pt idx="920">
                  <c:v>6.6</c:v>
                </c:pt>
                <c:pt idx="921">
                  <c:v>6.5</c:v>
                </c:pt>
                <c:pt idx="922">
                  <c:v>6.7</c:v>
                </c:pt>
                <c:pt idx="923">
                  <c:v>7.3</c:v>
                </c:pt>
                <c:pt idx="924">
                  <c:v>5.8</c:v>
                </c:pt>
                <c:pt idx="925">
                  <c:v>5.5</c:v>
                </c:pt>
                <c:pt idx="926">
                  <c:v>6.3</c:v>
                </c:pt>
                <c:pt idx="927">
                  <c:v>7.4</c:v>
                </c:pt>
                <c:pt idx="928">
                  <c:v>5.9</c:v>
                </c:pt>
                <c:pt idx="929">
                  <c:v>6.2</c:v>
                </c:pt>
                <c:pt idx="930">
                  <c:v>5.9</c:v>
                </c:pt>
                <c:pt idx="931">
                  <c:v>6.5</c:v>
                </c:pt>
                <c:pt idx="932">
                  <c:v>4.4000000000000004</c:v>
                </c:pt>
                <c:pt idx="933">
                  <c:v>3.5</c:v>
                </c:pt>
                <c:pt idx="934">
                  <c:v>6.6</c:v>
                </c:pt>
                <c:pt idx="935">
                  <c:v>6</c:v>
                </c:pt>
                <c:pt idx="936">
                  <c:v>6.4</c:v>
                </c:pt>
                <c:pt idx="937">
                  <c:v>6.5</c:v>
                </c:pt>
                <c:pt idx="938">
                  <c:v>4.3</c:v>
                </c:pt>
                <c:pt idx="939">
                  <c:v>4.2</c:v>
                </c:pt>
                <c:pt idx="940">
                  <c:v>6.5</c:v>
                </c:pt>
                <c:pt idx="941">
                  <c:v>6.1</c:v>
                </c:pt>
                <c:pt idx="942">
                  <c:v>6.3</c:v>
                </c:pt>
                <c:pt idx="943">
                  <c:v>6.2</c:v>
                </c:pt>
                <c:pt idx="944">
                  <c:v>5.9</c:v>
                </c:pt>
                <c:pt idx="945">
                  <c:v>5.9</c:v>
                </c:pt>
                <c:pt idx="946">
                  <c:v>6.5</c:v>
                </c:pt>
                <c:pt idx="947">
                  <c:v>6.4</c:v>
                </c:pt>
                <c:pt idx="948">
                  <c:v>6.5</c:v>
                </c:pt>
                <c:pt idx="949">
                  <c:v>5.7</c:v>
                </c:pt>
                <c:pt idx="950">
                  <c:v>8</c:v>
                </c:pt>
                <c:pt idx="951">
                  <c:v>7.3</c:v>
                </c:pt>
                <c:pt idx="952">
                  <c:v>6.7</c:v>
                </c:pt>
                <c:pt idx="953">
                  <c:v>7.5</c:v>
                </c:pt>
                <c:pt idx="954">
                  <c:v>5.4</c:v>
                </c:pt>
                <c:pt idx="955">
                  <c:v>6.6</c:v>
                </c:pt>
                <c:pt idx="956">
                  <c:v>7.7</c:v>
                </c:pt>
                <c:pt idx="957">
                  <c:v>5.8</c:v>
                </c:pt>
                <c:pt idx="958">
                  <c:v>6.4</c:v>
                </c:pt>
                <c:pt idx="959">
                  <c:v>5.6</c:v>
                </c:pt>
                <c:pt idx="960">
                  <c:v>6</c:v>
                </c:pt>
                <c:pt idx="961">
                  <c:v>6.2</c:v>
                </c:pt>
                <c:pt idx="962">
                  <c:v>5.9</c:v>
                </c:pt>
                <c:pt idx="963">
                  <c:v>5.0999999999999996</c:v>
                </c:pt>
                <c:pt idx="964">
                  <c:v>6.8</c:v>
                </c:pt>
                <c:pt idx="965">
                  <c:v>6</c:v>
                </c:pt>
                <c:pt idx="966">
                  <c:v>5.0999999999999996</c:v>
                </c:pt>
                <c:pt idx="967">
                  <c:v>5.8</c:v>
                </c:pt>
                <c:pt idx="968">
                  <c:v>6.2</c:v>
                </c:pt>
                <c:pt idx="969">
                  <c:v>6.4</c:v>
                </c:pt>
                <c:pt idx="970">
                  <c:v>4.8</c:v>
                </c:pt>
                <c:pt idx="971">
                  <c:v>4.9000000000000004</c:v>
                </c:pt>
                <c:pt idx="972">
                  <c:v>5.6</c:v>
                </c:pt>
                <c:pt idx="973">
                  <c:v>5.5</c:v>
                </c:pt>
                <c:pt idx="974">
                  <c:v>3.7</c:v>
                </c:pt>
                <c:pt idx="975">
                  <c:v>5.9</c:v>
                </c:pt>
                <c:pt idx="976">
                  <c:v>6.3</c:v>
                </c:pt>
                <c:pt idx="977">
                  <c:v>7.6</c:v>
                </c:pt>
                <c:pt idx="978">
                  <c:v>8.3000000000000007</c:v>
                </c:pt>
                <c:pt idx="979">
                  <c:v>6.9</c:v>
                </c:pt>
                <c:pt idx="980">
                  <c:v>6.7</c:v>
                </c:pt>
                <c:pt idx="981">
                  <c:v>6.8</c:v>
                </c:pt>
                <c:pt idx="982">
                  <c:v>7.1</c:v>
                </c:pt>
                <c:pt idx="983">
                  <c:v>6.4</c:v>
                </c:pt>
                <c:pt idx="984">
                  <c:v>6.4</c:v>
                </c:pt>
                <c:pt idx="985">
                  <c:v>7.4</c:v>
                </c:pt>
                <c:pt idx="986">
                  <c:v>6.4</c:v>
                </c:pt>
                <c:pt idx="987">
                  <c:v>6</c:v>
                </c:pt>
                <c:pt idx="988">
                  <c:v>6.5</c:v>
                </c:pt>
                <c:pt idx="989">
                  <c:v>7.8</c:v>
                </c:pt>
                <c:pt idx="990">
                  <c:v>6</c:v>
                </c:pt>
                <c:pt idx="991">
                  <c:v>7</c:v>
                </c:pt>
                <c:pt idx="992">
                  <c:v>6</c:v>
                </c:pt>
                <c:pt idx="993">
                  <c:v>6.1</c:v>
                </c:pt>
                <c:pt idx="994">
                  <c:v>6.8</c:v>
                </c:pt>
                <c:pt idx="995">
                  <c:v>6.4</c:v>
                </c:pt>
                <c:pt idx="996">
                  <c:v>4.5</c:v>
                </c:pt>
                <c:pt idx="997">
                  <c:v>5.8</c:v>
                </c:pt>
                <c:pt idx="998">
                  <c:v>6.3</c:v>
                </c:pt>
                <c:pt idx="999">
                  <c:v>5.7</c:v>
                </c:pt>
                <c:pt idx="1000">
                  <c:v>7.2</c:v>
                </c:pt>
                <c:pt idx="1001">
                  <c:v>7.6</c:v>
                </c:pt>
                <c:pt idx="1002">
                  <c:v>4.7</c:v>
                </c:pt>
                <c:pt idx="1003">
                  <c:v>6.6</c:v>
                </c:pt>
                <c:pt idx="1004">
                  <c:v>6.8</c:v>
                </c:pt>
                <c:pt idx="1005">
                  <c:v>7.3</c:v>
                </c:pt>
                <c:pt idx="1006">
                  <c:v>4.8</c:v>
                </c:pt>
                <c:pt idx="1007">
                  <c:v>6.3</c:v>
                </c:pt>
                <c:pt idx="1008">
                  <c:v>5.5</c:v>
                </c:pt>
                <c:pt idx="1009">
                  <c:v>6.2</c:v>
                </c:pt>
                <c:pt idx="1010">
                  <c:v>5.8</c:v>
                </c:pt>
                <c:pt idx="1011">
                  <c:v>5.7</c:v>
                </c:pt>
                <c:pt idx="1012">
                  <c:v>6.5</c:v>
                </c:pt>
                <c:pt idx="1013">
                  <c:v>6.7</c:v>
                </c:pt>
                <c:pt idx="1014">
                  <c:v>7.4</c:v>
                </c:pt>
                <c:pt idx="1015">
                  <c:v>6.9</c:v>
                </c:pt>
                <c:pt idx="1016">
                  <c:v>5.5</c:v>
                </c:pt>
                <c:pt idx="1017">
                  <c:v>8.1</c:v>
                </c:pt>
                <c:pt idx="1018">
                  <c:v>7.7</c:v>
                </c:pt>
                <c:pt idx="1019">
                  <c:v>7.3</c:v>
                </c:pt>
                <c:pt idx="1020">
                  <c:v>5.2</c:v>
                </c:pt>
                <c:pt idx="1021">
                  <c:v>7.1</c:v>
                </c:pt>
                <c:pt idx="1022">
                  <c:v>7.1</c:v>
                </c:pt>
                <c:pt idx="1023">
                  <c:v>7.2</c:v>
                </c:pt>
                <c:pt idx="1024">
                  <c:v>6.5</c:v>
                </c:pt>
                <c:pt idx="1025">
                  <c:v>4.5999999999999996</c:v>
                </c:pt>
                <c:pt idx="1026">
                  <c:v>5.6</c:v>
                </c:pt>
                <c:pt idx="1027">
                  <c:v>7.7</c:v>
                </c:pt>
                <c:pt idx="1028">
                  <c:v>7.2</c:v>
                </c:pt>
                <c:pt idx="1029">
                  <c:v>6.8</c:v>
                </c:pt>
                <c:pt idx="1030">
                  <c:v>5.4</c:v>
                </c:pt>
                <c:pt idx="1031">
                  <c:v>6.3</c:v>
                </c:pt>
                <c:pt idx="1032">
                  <c:v>5.6</c:v>
                </c:pt>
                <c:pt idx="1033">
                  <c:v>6.8</c:v>
                </c:pt>
                <c:pt idx="1034">
                  <c:v>4.3</c:v>
                </c:pt>
                <c:pt idx="1035">
                  <c:v>6.3</c:v>
                </c:pt>
                <c:pt idx="1036">
                  <c:v>6.5</c:v>
                </c:pt>
                <c:pt idx="1037">
                  <c:v>6.4</c:v>
                </c:pt>
                <c:pt idx="1038">
                  <c:v>6.3</c:v>
                </c:pt>
                <c:pt idx="1039">
                  <c:v>5.9</c:v>
                </c:pt>
                <c:pt idx="1040">
                  <c:v>6.5</c:v>
                </c:pt>
                <c:pt idx="1041">
                  <c:v>6.5</c:v>
                </c:pt>
                <c:pt idx="1042">
                  <c:v>6.1</c:v>
                </c:pt>
                <c:pt idx="1043">
                  <c:v>5.9</c:v>
                </c:pt>
                <c:pt idx="1044">
                  <c:v>6.6</c:v>
                </c:pt>
                <c:pt idx="1045">
                  <c:v>7.4</c:v>
                </c:pt>
                <c:pt idx="1046">
                  <c:v>7.3</c:v>
                </c:pt>
                <c:pt idx="1047">
                  <c:v>6.6</c:v>
                </c:pt>
                <c:pt idx="1048">
                  <c:v>5.6</c:v>
                </c:pt>
                <c:pt idx="1049">
                  <c:v>5.3</c:v>
                </c:pt>
                <c:pt idx="1050">
                  <c:v>6</c:v>
                </c:pt>
                <c:pt idx="1051">
                  <c:v>5.4</c:v>
                </c:pt>
                <c:pt idx="1052">
                  <c:v>6.8</c:v>
                </c:pt>
                <c:pt idx="1053">
                  <c:v>6.4</c:v>
                </c:pt>
                <c:pt idx="1054">
                  <c:v>4.9000000000000004</c:v>
                </c:pt>
                <c:pt idx="1055">
                  <c:v>5.8</c:v>
                </c:pt>
                <c:pt idx="1056">
                  <c:v>7.1</c:v>
                </c:pt>
                <c:pt idx="1057">
                  <c:v>7.2</c:v>
                </c:pt>
                <c:pt idx="1058">
                  <c:v>6</c:v>
                </c:pt>
                <c:pt idx="1059">
                  <c:v>6</c:v>
                </c:pt>
                <c:pt idx="1060">
                  <c:v>7</c:v>
                </c:pt>
                <c:pt idx="1061">
                  <c:v>5.4</c:v>
                </c:pt>
                <c:pt idx="1062">
                  <c:v>6.5</c:v>
                </c:pt>
                <c:pt idx="1063">
                  <c:v>6.4</c:v>
                </c:pt>
                <c:pt idx="1064">
                  <c:v>4.9000000000000004</c:v>
                </c:pt>
                <c:pt idx="1065">
                  <c:v>6.3</c:v>
                </c:pt>
                <c:pt idx="1066">
                  <c:v>7.7</c:v>
                </c:pt>
                <c:pt idx="1067">
                  <c:v>7.8</c:v>
                </c:pt>
                <c:pt idx="1068">
                  <c:v>5.5</c:v>
                </c:pt>
                <c:pt idx="1069">
                  <c:v>7.5</c:v>
                </c:pt>
                <c:pt idx="1070">
                  <c:v>6.4</c:v>
                </c:pt>
                <c:pt idx="1071">
                  <c:v>5.6</c:v>
                </c:pt>
                <c:pt idx="1072">
                  <c:v>7.5</c:v>
                </c:pt>
                <c:pt idx="1073">
                  <c:v>6.8</c:v>
                </c:pt>
                <c:pt idx="1074">
                  <c:v>6.8</c:v>
                </c:pt>
                <c:pt idx="1075">
                  <c:v>6</c:v>
                </c:pt>
                <c:pt idx="1076">
                  <c:v>7.3</c:v>
                </c:pt>
                <c:pt idx="1077">
                  <c:v>6</c:v>
                </c:pt>
                <c:pt idx="1078">
                  <c:v>7</c:v>
                </c:pt>
                <c:pt idx="1079">
                  <c:v>5.0999999999999996</c:v>
                </c:pt>
                <c:pt idx="1080">
                  <c:v>6.8</c:v>
                </c:pt>
                <c:pt idx="1081">
                  <c:v>6.5</c:v>
                </c:pt>
                <c:pt idx="1082">
                  <c:v>6.6</c:v>
                </c:pt>
                <c:pt idx="1083">
                  <c:v>7.2</c:v>
                </c:pt>
                <c:pt idx="1084">
                  <c:v>7</c:v>
                </c:pt>
                <c:pt idx="1085">
                  <c:v>7</c:v>
                </c:pt>
                <c:pt idx="1086">
                  <c:v>5.9</c:v>
                </c:pt>
                <c:pt idx="1087">
                  <c:v>5.4</c:v>
                </c:pt>
                <c:pt idx="1088">
                  <c:v>6.6</c:v>
                </c:pt>
                <c:pt idx="1089">
                  <c:v>7</c:v>
                </c:pt>
                <c:pt idx="1090">
                  <c:v>6.5</c:v>
                </c:pt>
                <c:pt idx="1091">
                  <c:v>6.3</c:v>
                </c:pt>
                <c:pt idx="1092">
                  <c:v>6.5</c:v>
                </c:pt>
                <c:pt idx="1093">
                  <c:v>6.5</c:v>
                </c:pt>
                <c:pt idx="1094">
                  <c:v>5.8</c:v>
                </c:pt>
                <c:pt idx="1095">
                  <c:v>6.6</c:v>
                </c:pt>
                <c:pt idx="1096">
                  <c:v>5.4</c:v>
                </c:pt>
                <c:pt idx="1097">
                  <c:v>6.1</c:v>
                </c:pt>
                <c:pt idx="1098">
                  <c:v>4</c:v>
                </c:pt>
                <c:pt idx="1099">
                  <c:v>7.6</c:v>
                </c:pt>
                <c:pt idx="1100">
                  <c:v>7.9</c:v>
                </c:pt>
                <c:pt idx="1101">
                  <c:v>5.3</c:v>
                </c:pt>
                <c:pt idx="1102">
                  <c:v>6.6</c:v>
                </c:pt>
                <c:pt idx="1103">
                  <c:v>6.3</c:v>
                </c:pt>
                <c:pt idx="1104">
                  <c:v>7.2</c:v>
                </c:pt>
                <c:pt idx="1105">
                  <c:v>7</c:v>
                </c:pt>
                <c:pt idx="1106">
                  <c:v>6.9</c:v>
                </c:pt>
                <c:pt idx="1107">
                  <c:v>5.2</c:v>
                </c:pt>
                <c:pt idx="1108">
                  <c:v>8.1</c:v>
                </c:pt>
                <c:pt idx="1109">
                  <c:v>6.6</c:v>
                </c:pt>
                <c:pt idx="1110">
                  <c:v>6.2</c:v>
                </c:pt>
                <c:pt idx="1111">
                  <c:v>7.2</c:v>
                </c:pt>
                <c:pt idx="1112">
                  <c:v>7.3</c:v>
                </c:pt>
                <c:pt idx="1113">
                  <c:v>6.7</c:v>
                </c:pt>
                <c:pt idx="1114">
                  <c:v>6.4</c:v>
                </c:pt>
                <c:pt idx="1115">
                  <c:v>7.8</c:v>
                </c:pt>
                <c:pt idx="1116">
                  <c:v>6.4</c:v>
                </c:pt>
                <c:pt idx="1117">
                  <c:v>4.0999999999999996</c:v>
                </c:pt>
                <c:pt idx="1118">
                  <c:v>4.0999999999999996</c:v>
                </c:pt>
                <c:pt idx="1119">
                  <c:v>7.4</c:v>
                </c:pt>
                <c:pt idx="1120">
                  <c:v>5.8</c:v>
                </c:pt>
                <c:pt idx="1121">
                  <c:v>7.6</c:v>
                </c:pt>
                <c:pt idx="1122">
                  <c:v>7.2</c:v>
                </c:pt>
                <c:pt idx="1123">
                  <c:v>7.8</c:v>
                </c:pt>
                <c:pt idx="1124">
                  <c:v>7.7</c:v>
                </c:pt>
                <c:pt idx="1125">
                  <c:v>6.4</c:v>
                </c:pt>
                <c:pt idx="1126">
                  <c:v>5.0999999999999996</c:v>
                </c:pt>
                <c:pt idx="1127">
                  <c:v>5.5</c:v>
                </c:pt>
                <c:pt idx="1128">
                  <c:v>7.4</c:v>
                </c:pt>
                <c:pt idx="1129">
                  <c:v>6</c:v>
                </c:pt>
                <c:pt idx="1130">
                  <c:v>7.5</c:v>
                </c:pt>
                <c:pt idx="1131">
                  <c:v>7</c:v>
                </c:pt>
                <c:pt idx="1132">
                  <c:v>7.5</c:v>
                </c:pt>
                <c:pt idx="1133">
                  <c:v>7.3</c:v>
                </c:pt>
                <c:pt idx="1134">
                  <c:v>5.7</c:v>
                </c:pt>
                <c:pt idx="1135">
                  <c:v>7.3</c:v>
                </c:pt>
                <c:pt idx="1136">
                  <c:v>7.2</c:v>
                </c:pt>
                <c:pt idx="1137">
                  <c:v>5.9</c:v>
                </c:pt>
                <c:pt idx="1138">
                  <c:v>7.8</c:v>
                </c:pt>
                <c:pt idx="1139">
                  <c:v>7.7</c:v>
                </c:pt>
                <c:pt idx="1140">
                  <c:v>8.1</c:v>
                </c:pt>
                <c:pt idx="1141">
                  <c:v>6.6</c:v>
                </c:pt>
                <c:pt idx="1142">
                  <c:v>7.1</c:v>
                </c:pt>
                <c:pt idx="1143">
                  <c:v>5.9</c:v>
                </c:pt>
                <c:pt idx="1144">
                  <c:v>8</c:v>
                </c:pt>
                <c:pt idx="1145">
                  <c:v>4.5999999999999996</c:v>
                </c:pt>
                <c:pt idx="1146">
                  <c:v>6.1</c:v>
                </c:pt>
                <c:pt idx="1147">
                  <c:v>6.4</c:v>
                </c:pt>
                <c:pt idx="1148">
                  <c:v>6</c:v>
                </c:pt>
                <c:pt idx="1149">
                  <c:v>5.2</c:v>
                </c:pt>
                <c:pt idx="1150">
                  <c:v>7.6</c:v>
                </c:pt>
                <c:pt idx="1151">
                  <c:v>6.4</c:v>
                </c:pt>
                <c:pt idx="1152">
                  <c:v>6.1</c:v>
                </c:pt>
                <c:pt idx="1153">
                  <c:v>6.1</c:v>
                </c:pt>
                <c:pt idx="1154">
                  <c:v>5.2</c:v>
                </c:pt>
                <c:pt idx="1155">
                  <c:v>7.7</c:v>
                </c:pt>
                <c:pt idx="1156">
                  <c:v>7.3</c:v>
                </c:pt>
                <c:pt idx="1157">
                  <c:v>6.9</c:v>
                </c:pt>
                <c:pt idx="1158">
                  <c:v>8.5</c:v>
                </c:pt>
                <c:pt idx="1159">
                  <c:v>6.3</c:v>
                </c:pt>
                <c:pt idx="1160">
                  <c:v>5.9</c:v>
                </c:pt>
                <c:pt idx="1161">
                  <c:v>7.8</c:v>
                </c:pt>
                <c:pt idx="1162">
                  <c:v>6.7</c:v>
                </c:pt>
                <c:pt idx="1163">
                  <c:v>6.4</c:v>
                </c:pt>
                <c:pt idx="1164">
                  <c:v>5.9</c:v>
                </c:pt>
                <c:pt idx="1165">
                  <c:v>6.6</c:v>
                </c:pt>
                <c:pt idx="1166">
                  <c:v>6.8</c:v>
                </c:pt>
                <c:pt idx="1167">
                  <c:v>6.5</c:v>
                </c:pt>
                <c:pt idx="1168">
                  <c:v>6.6</c:v>
                </c:pt>
                <c:pt idx="1169">
                  <c:v>5.8</c:v>
                </c:pt>
                <c:pt idx="1170">
                  <c:v>6.9</c:v>
                </c:pt>
                <c:pt idx="1171">
                  <c:v>7.1</c:v>
                </c:pt>
                <c:pt idx="1172">
                  <c:v>5.8</c:v>
                </c:pt>
                <c:pt idx="1173">
                  <c:v>7.2</c:v>
                </c:pt>
                <c:pt idx="1174">
                  <c:v>6</c:v>
                </c:pt>
                <c:pt idx="1175">
                  <c:v>4.7</c:v>
                </c:pt>
                <c:pt idx="1176">
                  <c:v>5.2</c:v>
                </c:pt>
                <c:pt idx="1177">
                  <c:v>5.5</c:v>
                </c:pt>
                <c:pt idx="1178">
                  <c:v>7</c:v>
                </c:pt>
                <c:pt idx="1179">
                  <c:v>5.8</c:v>
                </c:pt>
                <c:pt idx="1180">
                  <c:v>6.2</c:v>
                </c:pt>
                <c:pt idx="1181">
                  <c:v>6.5</c:v>
                </c:pt>
                <c:pt idx="1182">
                  <c:v>7.2</c:v>
                </c:pt>
                <c:pt idx="1183">
                  <c:v>5.0999999999999996</c:v>
                </c:pt>
                <c:pt idx="1184">
                  <c:v>4.7</c:v>
                </c:pt>
                <c:pt idx="1185">
                  <c:v>5.9</c:v>
                </c:pt>
                <c:pt idx="1186">
                  <c:v>5.8</c:v>
                </c:pt>
                <c:pt idx="1187">
                  <c:v>7.2</c:v>
                </c:pt>
                <c:pt idx="1188">
                  <c:v>6.2</c:v>
                </c:pt>
                <c:pt idx="1189">
                  <c:v>5.7</c:v>
                </c:pt>
                <c:pt idx="1190">
                  <c:v>6.1</c:v>
                </c:pt>
                <c:pt idx="1191">
                  <c:v>6</c:v>
                </c:pt>
                <c:pt idx="1192">
                  <c:v>6.9</c:v>
                </c:pt>
                <c:pt idx="1193">
                  <c:v>6.5</c:v>
                </c:pt>
                <c:pt idx="1194">
                  <c:v>5</c:v>
                </c:pt>
                <c:pt idx="1195">
                  <c:v>5.7</c:v>
                </c:pt>
                <c:pt idx="1196">
                  <c:v>7</c:v>
                </c:pt>
                <c:pt idx="1197">
                  <c:v>5.0999999999999996</c:v>
                </c:pt>
                <c:pt idx="1198">
                  <c:v>5.3</c:v>
                </c:pt>
                <c:pt idx="1199">
                  <c:v>4.4000000000000004</c:v>
                </c:pt>
                <c:pt idx="1200">
                  <c:v>4.7</c:v>
                </c:pt>
                <c:pt idx="1201">
                  <c:v>6.7</c:v>
                </c:pt>
                <c:pt idx="1202">
                  <c:v>6.7</c:v>
                </c:pt>
                <c:pt idx="1203">
                  <c:v>5.7</c:v>
                </c:pt>
                <c:pt idx="1204">
                  <c:v>7.4</c:v>
                </c:pt>
                <c:pt idx="1205">
                  <c:v>6.1</c:v>
                </c:pt>
                <c:pt idx="1206">
                  <c:v>6.4</c:v>
                </c:pt>
                <c:pt idx="1207">
                  <c:v>6.2</c:v>
                </c:pt>
                <c:pt idx="1208">
                  <c:v>6.2</c:v>
                </c:pt>
                <c:pt idx="1209">
                  <c:v>5.9</c:v>
                </c:pt>
                <c:pt idx="1210">
                  <c:v>4</c:v>
                </c:pt>
                <c:pt idx="1211">
                  <c:v>6.2</c:v>
                </c:pt>
                <c:pt idx="1212">
                  <c:v>4.5999999999999996</c:v>
                </c:pt>
                <c:pt idx="1213">
                  <c:v>6.4</c:v>
                </c:pt>
                <c:pt idx="1214">
                  <c:v>5.9</c:v>
                </c:pt>
                <c:pt idx="1215">
                  <c:v>5.0999999999999996</c:v>
                </c:pt>
                <c:pt idx="1216">
                  <c:v>7.6</c:v>
                </c:pt>
                <c:pt idx="1217">
                  <c:v>4.2</c:v>
                </c:pt>
                <c:pt idx="1218">
                  <c:v>7.8</c:v>
                </c:pt>
                <c:pt idx="1219">
                  <c:v>5.8</c:v>
                </c:pt>
                <c:pt idx="1220">
                  <c:v>5.9</c:v>
                </c:pt>
                <c:pt idx="1221">
                  <c:v>8.4</c:v>
                </c:pt>
                <c:pt idx="1222">
                  <c:v>4.8</c:v>
                </c:pt>
                <c:pt idx="1223">
                  <c:v>6.2</c:v>
                </c:pt>
                <c:pt idx="1224">
                  <c:v>6.5</c:v>
                </c:pt>
                <c:pt idx="1225">
                  <c:v>6.3</c:v>
                </c:pt>
                <c:pt idx="1226">
                  <c:v>3.3</c:v>
                </c:pt>
                <c:pt idx="1227">
                  <c:v>5.9</c:v>
                </c:pt>
                <c:pt idx="1228">
                  <c:v>5.8</c:v>
                </c:pt>
                <c:pt idx="1229">
                  <c:v>4.7</c:v>
                </c:pt>
                <c:pt idx="1230">
                  <c:v>4.0999999999999996</c:v>
                </c:pt>
                <c:pt idx="1231">
                  <c:v>6.8</c:v>
                </c:pt>
                <c:pt idx="1232">
                  <c:v>6.2</c:v>
                </c:pt>
                <c:pt idx="1233">
                  <c:v>4.5</c:v>
                </c:pt>
                <c:pt idx="1234">
                  <c:v>5.8</c:v>
                </c:pt>
                <c:pt idx="1235">
                  <c:v>7.3</c:v>
                </c:pt>
                <c:pt idx="1236">
                  <c:v>5.9</c:v>
                </c:pt>
                <c:pt idx="1237">
                  <c:v>4.4000000000000004</c:v>
                </c:pt>
                <c:pt idx="1238">
                  <c:v>5.8</c:v>
                </c:pt>
                <c:pt idx="1239">
                  <c:v>5.0999999999999996</c:v>
                </c:pt>
                <c:pt idx="1240">
                  <c:v>6.9</c:v>
                </c:pt>
                <c:pt idx="1241">
                  <c:v>6.2</c:v>
                </c:pt>
                <c:pt idx="1242">
                  <c:v>6.9</c:v>
                </c:pt>
                <c:pt idx="1243">
                  <c:v>7.3</c:v>
                </c:pt>
                <c:pt idx="1244">
                  <c:v>7.1</c:v>
                </c:pt>
                <c:pt idx="1245">
                  <c:v>6</c:v>
                </c:pt>
                <c:pt idx="1246">
                  <c:v>7</c:v>
                </c:pt>
                <c:pt idx="1247">
                  <c:v>7.6</c:v>
                </c:pt>
                <c:pt idx="1248">
                  <c:v>8.4</c:v>
                </c:pt>
                <c:pt idx="1249">
                  <c:v>7.1</c:v>
                </c:pt>
                <c:pt idx="1250">
                  <c:v>7</c:v>
                </c:pt>
                <c:pt idx="1251">
                  <c:v>8</c:v>
                </c:pt>
                <c:pt idx="1252">
                  <c:v>5.3</c:v>
                </c:pt>
                <c:pt idx="1253">
                  <c:v>4.9000000000000004</c:v>
                </c:pt>
                <c:pt idx="1254">
                  <c:v>6.4</c:v>
                </c:pt>
                <c:pt idx="1255">
                  <c:v>7.4</c:v>
                </c:pt>
                <c:pt idx="1256">
                  <c:v>6.1</c:v>
                </c:pt>
                <c:pt idx="1257">
                  <c:v>6.5</c:v>
                </c:pt>
                <c:pt idx="1258">
                  <c:v>5.7</c:v>
                </c:pt>
                <c:pt idx="1259">
                  <c:v>5.0999999999999996</c:v>
                </c:pt>
                <c:pt idx="1260">
                  <c:v>6.6</c:v>
                </c:pt>
                <c:pt idx="1261">
                  <c:v>6.5</c:v>
                </c:pt>
                <c:pt idx="1262">
                  <c:v>6.9</c:v>
                </c:pt>
                <c:pt idx="1263">
                  <c:v>7.6</c:v>
                </c:pt>
                <c:pt idx="1264">
                  <c:v>5.6</c:v>
                </c:pt>
                <c:pt idx="1265">
                  <c:v>6.2</c:v>
                </c:pt>
                <c:pt idx="1266">
                  <c:v>4.4000000000000004</c:v>
                </c:pt>
                <c:pt idx="1267">
                  <c:v>5.6</c:v>
                </c:pt>
                <c:pt idx="1268">
                  <c:v>5.5</c:v>
                </c:pt>
                <c:pt idx="1269">
                  <c:v>6.7</c:v>
                </c:pt>
                <c:pt idx="1270">
                  <c:v>6.1</c:v>
                </c:pt>
                <c:pt idx="1271">
                  <c:v>6.2</c:v>
                </c:pt>
                <c:pt idx="1272">
                  <c:v>7.3</c:v>
                </c:pt>
                <c:pt idx="1273">
                  <c:v>6.6</c:v>
                </c:pt>
                <c:pt idx="1274">
                  <c:v>8.1999999999999993</c:v>
                </c:pt>
                <c:pt idx="1275">
                  <c:v>6.4</c:v>
                </c:pt>
                <c:pt idx="1276">
                  <c:v>6.4</c:v>
                </c:pt>
                <c:pt idx="1277">
                  <c:v>5.2</c:v>
                </c:pt>
                <c:pt idx="1278">
                  <c:v>6.5</c:v>
                </c:pt>
                <c:pt idx="1279">
                  <c:v>7.1</c:v>
                </c:pt>
                <c:pt idx="1280">
                  <c:v>7.3</c:v>
                </c:pt>
                <c:pt idx="1281">
                  <c:v>5.2</c:v>
                </c:pt>
                <c:pt idx="1282">
                  <c:v>7.7</c:v>
                </c:pt>
                <c:pt idx="1283">
                  <c:v>7.6</c:v>
                </c:pt>
                <c:pt idx="1284">
                  <c:v>5.7</c:v>
                </c:pt>
                <c:pt idx="1285">
                  <c:v>7</c:v>
                </c:pt>
                <c:pt idx="1286">
                  <c:v>6</c:v>
                </c:pt>
                <c:pt idx="1287">
                  <c:v>8.1</c:v>
                </c:pt>
                <c:pt idx="1288">
                  <c:v>8</c:v>
                </c:pt>
                <c:pt idx="1289">
                  <c:v>5.6</c:v>
                </c:pt>
                <c:pt idx="1290">
                  <c:v>6.1</c:v>
                </c:pt>
                <c:pt idx="1291">
                  <c:v>6.9</c:v>
                </c:pt>
                <c:pt idx="1292">
                  <c:v>5.2</c:v>
                </c:pt>
                <c:pt idx="1293">
                  <c:v>7</c:v>
                </c:pt>
                <c:pt idx="1294">
                  <c:v>6.3</c:v>
                </c:pt>
                <c:pt idx="1295">
                  <c:v>7</c:v>
                </c:pt>
                <c:pt idx="1296">
                  <c:v>6.9</c:v>
                </c:pt>
                <c:pt idx="1297">
                  <c:v>6.2</c:v>
                </c:pt>
                <c:pt idx="1298">
                  <c:v>6.4</c:v>
                </c:pt>
                <c:pt idx="1299">
                  <c:v>6.4</c:v>
                </c:pt>
                <c:pt idx="1300">
                  <c:v>5.7</c:v>
                </c:pt>
                <c:pt idx="1301">
                  <c:v>6.1</c:v>
                </c:pt>
                <c:pt idx="1302">
                  <c:v>5.4</c:v>
                </c:pt>
                <c:pt idx="1303">
                  <c:v>6.7</c:v>
                </c:pt>
                <c:pt idx="1304">
                  <c:v>6.8</c:v>
                </c:pt>
                <c:pt idx="1305">
                  <c:v>6</c:v>
                </c:pt>
                <c:pt idx="1306">
                  <c:v>7.8</c:v>
                </c:pt>
                <c:pt idx="1307">
                  <c:v>5.3</c:v>
                </c:pt>
                <c:pt idx="1308">
                  <c:v>4.5</c:v>
                </c:pt>
                <c:pt idx="1309">
                  <c:v>5.4</c:v>
                </c:pt>
                <c:pt idx="1310">
                  <c:v>7.8</c:v>
                </c:pt>
                <c:pt idx="1311">
                  <c:v>7.2</c:v>
                </c:pt>
                <c:pt idx="1312">
                  <c:v>6.6</c:v>
                </c:pt>
                <c:pt idx="1313">
                  <c:v>7.6</c:v>
                </c:pt>
                <c:pt idx="1314">
                  <c:v>5.9</c:v>
                </c:pt>
                <c:pt idx="1315">
                  <c:v>6.7</c:v>
                </c:pt>
                <c:pt idx="1316">
                  <c:v>7.7</c:v>
                </c:pt>
                <c:pt idx="1317">
                  <c:v>5.4</c:v>
                </c:pt>
                <c:pt idx="1318">
                  <c:v>6.9</c:v>
                </c:pt>
                <c:pt idx="1319">
                  <c:v>7.7</c:v>
                </c:pt>
                <c:pt idx="1320">
                  <c:v>6.8</c:v>
                </c:pt>
                <c:pt idx="1321">
                  <c:v>6.4</c:v>
                </c:pt>
                <c:pt idx="1322">
                  <c:v>5.7</c:v>
                </c:pt>
                <c:pt idx="1323">
                  <c:v>7.3</c:v>
                </c:pt>
                <c:pt idx="1324">
                  <c:v>6.8</c:v>
                </c:pt>
                <c:pt idx="1325">
                  <c:v>6.3</c:v>
                </c:pt>
                <c:pt idx="1326">
                  <c:v>5.9</c:v>
                </c:pt>
                <c:pt idx="1327">
                  <c:v>7.4</c:v>
                </c:pt>
                <c:pt idx="1328">
                  <c:v>8.3000000000000007</c:v>
                </c:pt>
                <c:pt idx="1329">
                  <c:v>6.2</c:v>
                </c:pt>
                <c:pt idx="1330">
                  <c:v>6.3</c:v>
                </c:pt>
                <c:pt idx="1331">
                  <c:v>5.8</c:v>
                </c:pt>
                <c:pt idx="1332">
                  <c:v>7.5</c:v>
                </c:pt>
                <c:pt idx="1333">
                  <c:v>6.3</c:v>
                </c:pt>
                <c:pt idx="1334">
                  <c:v>6.4</c:v>
                </c:pt>
                <c:pt idx="1335">
                  <c:v>7.2</c:v>
                </c:pt>
                <c:pt idx="1336">
                  <c:v>6.3</c:v>
                </c:pt>
                <c:pt idx="1337">
                  <c:v>6.9</c:v>
                </c:pt>
                <c:pt idx="1338">
                  <c:v>6.6</c:v>
                </c:pt>
                <c:pt idx="1339">
                  <c:v>6</c:v>
                </c:pt>
                <c:pt idx="1340">
                  <c:v>7.5</c:v>
                </c:pt>
                <c:pt idx="1341">
                  <c:v>7.7</c:v>
                </c:pt>
                <c:pt idx="1342">
                  <c:v>6.2</c:v>
                </c:pt>
                <c:pt idx="1343">
                  <c:v>5.4</c:v>
                </c:pt>
                <c:pt idx="1344">
                  <c:v>6.6</c:v>
                </c:pt>
                <c:pt idx="1345">
                  <c:v>5.3</c:v>
                </c:pt>
                <c:pt idx="1346">
                  <c:v>5.6</c:v>
                </c:pt>
                <c:pt idx="1347">
                  <c:v>5.9</c:v>
                </c:pt>
                <c:pt idx="1348">
                  <c:v>7.8</c:v>
                </c:pt>
                <c:pt idx="1349">
                  <c:v>6.7</c:v>
                </c:pt>
                <c:pt idx="1350">
                  <c:v>7.4</c:v>
                </c:pt>
                <c:pt idx="1351">
                  <c:v>6.2</c:v>
                </c:pt>
                <c:pt idx="1352">
                  <c:v>5.4</c:v>
                </c:pt>
                <c:pt idx="1353">
                  <c:v>6.7</c:v>
                </c:pt>
                <c:pt idx="1354">
                  <c:v>5.3</c:v>
                </c:pt>
                <c:pt idx="1355">
                  <c:v>5.9</c:v>
                </c:pt>
                <c:pt idx="1356">
                  <c:v>4.8</c:v>
                </c:pt>
                <c:pt idx="1357">
                  <c:v>3.8</c:v>
                </c:pt>
                <c:pt idx="1358">
                  <c:v>8.5</c:v>
                </c:pt>
                <c:pt idx="1359">
                  <c:v>6.8</c:v>
                </c:pt>
                <c:pt idx="1360">
                  <c:v>5.3</c:v>
                </c:pt>
                <c:pt idx="1361">
                  <c:v>7.3</c:v>
                </c:pt>
                <c:pt idx="1362">
                  <c:v>6.6</c:v>
                </c:pt>
                <c:pt idx="1363">
                  <c:v>6.2</c:v>
                </c:pt>
                <c:pt idx="1364">
                  <c:v>5.2</c:v>
                </c:pt>
                <c:pt idx="1365">
                  <c:v>6.2</c:v>
                </c:pt>
                <c:pt idx="1366">
                  <c:v>6.2</c:v>
                </c:pt>
                <c:pt idx="1367">
                  <c:v>6.6</c:v>
                </c:pt>
                <c:pt idx="1368">
                  <c:v>6.2</c:v>
                </c:pt>
                <c:pt idx="1369">
                  <c:v>5.0999999999999996</c:v>
                </c:pt>
                <c:pt idx="1370">
                  <c:v>6.6</c:v>
                </c:pt>
                <c:pt idx="1371">
                  <c:v>6.1</c:v>
                </c:pt>
                <c:pt idx="1372">
                  <c:v>6.6</c:v>
                </c:pt>
                <c:pt idx="1373">
                  <c:v>5.9</c:v>
                </c:pt>
                <c:pt idx="1374">
                  <c:v>6.3</c:v>
                </c:pt>
                <c:pt idx="1375">
                  <c:v>7.1</c:v>
                </c:pt>
                <c:pt idx="1376">
                  <c:v>5</c:v>
                </c:pt>
                <c:pt idx="1377">
                  <c:v>5.6</c:v>
                </c:pt>
                <c:pt idx="1378">
                  <c:v>7.4</c:v>
                </c:pt>
                <c:pt idx="1379">
                  <c:v>4.5</c:v>
                </c:pt>
                <c:pt idx="1380">
                  <c:v>6.2</c:v>
                </c:pt>
                <c:pt idx="1381">
                  <c:v>5</c:v>
                </c:pt>
                <c:pt idx="1382">
                  <c:v>6.5</c:v>
                </c:pt>
                <c:pt idx="1383">
                  <c:v>5.0999999999999996</c:v>
                </c:pt>
                <c:pt idx="1384">
                  <c:v>6.5</c:v>
                </c:pt>
                <c:pt idx="1385">
                  <c:v>6.2</c:v>
                </c:pt>
                <c:pt idx="1386">
                  <c:v>6.3</c:v>
                </c:pt>
                <c:pt idx="1387">
                  <c:v>3.8</c:v>
                </c:pt>
                <c:pt idx="1388">
                  <c:v>6.2</c:v>
                </c:pt>
                <c:pt idx="1389">
                  <c:v>5.7</c:v>
                </c:pt>
                <c:pt idx="1390">
                  <c:v>6.7</c:v>
                </c:pt>
                <c:pt idx="1391">
                  <c:v>6.8</c:v>
                </c:pt>
                <c:pt idx="1392">
                  <c:v>6</c:v>
                </c:pt>
                <c:pt idx="1393">
                  <c:v>7.3</c:v>
                </c:pt>
                <c:pt idx="1394">
                  <c:v>5.5</c:v>
                </c:pt>
                <c:pt idx="1395">
                  <c:v>6.7</c:v>
                </c:pt>
                <c:pt idx="1396">
                  <c:v>4.8</c:v>
                </c:pt>
                <c:pt idx="1397">
                  <c:v>5.7</c:v>
                </c:pt>
                <c:pt idx="1398">
                  <c:v>5.0999999999999996</c:v>
                </c:pt>
                <c:pt idx="1399">
                  <c:v>6</c:v>
                </c:pt>
                <c:pt idx="1400">
                  <c:v>4.2</c:v>
                </c:pt>
                <c:pt idx="1401">
                  <c:v>7.4</c:v>
                </c:pt>
                <c:pt idx="1402">
                  <c:v>4.5999999999999996</c:v>
                </c:pt>
                <c:pt idx="1403">
                  <c:v>6.9</c:v>
                </c:pt>
                <c:pt idx="1404">
                  <c:v>6.9</c:v>
                </c:pt>
                <c:pt idx="1405">
                  <c:v>8</c:v>
                </c:pt>
                <c:pt idx="1406">
                  <c:v>6.4</c:v>
                </c:pt>
                <c:pt idx="1407">
                  <c:v>6.3</c:v>
                </c:pt>
                <c:pt idx="1408">
                  <c:v>6.8</c:v>
                </c:pt>
                <c:pt idx="1409">
                  <c:v>6.8</c:v>
                </c:pt>
                <c:pt idx="1410">
                  <c:v>5.4</c:v>
                </c:pt>
                <c:pt idx="1411">
                  <c:v>7.2</c:v>
                </c:pt>
                <c:pt idx="1412">
                  <c:v>7.3</c:v>
                </c:pt>
                <c:pt idx="1413">
                  <c:v>5.2</c:v>
                </c:pt>
                <c:pt idx="1414">
                  <c:v>5.5</c:v>
                </c:pt>
                <c:pt idx="1415">
                  <c:v>7.7</c:v>
                </c:pt>
                <c:pt idx="1416">
                  <c:v>7.1</c:v>
                </c:pt>
                <c:pt idx="1417">
                  <c:v>5.3</c:v>
                </c:pt>
                <c:pt idx="1418">
                  <c:v>5.6</c:v>
                </c:pt>
                <c:pt idx="1419">
                  <c:v>5.7</c:v>
                </c:pt>
                <c:pt idx="1420">
                  <c:v>7.1</c:v>
                </c:pt>
                <c:pt idx="1421">
                  <c:v>7.6</c:v>
                </c:pt>
                <c:pt idx="1422">
                  <c:v>5.5</c:v>
                </c:pt>
                <c:pt idx="1423">
                  <c:v>5.0999999999999996</c:v>
                </c:pt>
                <c:pt idx="1424">
                  <c:v>6.3</c:v>
                </c:pt>
                <c:pt idx="1425">
                  <c:v>4.9000000000000004</c:v>
                </c:pt>
                <c:pt idx="1426">
                  <c:v>6.5</c:v>
                </c:pt>
                <c:pt idx="1427">
                  <c:v>5.6</c:v>
                </c:pt>
                <c:pt idx="1428">
                  <c:v>5.3</c:v>
                </c:pt>
                <c:pt idx="1429">
                  <c:v>6.5</c:v>
                </c:pt>
                <c:pt idx="1430">
                  <c:v>6.8</c:v>
                </c:pt>
                <c:pt idx="1431">
                  <c:v>6.5</c:v>
                </c:pt>
                <c:pt idx="1432">
                  <c:v>6</c:v>
                </c:pt>
                <c:pt idx="1433">
                  <c:v>8.4</c:v>
                </c:pt>
                <c:pt idx="1434">
                  <c:v>6</c:v>
                </c:pt>
                <c:pt idx="1435">
                  <c:v>7.6</c:v>
                </c:pt>
                <c:pt idx="1436">
                  <c:v>6.9</c:v>
                </c:pt>
                <c:pt idx="1437">
                  <c:v>6.4</c:v>
                </c:pt>
                <c:pt idx="1438">
                  <c:v>5.0999999999999996</c:v>
                </c:pt>
                <c:pt idx="1439">
                  <c:v>7</c:v>
                </c:pt>
                <c:pt idx="1440">
                  <c:v>5.7</c:v>
                </c:pt>
                <c:pt idx="1441">
                  <c:v>6.8</c:v>
                </c:pt>
                <c:pt idx="1442">
                  <c:v>6.7</c:v>
                </c:pt>
                <c:pt idx="1443">
                  <c:v>6.2</c:v>
                </c:pt>
                <c:pt idx="1444">
                  <c:v>7.2</c:v>
                </c:pt>
                <c:pt idx="1445">
                  <c:v>6.2</c:v>
                </c:pt>
                <c:pt idx="1446">
                  <c:v>5.6</c:v>
                </c:pt>
                <c:pt idx="1447">
                  <c:v>4.4000000000000004</c:v>
                </c:pt>
                <c:pt idx="1448">
                  <c:v>7.5</c:v>
                </c:pt>
                <c:pt idx="1449">
                  <c:v>7.1</c:v>
                </c:pt>
                <c:pt idx="1450">
                  <c:v>6.4</c:v>
                </c:pt>
                <c:pt idx="1451">
                  <c:v>7.1</c:v>
                </c:pt>
                <c:pt idx="1452">
                  <c:v>6.9</c:v>
                </c:pt>
                <c:pt idx="1453">
                  <c:v>7.5</c:v>
                </c:pt>
                <c:pt idx="1454">
                  <c:v>6.3</c:v>
                </c:pt>
                <c:pt idx="1455">
                  <c:v>6.4</c:v>
                </c:pt>
                <c:pt idx="1456">
                  <c:v>5.9</c:v>
                </c:pt>
                <c:pt idx="1457">
                  <c:v>6.8</c:v>
                </c:pt>
                <c:pt idx="1458">
                  <c:v>6.3</c:v>
                </c:pt>
                <c:pt idx="1459">
                  <c:v>3.6</c:v>
                </c:pt>
                <c:pt idx="1460">
                  <c:v>5.3</c:v>
                </c:pt>
                <c:pt idx="1461">
                  <c:v>5.9</c:v>
                </c:pt>
                <c:pt idx="1462">
                  <c:v>6.9</c:v>
                </c:pt>
                <c:pt idx="1463">
                  <c:v>6.9</c:v>
                </c:pt>
                <c:pt idx="1464">
                  <c:v>6.1</c:v>
                </c:pt>
                <c:pt idx="1465">
                  <c:v>8.5</c:v>
                </c:pt>
                <c:pt idx="1466">
                  <c:v>6.3</c:v>
                </c:pt>
                <c:pt idx="1467">
                  <c:v>7.3</c:v>
                </c:pt>
                <c:pt idx="1468">
                  <c:v>6.3</c:v>
                </c:pt>
                <c:pt idx="1469">
                  <c:v>7.2</c:v>
                </c:pt>
                <c:pt idx="1470">
                  <c:v>7.3</c:v>
                </c:pt>
                <c:pt idx="1471">
                  <c:v>6.3</c:v>
                </c:pt>
                <c:pt idx="1472">
                  <c:v>8.1</c:v>
                </c:pt>
                <c:pt idx="1473">
                  <c:v>6.9</c:v>
                </c:pt>
                <c:pt idx="1474">
                  <c:v>6.3</c:v>
                </c:pt>
                <c:pt idx="1475">
                  <c:v>7.3</c:v>
                </c:pt>
                <c:pt idx="1476">
                  <c:v>6.1</c:v>
                </c:pt>
                <c:pt idx="1477">
                  <c:v>6.9</c:v>
                </c:pt>
                <c:pt idx="1478">
                  <c:v>7.2</c:v>
                </c:pt>
                <c:pt idx="1479">
                  <c:v>6.4</c:v>
                </c:pt>
                <c:pt idx="1480">
                  <c:v>6.4</c:v>
                </c:pt>
                <c:pt idx="1481">
                  <c:v>8.3000000000000007</c:v>
                </c:pt>
                <c:pt idx="1482">
                  <c:v>7.2</c:v>
                </c:pt>
                <c:pt idx="1483">
                  <c:v>6.8</c:v>
                </c:pt>
                <c:pt idx="1484">
                  <c:v>6.5</c:v>
                </c:pt>
                <c:pt idx="1485">
                  <c:v>7.8</c:v>
                </c:pt>
                <c:pt idx="1486">
                  <c:v>7.6</c:v>
                </c:pt>
                <c:pt idx="1487">
                  <c:v>7.2</c:v>
                </c:pt>
                <c:pt idx="1488">
                  <c:v>6.7</c:v>
                </c:pt>
                <c:pt idx="1489">
                  <c:v>6.8</c:v>
                </c:pt>
                <c:pt idx="1490">
                  <c:v>6.3</c:v>
                </c:pt>
                <c:pt idx="1491">
                  <c:v>6.2</c:v>
                </c:pt>
                <c:pt idx="1492">
                  <c:v>6.2</c:v>
                </c:pt>
                <c:pt idx="1493">
                  <c:v>8.6</c:v>
                </c:pt>
                <c:pt idx="1494">
                  <c:v>8</c:v>
                </c:pt>
                <c:pt idx="1495">
                  <c:v>7</c:v>
                </c:pt>
                <c:pt idx="1496">
                  <c:v>8</c:v>
                </c:pt>
                <c:pt idx="1497">
                  <c:v>8.1</c:v>
                </c:pt>
                <c:pt idx="1498">
                  <c:v>6.7</c:v>
                </c:pt>
                <c:pt idx="1499">
                  <c:v>7.9</c:v>
                </c:pt>
                <c:pt idx="1500">
                  <c:v>6.1</c:v>
                </c:pt>
                <c:pt idx="1501">
                  <c:v>4.2</c:v>
                </c:pt>
                <c:pt idx="1502">
                  <c:v>6.1</c:v>
                </c:pt>
                <c:pt idx="1503">
                  <c:v>6.6</c:v>
                </c:pt>
                <c:pt idx="1504">
                  <c:v>7.5</c:v>
                </c:pt>
                <c:pt idx="1505">
                  <c:v>7.4</c:v>
                </c:pt>
                <c:pt idx="1506">
                  <c:v>7.2</c:v>
                </c:pt>
                <c:pt idx="1507">
                  <c:v>6.9</c:v>
                </c:pt>
                <c:pt idx="1508">
                  <c:v>7.4</c:v>
                </c:pt>
                <c:pt idx="1509">
                  <c:v>5.4</c:v>
                </c:pt>
                <c:pt idx="1510">
                  <c:v>6.8</c:v>
                </c:pt>
                <c:pt idx="1511">
                  <c:v>6.3</c:v>
                </c:pt>
                <c:pt idx="1512">
                  <c:v>7.2</c:v>
                </c:pt>
                <c:pt idx="1513">
                  <c:v>6.9</c:v>
                </c:pt>
                <c:pt idx="1514">
                  <c:v>6</c:v>
                </c:pt>
                <c:pt idx="1515">
                  <c:v>5.9</c:v>
                </c:pt>
                <c:pt idx="1516">
                  <c:v>5.4</c:v>
                </c:pt>
                <c:pt idx="1517">
                  <c:v>5.9</c:v>
                </c:pt>
                <c:pt idx="1518">
                  <c:v>6.1</c:v>
                </c:pt>
                <c:pt idx="1519">
                  <c:v>7.7</c:v>
                </c:pt>
                <c:pt idx="1520">
                  <c:v>5.8</c:v>
                </c:pt>
                <c:pt idx="1521">
                  <c:v>7.6</c:v>
                </c:pt>
                <c:pt idx="1522">
                  <c:v>6.1</c:v>
                </c:pt>
                <c:pt idx="1523">
                  <c:v>5.4</c:v>
                </c:pt>
                <c:pt idx="1524">
                  <c:v>5.0999999999999996</c:v>
                </c:pt>
                <c:pt idx="1525">
                  <c:v>6.4</c:v>
                </c:pt>
                <c:pt idx="1526">
                  <c:v>6.3</c:v>
                </c:pt>
                <c:pt idx="1527">
                  <c:v>7.5</c:v>
                </c:pt>
                <c:pt idx="1528">
                  <c:v>7.1</c:v>
                </c:pt>
                <c:pt idx="1529">
                  <c:v>7.8</c:v>
                </c:pt>
                <c:pt idx="1530">
                  <c:v>6.5</c:v>
                </c:pt>
                <c:pt idx="1531">
                  <c:v>6.6</c:v>
                </c:pt>
                <c:pt idx="1532">
                  <c:v>7.4</c:v>
                </c:pt>
                <c:pt idx="1533">
                  <c:v>7.6</c:v>
                </c:pt>
                <c:pt idx="1534">
                  <c:v>7.5</c:v>
                </c:pt>
                <c:pt idx="1535">
                  <c:v>6.6</c:v>
                </c:pt>
                <c:pt idx="1536">
                  <c:v>7.2</c:v>
                </c:pt>
                <c:pt idx="1537">
                  <c:v>7.6</c:v>
                </c:pt>
                <c:pt idx="1538">
                  <c:v>6.2</c:v>
                </c:pt>
                <c:pt idx="1539">
                  <c:v>5.6</c:v>
                </c:pt>
                <c:pt idx="1540">
                  <c:v>7.6</c:v>
                </c:pt>
                <c:pt idx="1541">
                  <c:v>6.6</c:v>
                </c:pt>
                <c:pt idx="1542">
                  <c:v>7</c:v>
                </c:pt>
                <c:pt idx="1543">
                  <c:v>2.7</c:v>
                </c:pt>
                <c:pt idx="1544">
                  <c:v>7.6</c:v>
                </c:pt>
                <c:pt idx="1545">
                  <c:v>6.6</c:v>
                </c:pt>
                <c:pt idx="1546">
                  <c:v>6.9</c:v>
                </c:pt>
                <c:pt idx="1547">
                  <c:v>6.8</c:v>
                </c:pt>
                <c:pt idx="1548">
                  <c:v>3.7</c:v>
                </c:pt>
                <c:pt idx="1549">
                  <c:v>6.1</c:v>
                </c:pt>
                <c:pt idx="1550">
                  <c:v>5.9</c:v>
                </c:pt>
                <c:pt idx="1551">
                  <c:v>6.7</c:v>
                </c:pt>
                <c:pt idx="1552">
                  <c:v>6.9</c:v>
                </c:pt>
                <c:pt idx="1553">
                  <c:v>5.5</c:v>
                </c:pt>
                <c:pt idx="1554">
                  <c:v>7.1</c:v>
                </c:pt>
                <c:pt idx="1555">
                  <c:v>7.1</c:v>
                </c:pt>
                <c:pt idx="1556">
                  <c:v>7.3</c:v>
                </c:pt>
                <c:pt idx="1557">
                  <c:v>3.4</c:v>
                </c:pt>
                <c:pt idx="1558">
                  <c:v>6.8</c:v>
                </c:pt>
                <c:pt idx="1559">
                  <c:v>6.9</c:v>
                </c:pt>
                <c:pt idx="1560">
                  <c:v>7</c:v>
                </c:pt>
                <c:pt idx="1561">
                  <c:v>5.5</c:v>
                </c:pt>
                <c:pt idx="1562">
                  <c:v>5.0999999999999996</c:v>
                </c:pt>
                <c:pt idx="1563">
                  <c:v>6.2</c:v>
                </c:pt>
                <c:pt idx="1564">
                  <c:v>5.9</c:v>
                </c:pt>
                <c:pt idx="1565">
                  <c:v>5.2</c:v>
                </c:pt>
                <c:pt idx="1566">
                  <c:v>6.2</c:v>
                </c:pt>
                <c:pt idx="1567">
                  <c:v>5.5</c:v>
                </c:pt>
                <c:pt idx="1568">
                  <c:v>7.4</c:v>
                </c:pt>
                <c:pt idx="1569">
                  <c:v>4.4000000000000004</c:v>
                </c:pt>
                <c:pt idx="1570">
                  <c:v>6.3</c:v>
                </c:pt>
                <c:pt idx="1571">
                  <c:v>6.1</c:v>
                </c:pt>
                <c:pt idx="1572">
                  <c:v>5.3</c:v>
                </c:pt>
                <c:pt idx="1573">
                  <c:v>5.4</c:v>
                </c:pt>
                <c:pt idx="1574">
                  <c:v>6.7</c:v>
                </c:pt>
                <c:pt idx="1575">
                  <c:v>5.9</c:v>
                </c:pt>
                <c:pt idx="1576">
                  <c:v>7.3</c:v>
                </c:pt>
                <c:pt idx="1577">
                  <c:v>5.5</c:v>
                </c:pt>
                <c:pt idx="1578">
                  <c:v>5.8</c:v>
                </c:pt>
                <c:pt idx="1579">
                  <c:v>4.5999999999999996</c:v>
                </c:pt>
                <c:pt idx="1580">
                  <c:v>6.7</c:v>
                </c:pt>
                <c:pt idx="1581">
                  <c:v>5.0999999999999996</c:v>
                </c:pt>
                <c:pt idx="1582">
                  <c:v>5.6</c:v>
                </c:pt>
                <c:pt idx="1583">
                  <c:v>7</c:v>
                </c:pt>
                <c:pt idx="1584">
                  <c:v>6.4</c:v>
                </c:pt>
                <c:pt idx="1585">
                  <c:v>6.7</c:v>
                </c:pt>
                <c:pt idx="1586">
                  <c:v>4.0999999999999996</c:v>
                </c:pt>
                <c:pt idx="1587">
                  <c:v>5.5</c:v>
                </c:pt>
                <c:pt idx="1588">
                  <c:v>2.7</c:v>
                </c:pt>
                <c:pt idx="1589">
                  <c:v>6.4</c:v>
                </c:pt>
                <c:pt idx="1590">
                  <c:v>4.8</c:v>
                </c:pt>
                <c:pt idx="1591">
                  <c:v>6.1</c:v>
                </c:pt>
                <c:pt idx="1592">
                  <c:v>4.8</c:v>
                </c:pt>
                <c:pt idx="1593">
                  <c:v>7</c:v>
                </c:pt>
                <c:pt idx="1594">
                  <c:v>6.8</c:v>
                </c:pt>
                <c:pt idx="1595">
                  <c:v>5.6</c:v>
                </c:pt>
                <c:pt idx="1596">
                  <c:v>6.1</c:v>
                </c:pt>
                <c:pt idx="1597">
                  <c:v>7.9</c:v>
                </c:pt>
                <c:pt idx="1598">
                  <c:v>8.4</c:v>
                </c:pt>
                <c:pt idx="1599">
                  <c:v>6.5</c:v>
                </c:pt>
                <c:pt idx="1600">
                  <c:v>7.1</c:v>
                </c:pt>
                <c:pt idx="1601">
                  <c:v>6.6</c:v>
                </c:pt>
                <c:pt idx="1602">
                  <c:v>7</c:v>
                </c:pt>
                <c:pt idx="1603">
                  <c:v>5.6</c:v>
                </c:pt>
                <c:pt idx="1604">
                  <c:v>4.8</c:v>
                </c:pt>
                <c:pt idx="1605">
                  <c:v>7.5</c:v>
                </c:pt>
                <c:pt idx="1606">
                  <c:v>6</c:v>
                </c:pt>
                <c:pt idx="1607">
                  <c:v>6.8</c:v>
                </c:pt>
                <c:pt idx="1608">
                  <c:v>6.5</c:v>
                </c:pt>
                <c:pt idx="1609">
                  <c:v>7.9</c:v>
                </c:pt>
                <c:pt idx="1610">
                  <c:v>6.4</c:v>
                </c:pt>
                <c:pt idx="1611">
                  <c:v>5.8</c:v>
                </c:pt>
                <c:pt idx="1612">
                  <c:v>7.7</c:v>
                </c:pt>
                <c:pt idx="1613">
                  <c:v>5.3</c:v>
                </c:pt>
                <c:pt idx="1614">
                  <c:v>5.3</c:v>
                </c:pt>
                <c:pt idx="1615">
                  <c:v>7.5</c:v>
                </c:pt>
                <c:pt idx="1616">
                  <c:v>6.9</c:v>
                </c:pt>
                <c:pt idx="1617">
                  <c:v>4.9000000000000004</c:v>
                </c:pt>
                <c:pt idx="1618">
                  <c:v>7.1</c:v>
                </c:pt>
                <c:pt idx="1619">
                  <c:v>8</c:v>
                </c:pt>
                <c:pt idx="1620">
                  <c:v>7.9</c:v>
                </c:pt>
                <c:pt idx="1621">
                  <c:v>7.6</c:v>
                </c:pt>
                <c:pt idx="1622">
                  <c:v>5.9</c:v>
                </c:pt>
                <c:pt idx="1623">
                  <c:v>6.3</c:v>
                </c:pt>
                <c:pt idx="1624">
                  <c:v>6.4</c:v>
                </c:pt>
                <c:pt idx="1625">
                  <c:v>8.1999999999999993</c:v>
                </c:pt>
                <c:pt idx="1626">
                  <c:v>6.9</c:v>
                </c:pt>
                <c:pt idx="1627">
                  <c:v>7.8</c:v>
                </c:pt>
                <c:pt idx="1628">
                  <c:v>6.7</c:v>
                </c:pt>
                <c:pt idx="1629">
                  <c:v>7.5</c:v>
                </c:pt>
                <c:pt idx="1630">
                  <c:v>7.4</c:v>
                </c:pt>
                <c:pt idx="1631">
                  <c:v>5.2</c:v>
                </c:pt>
                <c:pt idx="1632">
                  <c:v>7.6</c:v>
                </c:pt>
                <c:pt idx="1633">
                  <c:v>7.3</c:v>
                </c:pt>
                <c:pt idx="1634">
                  <c:v>6.6</c:v>
                </c:pt>
                <c:pt idx="1635">
                  <c:v>6.8</c:v>
                </c:pt>
                <c:pt idx="1636">
                  <c:v>6.9</c:v>
                </c:pt>
                <c:pt idx="1637">
                  <c:v>5.8</c:v>
                </c:pt>
                <c:pt idx="1638">
                  <c:v>6.6</c:v>
                </c:pt>
                <c:pt idx="1639">
                  <c:v>6.7</c:v>
                </c:pt>
                <c:pt idx="1640">
                  <c:v>6.7</c:v>
                </c:pt>
                <c:pt idx="1641">
                  <c:v>6.3</c:v>
                </c:pt>
                <c:pt idx="1642">
                  <c:v>7.7</c:v>
                </c:pt>
                <c:pt idx="1643">
                  <c:v>6.1</c:v>
                </c:pt>
                <c:pt idx="1644">
                  <c:v>4.9000000000000004</c:v>
                </c:pt>
                <c:pt idx="1645">
                  <c:v>6.2</c:v>
                </c:pt>
                <c:pt idx="1646">
                  <c:v>7.8</c:v>
                </c:pt>
                <c:pt idx="1647">
                  <c:v>8.1999999999999993</c:v>
                </c:pt>
                <c:pt idx="1648">
                  <c:v>6.9</c:v>
                </c:pt>
                <c:pt idx="1649">
                  <c:v>6.2</c:v>
                </c:pt>
                <c:pt idx="1650">
                  <c:v>6.9</c:v>
                </c:pt>
                <c:pt idx="1651">
                  <c:v>4.8</c:v>
                </c:pt>
                <c:pt idx="1652">
                  <c:v>8</c:v>
                </c:pt>
                <c:pt idx="1653">
                  <c:v>5.3</c:v>
                </c:pt>
                <c:pt idx="1654">
                  <c:v>6.7</c:v>
                </c:pt>
                <c:pt idx="1655">
                  <c:v>5.4</c:v>
                </c:pt>
                <c:pt idx="1656">
                  <c:v>5.4</c:v>
                </c:pt>
                <c:pt idx="1657">
                  <c:v>4.9000000000000004</c:v>
                </c:pt>
                <c:pt idx="1658">
                  <c:v>6.1</c:v>
                </c:pt>
                <c:pt idx="1659">
                  <c:v>5.8</c:v>
                </c:pt>
                <c:pt idx="1660">
                  <c:v>7</c:v>
                </c:pt>
                <c:pt idx="1661">
                  <c:v>6.5</c:v>
                </c:pt>
                <c:pt idx="1662">
                  <c:v>6.6</c:v>
                </c:pt>
                <c:pt idx="1663">
                  <c:v>5.7</c:v>
                </c:pt>
                <c:pt idx="1664">
                  <c:v>6.6</c:v>
                </c:pt>
                <c:pt idx="1665">
                  <c:v>7</c:v>
                </c:pt>
                <c:pt idx="1666">
                  <c:v>7.4</c:v>
                </c:pt>
                <c:pt idx="1667">
                  <c:v>5.3</c:v>
                </c:pt>
                <c:pt idx="1668">
                  <c:v>7.4</c:v>
                </c:pt>
                <c:pt idx="1669">
                  <c:v>7.4</c:v>
                </c:pt>
                <c:pt idx="1670">
                  <c:v>6.8</c:v>
                </c:pt>
                <c:pt idx="1671">
                  <c:v>7.2</c:v>
                </c:pt>
                <c:pt idx="1672">
                  <c:v>6</c:v>
                </c:pt>
                <c:pt idx="1673">
                  <c:v>6.6</c:v>
                </c:pt>
                <c:pt idx="1674">
                  <c:v>7.9</c:v>
                </c:pt>
                <c:pt idx="1675">
                  <c:v>5.7</c:v>
                </c:pt>
                <c:pt idx="1676">
                  <c:v>7.1</c:v>
                </c:pt>
                <c:pt idx="1677">
                  <c:v>5.6</c:v>
                </c:pt>
                <c:pt idx="1678">
                  <c:v>7.8</c:v>
                </c:pt>
                <c:pt idx="1679">
                  <c:v>7.9</c:v>
                </c:pt>
                <c:pt idx="1680">
                  <c:v>6.9</c:v>
                </c:pt>
                <c:pt idx="1681">
                  <c:v>7.7</c:v>
                </c:pt>
                <c:pt idx="1682">
                  <c:v>6.9</c:v>
                </c:pt>
                <c:pt idx="1683">
                  <c:v>6</c:v>
                </c:pt>
                <c:pt idx="1684">
                  <c:v>6.2</c:v>
                </c:pt>
                <c:pt idx="1685">
                  <c:v>5.9</c:v>
                </c:pt>
                <c:pt idx="1686">
                  <c:v>6.8</c:v>
                </c:pt>
                <c:pt idx="1687">
                  <c:v>3.6</c:v>
                </c:pt>
                <c:pt idx="1688">
                  <c:v>6.7</c:v>
                </c:pt>
                <c:pt idx="1689">
                  <c:v>6.3</c:v>
                </c:pt>
                <c:pt idx="1690">
                  <c:v>6.4</c:v>
                </c:pt>
                <c:pt idx="1691">
                  <c:v>6.4</c:v>
                </c:pt>
                <c:pt idx="1692">
                  <c:v>5.7</c:v>
                </c:pt>
                <c:pt idx="1693">
                  <c:v>6.2</c:v>
                </c:pt>
                <c:pt idx="1694">
                  <c:v>5.2</c:v>
                </c:pt>
                <c:pt idx="1695">
                  <c:v>6.1</c:v>
                </c:pt>
                <c:pt idx="1696">
                  <c:v>7.1</c:v>
                </c:pt>
                <c:pt idx="1697">
                  <c:v>7.2</c:v>
                </c:pt>
                <c:pt idx="1698">
                  <c:v>6.5</c:v>
                </c:pt>
                <c:pt idx="1699">
                  <c:v>6</c:v>
                </c:pt>
                <c:pt idx="1700">
                  <c:v>7</c:v>
                </c:pt>
                <c:pt idx="1701">
                  <c:v>7</c:v>
                </c:pt>
                <c:pt idx="1702">
                  <c:v>7.5</c:v>
                </c:pt>
                <c:pt idx="1703">
                  <c:v>6.6</c:v>
                </c:pt>
                <c:pt idx="1704">
                  <c:v>7.4</c:v>
                </c:pt>
                <c:pt idx="1705">
                  <c:v>6.5</c:v>
                </c:pt>
                <c:pt idx="1706">
                  <c:v>6.2</c:v>
                </c:pt>
                <c:pt idx="1707">
                  <c:v>7.8</c:v>
                </c:pt>
                <c:pt idx="1708">
                  <c:v>5.2</c:v>
                </c:pt>
                <c:pt idx="1709">
                  <c:v>6.5</c:v>
                </c:pt>
                <c:pt idx="1710">
                  <c:v>6.5</c:v>
                </c:pt>
                <c:pt idx="1711">
                  <c:v>5.2</c:v>
                </c:pt>
                <c:pt idx="1712">
                  <c:v>7.2</c:v>
                </c:pt>
                <c:pt idx="1713">
                  <c:v>7.1</c:v>
                </c:pt>
                <c:pt idx="1714">
                  <c:v>4.5</c:v>
                </c:pt>
                <c:pt idx="1715">
                  <c:v>5.7</c:v>
                </c:pt>
                <c:pt idx="1716">
                  <c:v>6</c:v>
                </c:pt>
                <c:pt idx="1717">
                  <c:v>6.4</c:v>
                </c:pt>
                <c:pt idx="1718">
                  <c:v>5.2</c:v>
                </c:pt>
                <c:pt idx="1719">
                  <c:v>4.3</c:v>
                </c:pt>
                <c:pt idx="1720">
                  <c:v>6.1</c:v>
                </c:pt>
                <c:pt idx="1721">
                  <c:v>6.8</c:v>
                </c:pt>
                <c:pt idx="1722">
                  <c:v>5.2</c:v>
                </c:pt>
                <c:pt idx="1723">
                  <c:v>6.5</c:v>
                </c:pt>
                <c:pt idx="1724">
                  <c:v>7.5</c:v>
                </c:pt>
                <c:pt idx="1725">
                  <c:v>7.1</c:v>
                </c:pt>
                <c:pt idx="1726">
                  <c:v>6.9</c:v>
                </c:pt>
                <c:pt idx="1727">
                  <c:v>8</c:v>
                </c:pt>
                <c:pt idx="1728">
                  <c:v>8.1999999999999993</c:v>
                </c:pt>
                <c:pt idx="1729">
                  <c:v>6.4</c:v>
                </c:pt>
                <c:pt idx="1730">
                  <c:v>7.9</c:v>
                </c:pt>
                <c:pt idx="1731">
                  <c:v>6.7</c:v>
                </c:pt>
                <c:pt idx="1732">
                  <c:v>6.1</c:v>
                </c:pt>
                <c:pt idx="1733">
                  <c:v>8.9</c:v>
                </c:pt>
                <c:pt idx="1734">
                  <c:v>8.1</c:v>
                </c:pt>
                <c:pt idx="1735">
                  <c:v>6.2</c:v>
                </c:pt>
                <c:pt idx="1736">
                  <c:v>4.9000000000000004</c:v>
                </c:pt>
                <c:pt idx="1737">
                  <c:v>5.8</c:v>
                </c:pt>
                <c:pt idx="1738">
                  <c:v>6</c:v>
                </c:pt>
                <c:pt idx="1739">
                  <c:v>7</c:v>
                </c:pt>
                <c:pt idx="1740">
                  <c:v>6</c:v>
                </c:pt>
                <c:pt idx="1741">
                  <c:v>7.9</c:v>
                </c:pt>
                <c:pt idx="1742">
                  <c:v>8.1</c:v>
                </c:pt>
                <c:pt idx="1743">
                  <c:v>6.2</c:v>
                </c:pt>
                <c:pt idx="1744">
                  <c:v>6.7</c:v>
                </c:pt>
                <c:pt idx="1745">
                  <c:v>7.3</c:v>
                </c:pt>
                <c:pt idx="1746">
                  <c:v>4.5999999999999996</c:v>
                </c:pt>
                <c:pt idx="1747">
                  <c:v>6.1</c:v>
                </c:pt>
                <c:pt idx="1748">
                  <c:v>6.2</c:v>
                </c:pt>
                <c:pt idx="1749">
                  <c:v>7.8</c:v>
                </c:pt>
                <c:pt idx="1750">
                  <c:v>6.1</c:v>
                </c:pt>
                <c:pt idx="1751">
                  <c:v>5.8</c:v>
                </c:pt>
                <c:pt idx="1752">
                  <c:v>6.5</c:v>
                </c:pt>
                <c:pt idx="1753">
                  <c:v>7.2</c:v>
                </c:pt>
                <c:pt idx="1754">
                  <c:v>7.8</c:v>
                </c:pt>
                <c:pt idx="1755">
                  <c:v>4.7</c:v>
                </c:pt>
                <c:pt idx="1756">
                  <c:v>6.8</c:v>
                </c:pt>
                <c:pt idx="1757">
                  <c:v>5.9</c:v>
                </c:pt>
                <c:pt idx="1758">
                  <c:v>7.2</c:v>
                </c:pt>
                <c:pt idx="1759">
                  <c:v>8.6999999999999993</c:v>
                </c:pt>
                <c:pt idx="1760">
                  <c:v>5</c:v>
                </c:pt>
                <c:pt idx="1761">
                  <c:v>6.6</c:v>
                </c:pt>
                <c:pt idx="1762">
                  <c:v>8.3000000000000007</c:v>
                </c:pt>
                <c:pt idx="1763">
                  <c:v>6.7</c:v>
                </c:pt>
                <c:pt idx="1764">
                  <c:v>7.8</c:v>
                </c:pt>
                <c:pt idx="1765">
                  <c:v>6.5</c:v>
                </c:pt>
                <c:pt idx="1766">
                  <c:v>6.1</c:v>
                </c:pt>
                <c:pt idx="1767">
                  <c:v>8.1</c:v>
                </c:pt>
                <c:pt idx="1768">
                  <c:v>5.2</c:v>
                </c:pt>
                <c:pt idx="1769">
                  <c:v>5.6</c:v>
                </c:pt>
                <c:pt idx="1770">
                  <c:v>5.8</c:v>
                </c:pt>
                <c:pt idx="1771">
                  <c:v>6.6</c:v>
                </c:pt>
                <c:pt idx="1772">
                  <c:v>6.6</c:v>
                </c:pt>
                <c:pt idx="1773">
                  <c:v>5.5</c:v>
                </c:pt>
                <c:pt idx="1774">
                  <c:v>7</c:v>
                </c:pt>
                <c:pt idx="1775">
                  <c:v>6.5</c:v>
                </c:pt>
                <c:pt idx="1776">
                  <c:v>5.8</c:v>
                </c:pt>
                <c:pt idx="1777">
                  <c:v>5.6</c:v>
                </c:pt>
                <c:pt idx="1778">
                  <c:v>5.6</c:v>
                </c:pt>
                <c:pt idx="1779">
                  <c:v>5.8</c:v>
                </c:pt>
                <c:pt idx="1780">
                  <c:v>7.6</c:v>
                </c:pt>
                <c:pt idx="1781">
                  <c:v>6.4</c:v>
                </c:pt>
                <c:pt idx="1782">
                  <c:v>6.3</c:v>
                </c:pt>
                <c:pt idx="1783">
                  <c:v>4.5999999999999996</c:v>
                </c:pt>
                <c:pt idx="1784">
                  <c:v>6.5</c:v>
                </c:pt>
                <c:pt idx="1785">
                  <c:v>7.5</c:v>
                </c:pt>
                <c:pt idx="1786">
                  <c:v>7.5</c:v>
                </c:pt>
                <c:pt idx="1787">
                  <c:v>5.3</c:v>
                </c:pt>
                <c:pt idx="1788">
                  <c:v>7.5</c:v>
                </c:pt>
                <c:pt idx="1789">
                  <c:v>3.3</c:v>
                </c:pt>
                <c:pt idx="1790">
                  <c:v>3.5</c:v>
                </c:pt>
                <c:pt idx="1791">
                  <c:v>9.3000000000000007</c:v>
                </c:pt>
                <c:pt idx="1792">
                  <c:v>4.8</c:v>
                </c:pt>
                <c:pt idx="1793">
                  <c:v>6.9</c:v>
                </c:pt>
                <c:pt idx="1794">
                  <c:v>6</c:v>
                </c:pt>
                <c:pt idx="1795">
                  <c:v>7.3</c:v>
                </c:pt>
                <c:pt idx="1796">
                  <c:v>6.6</c:v>
                </c:pt>
                <c:pt idx="1797">
                  <c:v>7.5</c:v>
                </c:pt>
                <c:pt idx="1798">
                  <c:v>6.9</c:v>
                </c:pt>
                <c:pt idx="1799">
                  <c:v>6.8</c:v>
                </c:pt>
                <c:pt idx="1800">
                  <c:v>6.3</c:v>
                </c:pt>
                <c:pt idx="1801">
                  <c:v>6.4</c:v>
                </c:pt>
                <c:pt idx="1802">
                  <c:v>5.6</c:v>
                </c:pt>
                <c:pt idx="1803">
                  <c:v>6.3</c:v>
                </c:pt>
                <c:pt idx="1804">
                  <c:v>7.3</c:v>
                </c:pt>
                <c:pt idx="1805">
                  <c:v>6.6</c:v>
                </c:pt>
                <c:pt idx="1806">
                  <c:v>4.5999999999999996</c:v>
                </c:pt>
                <c:pt idx="1807">
                  <c:v>5.0999999999999996</c:v>
                </c:pt>
                <c:pt idx="1808">
                  <c:v>5.6</c:v>
                </c:pt>
                <c:pt idx="1809">
                  <c:v>5.3</c:v>
                </c:pt>
                <c:pt idx="1810">
                  <c:v>5.6</c:v>
                </c:pt>
                <c:pt idx="1811">
                  <c:v>5.9</c:v>
                </c:pt>
                <c:pt idx="1812">
                  <c:v>4.7</c:v>
                </c:pt>
                <c:pt idx="1813">
                  <c:v>4.8</c:v>
                </c:pt>
                <c:pt idx="1814">
                  <c:v>6.8</c:v>
                </c:pt>
                <c:pt idx="1815">
                  <c:v>5.4</c:v>
                </c:pt>
                <c:pt idx="1816">
                  <c:v>5.0999999999999996</c:v>
                </c:pt>
                <c:pt idx="1817">
                  <c:v>7</c:v>
                </c:pt>
                <c:pt idx="1818">
                  <c:v>4</c:v>
                </c:pt>
                <c:pt idx="1819">
                  <c:v>7.3</c:v>
                </c:pt>
                <c:pt idx="1820">
                  <c:v>6.8</c:v>
                </c:pt>
                <c:pt idx="1821">
                  <c:v>7</c:v>
                </c:pt>
                <c:pt idx="1822">
                  <c:v>7.1</c:v>
                </c:pt>
                <c:pt idx="1823">
                  <c:v>6.9</c:v>
                </c:pt>
                <c:pt idx="1824">
                  <c:v>7.3</c:v>
                </c:pt>
                <c:pt idx="1825">
                  <c:v>8.1999999999999993</c:v>
                </c:pt>
                <c:pt idx="1826">
                  <c:v>7.1</c:v>
                </c:pt>
                <c:pt idx="1827">
                  <c:v>7.7</c:v>
                </c:pt>
                <c:pt idx="1828">
                  <c:v>6.5</c:v>
                </c:pt>
                <c:pt idx="1829">
                  <c:v>4.9000000000000004</c:v>
                </c:pt>
                <c:pt idx="1830">
                  <c:v>6.4</c:v>
                </c:pt>
                <c:pt idx="1831">
                  <c:v>5.9</c:v>
                </c:pt>
                <c:pt idx="1832">
                  <c:v>6.2</c:v>
                </c:pt>
                <c:pt idx="1833">
                  <c:v>5.8</c:v>
                </c:pt>
                <c:pt idx="1834">
                  <c:v>6.7</c:v>
                </c:pt>
                <c:pt idx="1835">
                  <c:v>5.9</c:v>
                </c:pt>
                <c:pt idx="1836">
                  <c:v>7.3</c:v>
                </c:pt>
                <c:pt idx="1837">
                  <c:v>4.0999999999999996</c:v>
                </c:pt>
                <c:pt idx="1838">
                  <c:v>4.9000000000000004</c:v>
                </c:pt>
                <c:pt idx="1839">
                  <c:v>7.9</c:v>
                </c:pt>
                <c:pt idx="1840">
                  <c:v>5.2</c:v>
                </c:pt>
                <c:pt idx="1841">
                  <c:v>4.0999999999999996</c:v>
                </c:pt>
                <c:pt idx="1842">
                  <c:v>6.6</c:v>
                </c:pt>
                <c:pt idx="1843">
                  <c:v>2.9</c:v>
                </c:pt>
                <c:pt idx="1844">
                  <c:v>6.5</c:v>
                </c:pt>
                <c:pt idx="1845">
                  <c:v>7.2</c:v>
                </c:pt>
                <c:pt idx="1846">
                  <c:v>6.8</c:v>
                </c:pt>
                <c:pt idx="1847">
                  <c:v>7.8</c:v>
                </c:pt>
                <c:pt idx="1848">
                  <c:v>6.7</c:v>
                </c:pt>
                <c:pt idx="1849">
                  <c:v>7.1</c:v>
                </c:pt>
                <c:pt idx="1850">
                  <c:v>5.7</c:v>
                </c:pt>
                <c:pt idx="1851">
                  <c:v>5.3</c:v>
                </c:pt>
                <c:pt idx="1852">
                  <c:v>6.5</c:v>
                </c:pt>
                <c:pt idx="1853">
                  <c:v>7.7</c:v>
                </c:pt>
                <c:pt idx="1854">
                  <c:v>6.1</c:v>
                </c:pt>
                <c:pt idx="1855">
                  <c:v>7.3</c:v>
                </c:pt>
                <c:pt idx="1856">
                  <c:v>7.2</c:v>
                </c:pt>
                <c:pt idx="1857">
                  <c:v>6.1</c:v>
                </c:pt>
                <c:pt idx="1858">
                  <c:v>5.8</c:v>
                </c:pt>
                <c:pt idx="1859">
                  <c:v>5.7</c:v>
                </c:pt>
                <c:pt idx="1860">
                  <c:v>6.7</c:v>
                </c:pt>
                <c:pt idx="1861">
                  <c:v>6.5</c:v>
                </c:pt>
                <c:pt idx="1862">
                  <c:v>7.2</c:v>
                </c:pt>
                <c:pt idx="1863">
                  <c:v>7.6</c:v>
                </c:pt>
                <c:pt idx="1864">
                  <c:v>4.5999999999999996</c:v>
                </c:pt>
                <c:pt idx="1865">
                  <c:v>6.9</c:v>
                </c:pt>
                <c:pt idx="1866">
                  <c:v>6.6</c:v>
                </c:pt>
                <c:pt idx="1867">
                  <c:v>6.3</c:v>
                </c:pt>
                <c:pt idx="1868">
                  <c:v>6.2</c:v>
                </c:pt>
                <c:pt idx="1869">
                  <c:v>5.3</c:v>
                </c:pt>
                <c:pt idx="1870">
                  <c:v>7.3</c:v>
                </c:pt>
                <c:pt idx="1871">
                  <c:v>5.6</c:v>
                </c:pt>
                <c:pt idx="1872">
                  <c:v>6.2</c:v>
                </c:pt>
                <c:pt idx="1873">
                  <c:v>5.2</c:v>
                </c:pt>
                <c:pt idx="1874">
                  <c:v>5.3</c:v>
                </c:pt>
                <c:pt idx="1875">
                  <c:v>5.4</c:v>
                </c:pt>
                <c:pt idx="1876">
                  <c:v>4.9000000000000004</c:v>
                </c:pt>
                <c:pt idx="1877">
                  <c:v>5.5</c:v>
                </c:pt>
                <c:pt idx="1878">
                  <c:v>6.7</c:v>
                </c:pt>
                <c:pt idx="1879">
                  <c:v>3.9</c:v>
                </c:pt>
                <c:pt idx="1880">
                  <c:v>7.2</c:v>
                </c:pt>
                <c:pt idx="1881">
                  <c:v>5.0999999999999996</c:v>
                </c:pt>
                <c:pt idx="1882">
                  <c:v>6.5</c:v>
                </c:pt>
                <c:pt idx="1883">
                  <c:v>8.1999999999999993</c:v>
                </c:pt>
                <c:pt idx="1884">
                  <c:v>7.7</c:v>
                </c:pt>
                <c:pt idx="1885">
                  <c:v>6.1</c:v>
                </c:pt>
                <c:pt idx="1886">
                  <c:v>8.8000000000000007</c:v>
                </c:pt>
                <c:pt idx="1887">
                  <c:v>6.8</c:v>
                </c:pt>
                <c:pt idx="1888">
                  <c:v>6.8</c:v>
                </c:pt>
                <c:pt idx="1889">
                  <c:v>6.7</c:v>
                </c:pt>
                <c:pt idx="1890">
                  <c:v>7.1</c:v>
                </c:pt>
                <c:pt idx="1891">
                  <c:v>7.1</c:v>
                </c:pt>
                <c:pt idx="1892">
                  <c:v>6.1</c:v>
                </c:pt>
                <c:pt idx="1893">
                  <c:v>8</c:v>
                </c:pt>
                <c:pt idx="1894">
                  <c:v>6.6</c:v>
                </c:pt>
                <c:pt idx="1895">
                  <c:v>5.4</c:v>
                </c:pt>
                <c:pt idx="1896">
                  <c:v>6.1</c:v>
                </c:pt>
                <c:pt idx="1897">
                  <c:v>5.6</c:v>
                </c:pt>
                <c:pt idx="1898">
                  <c:v>5.8</c:v>
                </c:pt>
                <c:pt idx="1899">
                  <c:v>2.8</c:v>
                </c:pt>
                <c:pt idx="1900">
                  <c:v>6.7</c:v>
                </c:pt>
                <c:pt idx="1901">
                  <c:v>5.0999999999999996</c:v>
                </c:pt>
                <c:pt idx="1902">
                  <c:v>7.2</c:v>
                </c:pt>
                <c:pt idx="1903">
                  <c:v>6</c:v>
                </c:pt>
                <c:pt idx="1904">
                  <c:v>6.7</c:v>
                </c:pt>
                <c:pt idx="1905">
                  <c:v>6.2</c:v>
                </c:pt>
                <c:pt idx="1906">
                  <c:v>6.2</c:v>
                </c:pt>
                <c:pt idx="1907">
                  <c:v>6.8</c:v>
                </c:pt>
                <c:pt idx="1908">
                  <c:v>7.1</c:v>
                </c:pt>
                <c:pt idx="1909">
                  <c:v>7.1</c:v>
                </c:pt>
                <c:pt idx="1910">
                  <c:v>7</c:v>
                </c:pt>
                <c:pt idx="1911">
                  <c:v>7.1</c:v>
                </c:pt>
                <c:pt idx="1912">
                  <c:v>6.4</c:v>
                </c:pt>
                <c:pt idx="1913">
                  <c:v>7</c:v>
                </c:pt>
                <c:pt idx="1914">
                  <c:v>6.2</c:v>
                </c:pt>
                <c:pt idx="1915">
                  <c:v>7.5</c:v>
                </c:pt>
                <c:pt idx="1916">
                  <c:v>4.8</c:v>
                </c:pt>
                <c:pt idx="1917">
                  <c:v>7.3</c:v>
                </c:pt>
                <c:pt idx="1918">
                  <c:v>5.8</c:v>
                </c:pt>
                <c:pt idx="1919">
                  <c:v>7.6</c:v>
                </c:pt>
                <c:pt idx="1920">
                  <c:v>5.6</c:v>
                </c:pt>
                <c:pt idx="1921">
                  <c:v>7</c:v>
                </c:pt>
                <c:pt idx="1922">
                  <c:v>6.6</c:v>
                </c:pt>
                <c:pt idx="1923">
                  <c:v>6.5</c:v>
                </c:pt>
                <c:pt idx="1924">
                  <c:v>7.4</c:v>
                </c:pt>
                <c:pt idx="1925">
                  <c:v>4.5999999999999996</c:v>
                </c:pt>
                <c:pt idx="1926">
                  <c:v>6.4</c:v>
                </c:pt>
                <c:pt idx="1927">
                  <c:v>5.9</c:v>
                </c:pt>
                <c:pt idx="1928">
                  <c:v>6.4</c:v>
                </c:pt>
                <c:pt idx="1929">
                  <c:v>6.6</c:v>
                </c:pt>
                <c:pt idx="1930">
                  <c:v>6.9</c:v>
                </c:pt>
                <c:pt idx="1931">
                  <c:v>5.8</c:v>
                </c:pt>
                <c:pt idx="1932">
                  <c:v>6.4</c:v>
                </c:pt>
                <c:pt idx="1933">
                  <c:v>5.3</c:v>
                </c:pt>
                <c:pt idx="1934">
                  <c:v>6.5</c:v>
                </c:pt>
                <c:pt idx="1935">
                  <c:v>5.7</c:v>
                </c:pt>
                <c:pt idx="1936">
                  <c:v>6.7</c:v>
                </c:pt>
                <c:pt idx="1937">
                  <c:v>3.9</c:v>
                </c:pt>
                <c:pt idx="1938">
                  <c:v>4.0999999999999996</c:v>
                </c:pt>
                <c:pt idx="1939">
                  <c:v>6.2</c:v>
                </c:pt>
                <c:pt idx="1940">
                  <c:v>3.8</c:v>
                </c:pt>
                <c:pt idx="1941">
                  <c:v>5.0999999999999996</c:v>
                </c:pt>
                <c:pt idx="1942">
                  <c:v>7.8</c:v>
                </c:pt>
                <c:pt idx="1943">
                  <c:v>7.8</c:v>
                </c:pt>
                <c:pt idx="1944">
                  <c:v>6.1</c:v>
                </c:pt>
                <c:pt idx="1945">
                  <c:v>5.8</c:v>
                </c:pt>
                <c:pt idx="1946">
                  <c:v>6.3</c:v>
                </c:pt>
                <c:pt idx="1947">
                  <c:v>5.4</c:v>
                </c:pt>
                <c:pt idx="1948">
                  <c:v>7.3</c:v>
                </c:pt>
                <c:pt idx="1949">
                  <c:v>6.8</c:v>
                </c:pt>
                <c:pt idx="1950">
                  <c:v>7.3</c:v>
                </c:pt>
                <c:pt idx="1951">
                  <c:v>6.5</c:v>
                </c:pt>
                <c:pt idx="1952">
                  <c:v>7.2</c:v>
                </c:pt>
                <c:pt idx="1953">
                  <c:v>6.3</c:v>
                </c:pt>
                <c:pt idx="1954">
                  <c:v>5.9</c:v>
                </c:pt>
                <c:pt idx="1955">
                  <c:v>7.8</c:v>
                </c:pt>
                <c:pt idx="1956">
                  <c:v>7.4</c:v>
                </c:pt>
                <c:pt idx="1957">
                  <c:v>4.8</c:v>
                </c:pt>
                <c:pt idx="1958">
                  <c:v>6.3</c:v>
                </c:pt>
                <c:pt idx="1959">
                  <c:v>7.8</c:v>
                </c:pt>
                <c:pt idx="1960">
                  <c:v>7.5</c:v>
                </c:pt>
                <c:pt idx="1961">
                  <c:v>6.8</c:v>
                </c:pt>
                <c:pt idx="1962">
                  <c:v>6.6</c:v>
                </c:pt>
                <c:pt idx="1963">
                  <c:v>4.5999999999999996</c:v>
                </c:pt>
                <c:pt idx="1964">
                  <c:v>7.1</c:v>
                </c:pt>
                <c:pt idx="1965">
                  <c:v>6.1</c:v>
                </c:pt>
                <c:pt idx="1966">
                  <c:v>6.7</c:v>
                </c:pt>
                <c:pt idx="1967">
                  <c:v>7.1</c:v>
                </c:pt>
                <c:pt idx="1968">
                  <c:v>5.8</c:v>
                </c:pt>
                <c:pt idx="1969">
                  <c:v>6.7</c:v>
                </c:pt>
                <c:pt idx="1970">
                  <c:v>5.8</c:v>
                </c:pt>
                <c:pt idx="1971">
                  <c:v>6.8</c:v>
                </c:pt>
                <c:pt idx="1972">
                  <c:v>8.5</c:v>
                </c:pt>
                <c:pt idx="1973">
                  <c:v>6.6</c:v>
                </c:pt>
                <c:pt idx="1974">
                  <c:v>7.7</c:v>
                </c:pt>
                <c:pt idx="1975">
                  <c:v>4.7</c:v>
                </c:pt>
                <c:pt idx="1976">
                  <c:v>6.4</c:v>
                </c:pt>
                <c:pt idx="1977">
                  <c:v>5.5</c:v>
                </c:pt>
                <c:pt idx="1978">
                  <c:v>8.6</c:v>
                </c:pt>
                <c:pt idx="1979">
                  <c:v>7</c:v>
                </c:pt>
                <c:pt idx="1980">
                  <c:v>7.1</c:v>
                </c:pt>
                <c:pt idx="1981">
                  <c:v>5.7</c:v>
                </c:pt>
                <c:pt idx="1982">
                  <c:v>3.7</c:v>
                </c:pt>
                <c:pt idx="1983">
                  <c:v>7.5</c:v>
                </c:pt>
                <c:pt idx="1984">
                  <c:v>4.5999999999999996</c:v>
                </c:pt>
                <c:pt idx="1985">
                  <c:v>4.9000000000000004</c:v>
                </c:pt>
                <c:pt idx="1986">
                  <c:v>7.1</c:v>
                </c:pt>
                <c:pt idx="1987">
                  <c:v>5.8</c:v>
                </c:pt>
                <c:pt idx="1988">
                  <c:v>5.4</c:v>
                </c:pt>
                <c:pt idx="1989">
                  <c:v>7.3</c:v>
                </c:pt>
                <c:pt idx="1990">
                  <c:v>7.1</c:v>
                </c:pt>
                <c:pt idx="1991">
                  <c:v>5.8</c:v>
                </c:pt>
                <c:pt idx="1992">
                  <c:v>8.1</c:v>
                </c:pt>
                <c:pt idx="1993">
                  <c:v>5.7</c:v>
                </c:pt>
                <c:pt idx="1994">
                  <c:v>4.4000000000000004</c:v>
                </c:pt>
                <c:pt idx="1995">
                  <c:v>7.9</c:v>
                </c:pt>
                <c:pt idx="1996">
                  <c:v>7.6</c:v>
                </c:pt>
                <c:pt idx="1997">
                  <c:v>4.8</c:v>
                </c:pt>
                <c:pt idx="1998">
                  <c:v>6.7</c:v>
                </c:pt>
                <c:pt idx="1999">
                  <c:v>2.7</c:v>
                </c:pt>
                <c:pt idx="2000">
                  <c:v>5.8</c:v>
                </c:pt>
                <c:pt idx="2001">
                  <c:v>7.5</c:v>
                </c:pt>
                <c:pt idx="2002">
                  <c:v>5.4</c:v>
                </c:pt>
                <c:pt idx="2003">
                  <c:v>4.0999999999999996</c:v>
                </c:pt>
                <c:pt idx="2004">
                  <c:v>5.9</c:v>
                </c:pt>
                <c:pt idx="2005">
                  <c:v>6.3</c:v>
                </c:pt>
                <c:pt idx="2006">
                  <c:v>6.8</c:v>
                </c:pt>
                <c:pt idx="2007">
                  <c:v>2.2999999999999998</c:v>
                </c:pt>
                <c:pt idx="2008">
                  <c:v>8.1</c:v>
                </c:pt>
                <c:pt idx="2009">
                  <c:v>6.1</c:v>
                </c:pt>
                <c:pt idx="2010">
                  <c:v>5</c:v>
                </c:pt>
                <c:pt idx="2011">
                  <c:v>5.5</c:v>
                </c:pt>
                <c:pt idx="2012">
                  <c:v>6.2</c:v>
                </c:pt>
                <c:pt idx="2013">
                  <c:v>6.2</c:v>
                </c:pt>
                <c:pt idx="2014">
                  <c:v>6.3</c:v>
                </c:pt>
                <c:pt idx="2015">
                  <c:v>6.7</c:v>
                </c:pt>
                <c:pt idx="2016">
                  <c:v>3.5</c:v>
                </c:pt>
                <c:pt idx="2017">
                  <c:v>7.5</c:v>
                </c:pt>
                <c:pt idx="2018">
                  <c:v>6.6</c:v>
                </c:pt>
                <c:pt idx="2019">
                  <c:v>7.5</c:v>
                </c:pt>
                <c:pt idx="2020">
                  <c:v>7.2</c:v>
                </c:pt>
                <c:pt idx="2021">
                  <c:v>4.8</c:v>
                </c:pt>
                <c:pt idx="2022">
                  <c:v>6.6</c:v>
                </c:pt>
                <c:pt idx="2023">
                  <c:v>3.5</c:v>
                </c:pt>
                <c:pt idx="2024">
                  <c:v>7.6</c:v>
                </c:pt>
                <c:pt idx="2025">
                  <c:v>6.3</c:v>
                </c:pt>
                <c:pt idx="2026">
                  <c:v>5.5</c:v>
                </c:pt>
                <c:pt idx="2027">
                  <c:v>6.3</c:v>
                </c:pt>
                <c:pt idx="2028">
                  <c:v>6.5</c:v>
                </c:pt>
                <c:pt idx="2029">
                  <c:v>6.9</c:v>
                </c:pt>
                <c:pt idx="2030">
                  <c:v>7.6</c:v>
                </c:pt>
                <c:pt idx="2031">
                  <c:v>3.9</c:v>
                </c:pt>
                <c:pt idx="2032">
                  <c:v>6.1</c:v>
                </c:pt>
                <c:pt idx="2033">
                  <c:v>7.3</c:v>
                </c:pt>
                <c:pt idx="2034">
                  <c:v>8.3000000000000007</c:v>
                </c:pt>
                <c:pt idx="2035">
                  <c:v>5.8</c:v>
                </c:pt>
                <c:pt idx="2036">
                  <c:v>6.8</c:v>
                </c:pt>
                <c:pt idx="2037">
                  <c:v>7</c:v>
                </c:pt>
                <c:pt idx="2038">
                  <c:v>5.9</c:v>
                </c:pt>
                <c:pt idx="2039">
                  <c:v>6.5</c:v>
                </c:pt>
                <c:pt idx="2040">
                  <c:v>6.4</c:v>
                </c:pt>
                <c:pt idx="2041">
                  <c:v>5.8</c:v>
                </c:pt>
                <c:pt idx="2042">
                  <c:v>5.0999999999999996</c:v>
                </c:pt>
                <c:pt idx="2043">
                  <c:v>6.8</c:v>
                </c:pt>
                <c:pt idx="2044">
                  <c:v>5.3</c:v>
                </c:pt>
                <c:pt idx="2045">
                  <c:v>5.3</c:v>
                </c:pt>
                <c:pt idx="2046">
                  <c:v>4.9000000000000004</c:v>
                </c:pt>
                <c:pt idx="2047">
                  <c:v>6.8</c:v>
                </c:pt>
                <c:pt idx="2048">
                  <c:v>7.1</c:v>
                </c:pt>
                <c:pt idx="2049">
                  <c:v>6.1</c:v>
                </c:pt>
                <c:pt idx="2050">
                  <c:v>8.5</c:v>
                </c:pt>
                <c:pt idx="2051">
                  <c:v>5.9</c:v>
                </c:pt>
                <c:pt idx="2052">
                  <c:v>6.3</c:v>
                </c:pt>
                <c:pt idx="2053">
                  <c:v>5.9</c:v>
                </c:pt>
                <c:pt idx="2054">
                  <c:v>5.4</c:v>
                </c:pt>
                <c:pt idx="2055">
                  <c:v>6.9</c:v>
                </c:pt>
                <c:pt idx="2056">
                  <c:v>7.5</c:v>
                </c:pt>
                <c:pt idx="2057">
                  <c:v>8.1999999999999993</c:v>
                </c:pt>
                <c:pt idx="2058">
                  <c:v>5.9</c:v>
                </c:pt>
                <c:pt idx="2059">
                  <c:v>5</c:v>
                </c:pt>
                <c:pt idx="2060">
                  <c:v>7.3</c:v>
                </c:pt>
                <c:pt idx="2061">
                  <c:v>6.4</c:v>
                </c:pt>
                <c:pt idx="2062">
                  <c:v>6.6</c:v>
                </c:pt>
                <c:pt idx="2063">
                  <c:v>7.8</c:v>
                </c:pt>
                <c:pt idx="2064">
                  <c:v>4</c:v>
                </c:pt>
                <c:pt idx="2065">
                  <c:v>7.6</c:v>
                </c:pt>
                <c:pt idx="2066">
                  <c:v>7.7</c:v>
                </c:pt>
                <c:pt idx="2067">
                  <c:v>5.8</c:v>
                </c:pt>
                <c:pt idx="2068">
                  <c:v>5.6</c:v>
                </c:pt>
                <c:pt idx="2069">
                  <c:v>5.3</c:v>
                </c:pt>
                <c:pt idx="2070">
                  <c:v>6.6</c:v>
                </c:pt>
                <c:pt idx="2071">
                  <c:v>1.9</c:v>
                </c:pt>
                <c:pt idx="2072">
                  <c:v>5.7</c:v>
                </c:pt>
                <c:pt idx="2073">
                  <c:v>6.6</c:v>
                </c:pt>
                <c:pt idx="2074">
                  <c:v>6</c:v>
                </c:pt>
                <c:pt idx="2075">
                  <c:v>6.1</c:v>
                </c:pt>
                <c:pt idx="2076">
                  <c:v>4.8</c:v>
                </c:pt>
                <c:pt idx="2077">
                  <c:v>6.2</c:v>
                </c:pt>
                <c:pt idx="2078">
                  <c:v>7.5</c:v>
                </c:pt>
                <c:pt idx="2079">
                  <c:v>6.3</c:v>
                </c:pt>
                <c:pt idx="2080">
                  <c:v>7.1</c:v>
                </c:pt>
                <c:pt idx="2081">
                  <c:v>6.6</c:v>
                </c:pt>
                <c:pt idx="2082">
                  <c:v>6.1</c:v>
                </c:pt>
                <c:pt idx="2083">
                  <c:v>6.7</c:v>
                </c:pt>
                <c:pt idx="2084">
                  <c:v>5.6</c:v>
                </c:pt>
                <c:pt idx="2085">
                  <c:v>7.2</c:v>
                </c:pt>
                <c:pt idx="2086">
                  <c:v>4.3</c:v>
                </c:pt>
                <c:pt idx="2087">
                  <c:v>6.4</c:v>
                </c:pt>
                <c:pt idx="2088">
                  <c:v>7.1</c:v>
                </c:pt>
                <c:pt idx="2089">
                  <c:v>6.3</c:v>
                </c:pt>
                <c:pt idx="2090">
                  <c:v>7.4</c:v>
                </c:pt>
                <c:pt idx="2091">
                  <c:v>6.1</c:v>
                </c:pt>
                <c:pt idx="2092">
                  <c:v>6.6</c:v>
                </c:pt>
                <c:pt idx="2093">
                  <c:v>6</c:v>
                </c:pt>
                <c:pt idx="2094">
                  <c:v>6.8</c:v>
                </c:pt>
                <c:pt idx="2095">
                  <c:v>6.8</c:v>
                </c:pt>
                <c:pt idx="2096">
                  <c:v>7.2</c:v>
                </c:pt>
                <c:pt idx="2097">
                  <c:v>1.9</c:v>
                </c:pt>
                <c:pt idx="2098">
                  <c:v>5.5</c:v>
                </c:pt>
                <c:pt idx="2099">
                  <c:v>4.5</c:v>
                </c:pt>
                <c:pt idx="2100">
                  <c:v>6.3</c:v>
                </c:pt>
                <c:pt idx="2101">
                  <c:v>6.7</c:v>
                </c:pt>
                <c:pt idx="2102">
                  <c:v>2.8</c:v>
                </c:pt>
                <c:pt idx="2103">
                  <c:v>5</c:v>
                </c:pt>
                <c:pt idx="2104">
                  <c:v>4.3</c:v>
                </c:pt>
                <c:pt idx="2105">
                  <c:v>5.6</c:v>
                </c:pt>
                <c:pt idx="2106">
                  <c:v>6.2</c:v>
                </c:pt>
                <c:pt idx="2107">
                  <c:v>5.3</c:v>
                </c:pt>
                <c:pt idx="2108">
                  <c:v>7.4</c:v>
                </c:pt>
                <c:pt idx="2109">
                  <c:v>7.4</c:v>
                </c:pt>
                <c:pt idx="2110">
                  <c:v>6.5</c:v>
                </c:pt>
                <c:pt idx="2111">
                  <c:v>7.1</c:v>
                </c:pt>
                <c:pt idx="2112">
                  <c:v>7.2</c:v>
                </c:pt>
                <c:pt idx="2113">
                  <c:v>2.2999999999999998</c:v>
                </c:pt>
                <c:pt idx="2114">
                  <c:v>6.4</c:v>
                </c:pt>
                <c:pt idx="2115">
                  <c:v>6.1</c:v>
                </c:pt>
                <c:pt idx="2116">
                  <c:v>7</c:v>
                </c:pt>
                <c:pt idx="2117">
                  <c:v>7</c:v>
                </c:pt>
                <c:pt idx="2118">
                  <c:v>7</c:v>
                </c:pt>
                <c:pt idx="2119">
                  <c:v>4.9000000000000004</c:v>
                </c:pt>
                <c:pt idx="2120">
                  <c:v>6.9</c:v>
                </c:pt>
                <c:pt idx="2121">
                  <c:v>7.5</c:v>
                </c:pt>
                <c:pt idx="2122">
                  <c:v>8.4</c:v>
                </c:pt>
                <c:pt idx="2123">
                  <c:v>6.9</c:v>
                </c:pt>
                <c:pt idx="2124">
                  <c:v>4.5</c:v>
                </c:pt>
                <c:pt idx="2125">
                  <c:v>7.4</c:v>
                </c:pt>
                <c:pt idx="2126">
                  <c:v>7</c:v>
                </c:pt>
                <c:pt idx="2127">
                  <c:v>2.8</c:v>
                </c:pt>
                <c:pt idx="2128">
                  <c:v>7.5</c:v>
                </c:pt>
                <c:pt idx="2129">
                  <c:v>7.1</c:v>
                </c:pt>
                <c:pt idx="2130">
                  <c:v>6.4</c:v>
                </c:pt>
                <c:pt idx="2131">
                  <c:v>6.7</c:v>
                </c:pt>
                <c:pt idx="2132">
                  <c:v>5.3</c:v>
                </c:pt>
                <c:pt idx="2133">
                  <c:v>6.9</c:v>
                </c:pt>
                <c:pt idx="2134">
                  <c:v>6.2</c:v>
                </c:pt>
                <c:pt idx="2135">
                  <c:v>6.4</c:v>
                </c:pt>
                <c:pt idx="2136">
                  <c:v>6</c:v>
                </c:pt>
                <c:pt idx="2137">
                  <c:v>5.0999999999999996</c:v>
                </c:pt>
                <c:pt idx="2138">
                  <c:v>5.5</c:v>
                </c:pt>
                <c:pt idx="2139">
                  <c:v>5.4</c:v>
                </c:pt>
                <c:pt idx="2140">
                  <c:v>7.5</c:v>
                </c:pt>
                <c:pt idx="2141">
                  <c:v>7.4</c:v>
                </c:pt>
                <c:pt idx="2142">
                  <c:v>8</c:v>
                </c:pt>
                <c:pt idx="2143">
                  <c:v>5.7</c:v>
                </c:pt>
                <c:pt idx="2144">
                  <c:v>6.8</c:v>
                </c:pt>
                <c:pt idx="2145">
                  <c:v>5.9</c:v>
                </c:pt>
                <c:pt idx="2146">
                  <c:v>7.2</c:v>
                </c:pt>
                <c:pt idx="2147">
                  <c:v>5.5</c:v>
                </c:pt>
                <c:pt idx="2148">
                  <c:v>8.5</c:v>
                </c:pt>
                <c:pt idx="2149">
                  <c:v>5.6</c:v>
                </c:pt>
                <c:pt idx="2150">
                  <c:v>4.0999999999999996</c:v>
                </c:pt>
                <c:pt idx="2151">
                  <c:v>6.1</c:v>
                </c:pt>
                <c:pt idx="2152">
                  <c:v>5.4</c:v>
                </c:pt>
                <c:pt idx="2153">
                  <c:v>7.1</c:v>
                </c:pt>
                <c:pt idx="2154">
                  <c:v>3.6</c:v>
                </c:pt>
                <c:pt idx="2155">
                  <c:v>6.5</c:v>
                </c:pt>
                <c:pt idx="2156">
                  <c:v>8.6</c:v>
                </c:pt>
                <c:pt idx="2157">
                  <c:v>7</c:v>
                </c:pt>
                <c:pt idx="2158">
                  <c:v>7.6</c:v>
                </c:pt>
                <c:pt idx="2159">
                  <c:v>6.5</c:v>
                </c:pt>
                <c:pt idx="2160">
                  <c:v>6.4</c:v>
                </c:pt>
                <c:pt idx="2161">
                  <c:v>6.3</c:v>
                </c:pt>
                <c:pt idx="2162">
                  <c:v>5.7</c:v>
                </c:pt>
                <c:pt idx="2163">
                  <c:v>6.3</c:v>
                </c:pt>
                <c:pt idx="2164">
                  <c:v>6</c:v>
                </c:pt>
                <c:pt idx="2165">
                  <c:v>7.7</c:v>
                </c:pt>
                <c:pt idx="2166">
                  <c:v>6.2</c:v>
                </c:pt>
                <c:pt idx="2167">
                  <c:v>7.7</c:v>
                </c:pt>
                <c:pt idx="2168">
                  <c:v>6.4</c:v>
                </c:pt>
                <c:pt idx="2169">
                  <c:v>6.4</c:v>
                </c:pt>
                <c:pt idx="2170">
                  <c:v>6.9</c:v>
                </c:pt>
                <c:pt idx="2171">
                  <c:v>7.3</c:v>
                </c:pt>
                <c:pt idx="2172">
                  <c:v>7.3</c:v>
                </c:pt>
                <c:pt idx="2173">
                  <c:v>6.2</c:v>
                </c:pt>
                <c:pt idx="2174">
                  <c:v>6.6</c:v>
                </c:pt>
                <c:pt idx="2175">
                  <c:v>6.7</c:v>
                </c:pt>
                <c:pt idx="2176">
                  <c:v>5.7</c:v>
                </c:pt>
                <c:pt idx="2177">
                  <c:v>3.1</c:v>
                </c:pt>
                <c:pt idx="2178">
                  <c:v>6.3</c:v>
                </c:pt>
                <c:pt idx="2179">
                  <c:v>5.7</c:v>
                </c:pt>
                <c:pt idx="2180">
                  <c:v>7.1</c:v>
                </c:pt>
                <c:pt idx="2181">
                  <c:v>7</c:v>
                </c:pt>
                <c:pt idx="2182">
                  <c:v>6.1</c:v>
                </c:pt>
                <c:pt idx="2183">
                  <c:v>6.6</c:v>
                </c:pt>
                <c:pt idx="2184">
                  <c:v>7.8</c:v>
                </c:pt>
                <c:pt idx="2185">
                  <c:v>8.3000000000000007</c:v>
                </c:pt>
                <c:pt idx="2186">
                  <c:v>3.9</c:v>
                </c:pt>
                <c:pt idx="2187">
                  <c:v>7</c:v>
                </c:pt>
                <c:pt idx="2188">
                  <c:v>6.7</c:v>
                </c:pt>
                <c:pt idx="2189">
                  <c:v>7.3</c:v>
                </c:pt>
                <c:pt idx="2190">
                  <c:v>6.3</c:v>
                </c:pt>
                <c:pt idx="2191">
                  <c:v>7.8</c:v>
                </c:pt>
                <c:pt idx="2192">
                  <c:v>7.3</c:v>
                </c:pt>
                <c:pt idx="2193">
                  <c:v>7.6</c:v>
                </c:pt>
                <c:pt idx="2194">
                  <c:v>5.3</c:v>
                </c:pt>
                <c:pt idx="2195">
                  <c:v>5.3</c:v>
                </c:pt>
                <c:pt idx="2196">
                  <c:v>6.8</c:v>
                </c:pt>
                <c:pt idx="2197">
                  <c:v>7.1</c:v>
                </c:pt>
                <c:pt idx="2198">
                  <c:v>5.8</c:v>
                </c:pt>
                <c:pt idx="2199">
                  <c:v>5.8</c:v>
                </c:pt>
                <c:pt idx="2200">
                  <c:v>8.3000000000000007</c:v>
                </c:pt>
                <c:pt idx="2201">
                  <c:v>5.6</c:v>
                </c:pt>
                <c:pt idx="2202">
                  <c:v>6.8</c:v>
                </c:pt>
                <c:pt idx="2203">
                  <c:v>5</c:v>
                </c:pt>
                <c:pt idx="2204">
                  <c:v>7.6</c:v>
                </c:pt>
                <c:pt idx="2205">
                  <c:v>6.7</c:v>
                </c:pt>
                <c:pt idx="2206">
                  <c:v>6.7</c:v>
                </c:pt>
                <c:pt idx="2207">
                  <c:v>5.7</c:v>
                </c:pt>
                <c:pt idx="2208">
                  <c:v>5.2</c:v>
                </c:pt>
                <c:pt idx="2209">
                  <c:v>7.5</c:v>
                </c:pt>
                <c:pt idx="2210">
                  <c:v>7.2</c:v>
                </c:pt>
                <c:pt idx="2211">
                  <c:v>5.3</c:v>
                </c:pt>
                <c:pt idx="2212">
                  <c:v>6.5</c:v>
                </c:pt>
                <c:pt idx="2213">
                  <c:v>5</c:v>
                </c:pt>
                <c:pt idx="2214">
                  <c:v>6.1</c:v>
                </c:pt>
                <c:pt idx="2215">
                  <c:v>4.4000000000000004</c:v>
                </c:pt>
                <c:pt idx="2216">
                  <c:v>7.5</c:v>
                </c:pt>
                <c:pt idx="2217">
                  <c:v>5.7</c:v>
                </c:pt>
                <c:pt idx="2218">
                  <c:v>5.5</c:v>
                </c:pt>
                <c:pt idx="2219">
                  <c:v>7.1</c:v>
                </c:pt>
                <c:pt idx="2220">
                  <c:v>5.9</c:v>
                </c:pt>
                <c:pt idx="2221">
                  <c:v>6.7</c:v>
                </c:pt>
                <c:pt idx="2222">
                  <c:v>7</c:v>
                </c:pt>
                <c:pt idx="2223">
                  <c:v>7.9</c:v>
                </c:pt>
                <c:pt idx="2224">
                  <c:v>6.9</c:v>
                </c:pt>
                <c:pt idx="2225">
                  <c:v>7.3</c:v>
                </c:pt>
                <c:pt idx="2226">
                  <c:v>7.3</c:v>
                </c:pt>
                <c:pt idx="2227">
                  <c:v>3.5</c:v>
                </c:pt>
                <c:pt idx="2228">
                  <c:v>7.8</c:v>
                </c:pt>
                <c:pt idx="2229">
                  <c:v>6.7</c:v>
                </c:pt>
                <c:pt idx="2230">
                  <c:v>6.4</c:v>
                </c:pt>
                <c:pt idx="2231">
                  <c:v>7.1</c:v>
                </c:pt>
                <c:pt idx="2232">
                  <c:v>7.8</c:v>
                </c:pt>
                <c:pt idx="2233">
                  <c:v>5.9</c:v>
                </c:pt>
                <c:pt idx="2234">
                  <c:v>7.2</c:v>
                </c:pt>
                <c:pt idx="2235">
                  <c:v>6.2</c:v>
                </c:pt>
                <c:pt idx="2236">
                  <c:v>6.7</c:v>
                </c:pt>
                <c:pt idx="2237">
                  <c:v>7.6</c:v>
                </c:pt>
                <c:pt idx="2238">
                  <c:v>6.2</c:v>
                </c:pt>
                <c:pt idx="2239">
                  <c:v>6.5</c:v>
                </c:pt>
                <c:pt idx="2240">
                  <c:v>8.1</c:v>
                </c:pt>
                <c:pt idx="2241">
                  <c:v>6.3</c:v>
                </c:pt>
                <c:pt idx="2242">
                  <c:v>4.4000000000000004</c:v>
                </c:pt>
                <c:pt idx="2243">
                  <c:v>6</c:v>
                </c:pt>
                <c:pt idx="2244">
                  <c:v>7.6</c:v>
                </c:pt>
                <c:pt idx="2245">
                  <c:v>8.4</c:v>
                </c:pt>
                <c:pt idx="2246">
                  <c:v>7.9</c:v>
                </c:pt>
                <c:pt idx="2247">
                  <c:v>5.6</c:v>
                </c:pt>
                <c:pt idx="2248">
                  <c:v>6.5</c:v>
                </c:pt>
                <c:pt idx="2249">
                  <c:v>7.5</c:v>
                </c:pt>
                <c:pt idx="2250">
                  <c:v>6.3</c:v>
                </c:pt>
                <c:pt idx="2251">
                  <c:v>7.9</c:v>
                </c:pt>
                <c:pt idx="2252">
                  <c:v>5.0999999999999996</c:v>
                </c:pt>
                <c:pt idx="2253">
                  <c:v>6.7</c:v>
                </c:pt>
                <c:pt idx="2254">
                  <c:v>6.7</c:v>
                </c:pt>
                <c:pt idx="2255">
                  <c:v>5.6</c:v>
                </c:pt>
                <c:pt idx="2256">
                  <c:v>5.6</c:v>
                </c:pt>
                <c:pt idx="2257">
                  <c:v>6.2</c:v>
                </c:pt>
                <c:pt idx="2258">
                  <c:v>5.6</c:v>
                </c:pt>
                <c:pt idx="2259">
                  <c:v>6.4</c:v>
                </c:pt>
                <c:pt idx="2260">
                  <c:v>5.6</c:v>
                </c:pt>
                <c:pt idx="2261">
                  <c:v>7.4</c:v>
                </c:pt>
                <c:pt idx="2262">
                  <c:v>7.2</c:v>
                </c:pt>
                <c:pt idx="2263">
                  <c:v>4.9000000000000004</c:v>
                </c:pt>
                <c:pt idx="2264">
                  <c:v>7.5</c:v>
                </c:pt>
                <c:pt idx="2265">
                  <c:v>4.8</c:v>
                </c:pt>
                <c:pt idx="2266">
                  <c:v>3.1</c:v>
                </c:pt>
                <c:pt idx="2267">
                  <c:v>5.8</c:v>
                </c:pt>
                <c:pt idx="2268">
                  <c:v>6.7</c:v>
                </c:pt>
                <c:pt idx="2269">
                  <c:v>6.5</c:v>
                </c:pt>
                <c:pt idx="2270">
                  <c:v>5.9</c:v>
                </c:pt>
                <c:pt idx="2271">
                  <c:v>5.5</c:v>
                </c:pt>
                <c:pt idx="2272">
                  <c:v>3.6</c:v>
                </c:pt>
                <c:pt idx="2273">
                  <c:v>7.4</c:v>
                </c:pt>
                <c:pt idx="2274">
                  <c:v>3</c:v>
                </c:pt>
                <c:pt idx="2275">
                  <c:v>7.6</c:v>
                </c:pt>
                <c:pt idx="2276">
                  <c:v>6.4</c:v>
                </c:pt>
                <c:pt idx="2277">
                  <c:v>6.9</c:v>
                </c:pt>
                <c:pt idx="2278">
                  <c:v>6.6</c:v>
                </c:pt>
                <c:pt idx="2279">
                  <c:v>5.5</c:v>
                </c:pt>
                <c:pt idx="2280">
                  <c:v>4.0999999999999996</c:v>
                </c:pt>
                <c:pt idx="2281">
                  <c:v>6.8</c:v>
                </c:pt>
                <c:pt idx="2282">
                  <c:v>6.5</c:v>
                </c:pt>
                <c:pt idx="2283">
                  <c:v>7.4</c:v>
                </c:pt>
                <c:pt idx="2284">
                  <c:v>7.7</c:v>
                </c:pt>
                <c:pt idx="2285">
                  <c:v>7.1</c:v>
                </c:pt>
                <c:pt idx="2286">
                  <c:v>6.3</c:v>
                </c:pt>
                <c:pt idx="2287">
                  <c:v>7.6</c:v>
                </c:pt>
                <c:pt idx="2288">
                  <c:v>8</c:v>
                </c:pt>
                <c:pt idx="2289">
                  <c:v>7.3</c:v>
                </c:pt>
                <c:pt idx="2290">
                  <c:v>7.6</c:v>
                </c:pt>
                <c:pt idx="2291">
                  <c:v>7.8</c:v>
                </c:pt>
                <c:pt idx="2292">
                  <c:v>6.5</c:v>
                </c:pt>
                <c:pt idx="2293">
                  <c:v>6.4</c:v>
                </c:pt>
                <c:pt idx="2294">
                  <c:v>8</c:v>
                </c:pt>
                <c:pt idx="2295">
                  <c:v>4.8</c:v>
                </c:pt>
                <c:pt idx="2296">
                  <c:v>7.8</c:v>
                </c:pt>
                <c:pt idx="2297">
                  <c:v>5.9</c:v>
                </c:pt>
                <c:pt idx="2298">
                  <c:v>5.4</c:v>
                </c:pt>
                <c:pt idx="2299">
                  <c:v>3.3</c:v>
                </c:pt>
                <c:pt idx="2300">
                  <c:v>8.1999999999999993</c:v>
                </c:pt>
                <c:pt idx="2301">
                  <c:v>5.4</c:v>
                </c:pt>
                <c:pt idx="2302">
                  <c:v>6.4</c:v>
                </c:pt>
                <c:pt idx="2303">
                  <c:v>4.8</c:v>
                </c:pt>
                <c:pt idx="2304">
                  <c:v>5.9</c:v>
                </c:pt>
                <c:pt idx="2305">
                  <c:v>5.5</c:v>
                </c:pt>
                <c:pt idx="2306">
                  <c:v>7.9</c:v>
                </c:pt>
                <c:pt idx="2307">
                  <c:v>4.9000000000000004</c:v>
                </c:pt>
                <c:pt idx="2308">
                  <c:v>7.2</c:v>
                </c:pt>
                <c:pt idx="2309">
                  <c:v>5.3</c:v>
                </c:pt>
                <c:pt idx="2310">
                  <c:v>7.2</c:v>
                </c:pt>
                <c:pt idx="2311">
                  <c:v>5.0999999999999996</c:v>
                </c:pt>
                <c:pt idx="2312">
                  <c:v>5.6</c:v>
                </c:pt>
                <c:pt idx="2313">
                  <c:v>7.6</c:v>
                </c:pt>
                <c:pt idx="2314">
                  <c:v>7.2</c:v>
                </c:pt>
                <c:pt idx="2315">
                  <c:v>5.7</c:v>
                </c:pt>
                <c:pt idx="2316">
                  <c:v>5.2</c:v>
                </c:pt>
                <c:pt idx="2317">
                  <c:v>7.7</c:v>
                </c:pt>
                <c:pt idx="2318">
                  <c:v>7</c:v>
                </c:pt>
                <c:pt idx="2319">
                  <c:v>6</c:v>
                </c:pt>
                <c:pt idx="2320">
                  <c:v>6.6</c:v>
                </c:pt>
                <c:pt idx="2321">
                  <c:v>6.8</c:v>
                </c:pt>
                <c:pt idx="2322">
                  <c:v>7.2</c:v>
                </c:pt>
                <c:pt idx="2323">
                  <c:v>7.2</c:v>
                </c:pt>
                <c:pt idx="2324">
                  <c:v>2.8</c:v>
                </c:pt>
                <c:pt idx="2325">
                  <c:v>6.6</c:v>
                </c:pt>
                <c:pt idx="2326">
                  <c:v>6.7</c:v>
                </c:pt>
                <c:pt idx="2327">
                  <c:v>7</c:v>
                </c:pt>
                <c:pt idx="2328">
                  <c:v>4.4000000000000004</c:v>
                </c:pt>
                <c:pt idx="2329">
                  <c:v>6.2</c:v>
                </c:pt>
                <c:pt idx="2330">
                  <c:v>7.3</c:v>
                </c:pt>
                <c:pt idx="2331">
                  <c:v>5.0999999999999996</c:v>
                </c:pt>
                <c:pt idx="2332">
                  <c:v>6.6</c:v>
                </c:pt>
                <c:pt idx="2333">
                  <c:v>4.5</c:v>
                </c:pt>
                <c:pt idx="2334">
                  <c:v>5.9</c:v>
                </c:pt>
                <c:pt idx="2335">
                  <c:v>6.6</c:v>
                </c:pt>
                <c:pt idx="2336">
                  <c:v>6.5</c:v>
                </c:pt>
                <c:pt idx="2337">
                  <c:v>7.3</c:v>
                </c:pt>
                <c:pt idx="2338">
                  <c:v>7.5</c:v>
                </c:pt>
                <c:pt idx="2339">
                  <c:v>5.9</c:v>
                </c:pt>
                <c:pt idx="2340">
                  <c:v>7.4</c:v>
                </c:pt>
                <c:pt idx="2341">
                  <c:v>6.9</c:v>
                </c:pt>
                <c:pt idx="2342">
                  <c:v>7.9</c:v>
                </c:pt>
                <c:pt idx="2343">
                  <c:v>8.4</c:v>
                </c:pt>
                <c:pt idx="2344">
                  <c:v>8</c:v>
                </c:pt>
                <c:pt idx="2345">
                  <c:v>6</c:v>
                </c:pt>
                <c:pt idx="2346">
                  <c:v>6.8</c:v>
                </c:pt>
                <c:pt idx="2347">
                  <c:v>7.8</c:v>
                </c:pt>
                <c:pt idx="2348">
                  <c:v>8.1</c:v>
                </c:pt>
                <c:pt idx="2349">
                  <c:v>6.1</c:v>
                </c:pt>
                <c:pt idx="2350">
                  <c:v>6.2</c:v>
                </c:pt>
                <c:pt idx="2351">
                  <c:v>6.2</c:v>
                </c:pt>
                <c:pt idx="2352">
                  <c:v>7.4</c:v>
                </c:pt>
                <c:pt idx="2353">
                  <c:v>6.6</c:v>
                </c:pt>
                <c:pt idx="2354">
                  <c:v>7.3</c:v>
                </c:pt>
                <c:pt idx="2355">
                  <c:v>7.5</c:v>
                </c:pt>
                <c:pt idx="2356">
                  <c:v>5.6</c:v>
                </c:pt>
                <c:pt idx="2357">
                  <c:v>7.3</c:v>
                </c:pt>
                <c:pt idx="2358">
                  <c:v>6.4</c:v>
                </c:pt>
                <c:pt idx="2359">
                  <c:v>5</c:v>
                </c:pt>
                <c:pt idx="2360">
                  <c:v>5.4</c:v>
                </c:pt>
                <c:pt idx="2361">
                  <c:v>7.1</c:v>
                </c:pt>
                <c:pt idx="2362">
                  <c:v>5.3</c:v>
                </c:pt>
                <c:pt idx="2363">
                  <c:v>6.5</c:v>
                </c:pt>
                <c:pt idx="2364">
                  <c:v>6.2</c:v>
                </c:pt>
                <c:pt idx="2365">
                  <c:v>6.4</c:v>
                </c:pt>
                <c:pt idx="2366">
                  <c:v>6.9</c:v>
                </c:pt>
                <c:pt idx="2367">
                  <c:v>5.7</c:v>
                </c:pt>
                <c:pt idx="2368">
                  <c:v>7.7</c:v>
                </c:pt>
                <c:pt idx="2369">
                  <c:v>5.6</c:v>
                </c:pt>
                <c:pt idx="2370">
                  <c:v>7.7</c:v>
                </c:pt>
                <c:pt idx="2371">
                  <c:v>5.0999999999999996</c:v>
                </c:pt>
                <c:pt idx="2372">
                  <c:v>6.8</c:v>
                </c:pt>
                <c:pt idx="2373">
                  <c:v>8.4</c:v>
                </c:pt>
                <c:pt idx="2374">
                  <c:v>4.9000000000000004</c:v>
                </c:pt>
                <c:pt idx="2375">
                  <c:v>7.1</c:v>
                </c:pt>
                <c:pt idx="2376">
                  <c:v>6.6</c:v>
                </c:pt>
                <c:pt idx="2377">
                  <c:v>6.1</c:v>
                </c:pt>
                <c:pt idx="2378">
                  <c:v>4.0999999999999996</c:v>
                </c:pt>
                <c:pt idx="2379">
                  <c:v>8.1</c:v>
                </c:pt>
                <c:pt idx="2380">
                  <c:v>7.6</c:v>
                </c:pt>
                <c:pt idx="2381">
                  <c:v>7.8</c:v>
                </c:pt>
                <c:pt idx="2382">
                  <c:v>4.5999999999999996</c:v>
                </c:pt>
                <c:pt idx="2383">
                  <c:v>6</c:v>
                </c:pt>
                <c:pt idx="2384">
                  <c:v>7</c:v>
                </c:pt>
                <c:pt idx="2385">
                  <c:v>6.7</c:v>
                </c:pt>
                <c:pt idx="2386">
                  <c:v>6.4</c:v>
                </c:pt>
                <c:pt idx="2387">
                  <c:v>7.2</c:v>
                </c:pt>
                <c:pt idx="2388">
                  <c:v>7.4</c:v>
                </c:pt>
                <c:pt idx="2389">
                  <c:v>4.8</c:v>
                </c:pt>
                <c:pt idx="2390">
                  <c:v>4</c:v>
                </c:pt>
                <c:pt idx="2391">
                  <c:v>6.2</c:v>
                </c:pt>
                <c:pt idx="2392">
                  <c:v>7.7</c:v>
                </c:pt>
                <c:pt idx="2393">
                  <c:v>6.7</c:v>
                </c:pt>
                <c:pt idx="2394">
                  <c:v>7.9</c:v>
                </c:pt>
                <c:pt idx="2395">
                  <c:v>7.9</c:v>
                </c:pt>
                <c:pt idx="2396">
                  <c:v>5.5</c:v>
                </c:pt>
                <c:pt idx="2397">
                  <c:v>6.2</c:v>
                </c:pt>
                <c:pt idx="2398">
                  <c:v>5.0999999999999996</c:v>
                </c:pt>
                <c:pt idx="2399">
                  <c:v>4.0999999999999996</c:v>
                </c:pt>
                <c:pt idx="2400">
                  <c:v>6.7</c:v>
                </c:pt>
                <c:pt idx="2401">
                  <c:v>4.7</c:v>
                </c:pt>
                <c:pt idx="2402">
                  <c:v>6.4</c:v>
                </c:pt>
                <c:pt idx="2403">
                  <c:v>6.3</c:v>
                </c:pt>
                <c:pt idx="2404">
                  <c:v>5.5</c:v>
                </c:pt>
                <c:pt idx="2405">
                  <c:v>7.3</c:v>
                </c:pt>
                <c:pt idx="2406">
                  <c:v>6.3</c:v>
                </c:pt>
                <c:pt idx="2407">
                  <c:v>4.9000000000000004</c:v>
                </c:pt>
                <c:pt idx="2408">
                  <c:v>7.6</c:v>
                </c:pt>
                <c:pt idx="2409">
                  <c:v>6</c:v>
                </c:pt>
                <c:pt idx="2410">
                  <c:v>6.2</c:v>
                </c:pt>
                <c:pt idx="2411">
                  <c:v>6.8</c:v>
                </c:pt>
                <c:pt idx="2412">
                  <c:v>4.5</c:v>
                </c:pt>
                <c:pt idx="2413">
                  <c:v>5.7</c:v>
                </c:pt>
                <c:pt idx="2414">
                  <c:v>4.5999999999999996</c:v>
                </c:pt>
                <c:pt idx="2415">
                  <c:v>6.2</c:v>
                </c:pt>
                <c:pt idx="2416">
                  <c:v>7</c:v>
                </c:pt>
                <c:pt idx="2417">
                  <c:v>6.9</c:v>
                </c:pt>
                <c:pt idx="2418">
                  <c:v>6.7</c:v>
                </c:pt>
                <c:pt idx="2419">
                  <c:v>5.6</c:v>
                </c:pt>
                <c:pt idx="2420">
                  <c:v>6.6</c:v>
                </c:pt>
                <c:pt idx="2421">
                  <c:v>6.4</c:v>
                </c:pt>
                <c:pt idx="2422">
                  <c:v>2.8</c:v>
                </c:pt>
                <c:pt idx="2423">
                  <c:v>5.4</c:v>
                </c:pt>
                <c:pt idx="2424">
                  <c:v>5</c:v>
                </c:pt>
                <c:pt idx="2425">
                  <c:v>5.0999999999999996</c:v>
                </c:pt>
                <c:pt idx="2426">
                  <c:v>8</c:v>
                </c:pt>
                <c:pt idx="2427">
                  <c:v>5.9</c:v>
                </c:pt>
                <c:pt idx="2428">
                  <c:v>8.1999999999999993</c:v>
                </c:pt>
                <c:pt idx="2429">
                  <c:v>7</c:v>
                </c:pt>
                <c:pt idx="2430">
                  <c:v>6.6</c:v>
                </c:pt>
                <c:pt idx="2431">
                  <c:v>6.7</c:v>
                </c:pt>
                <c:pt idx="2432">
                  <c:v>5.5</c:v>
                </c:pt>
                <c:pt idx="2433">
                  <c:v>4.9000000000000004</c:v>
                </c:pt>
                <c:pt idx="2434">
                  <c:v>6.9</c:v>
                </c:pt>
                <c:pt idx="2435">
                  <c:v>5.6</c:v>
                </c:pt>
                <c:pt idx="2436">
                  <c:v>8</c:v>
                </c:pt>
                <c:pt idx="2437">
                  <c:v>5.3</c:v>
                </c:pt>
                <c:pt idx="2438">
                  <c:v>6.2</c:v>
                </c:pt>
                <c:pt idx="2439">
                  <c:v>5.3</c:v>
                </c:pt>
                <c:pt idx="2440">
                  <c:v>6.6</c:v>
                </c:pt>
                <c:pt idx="2441">
                  <c:v>7.2</c:v>
                </c:pt>
                <c:pt idx="2442">
                  <c:v>4.5999999999999996</c:v>
                </c:pt>
                <c:pt idx="2443">
                  <c:v>7.5</c:v>
                </c:pt>
                <c:pt idx="2444">
                  <c:v>6.5</c:v>
                </c:pt>
                <c:pt idx="2445">
                  <c:v>7.6</c:v>
                </c:pt>
                <c:pt idx="2446">
                  <c:v>6.2</c:v>
                </c:pt>
                <c:pt idx="2447">
                  <c:v>8</c:v>
                </c:pt>
                <c:pt idx="2448">
                  <c:v>6.3</c:v>
                </c:pt>
                <c:pt idx="2449">
                  <c:v>7.2</c:v>
                </c:pt>
                <c:pt idx="2450">
                  <c:v>6.7</c:v>
                </c:pt>
                <c:pt idx="2451">
                  <c:v>5.3</c:v>
                </c:pt>
                <c:pt idx="2452">
                  <c:v>6.3</c:v>
                </c:pt>
                <c:pt idx="2453">
                  <c:v>6.5</c:v>
                </c:pt>
                <c:pt idx="2454">
                  <c:v>8.3000000000000007</c:v>
                </c:pt>
                <c:pt idx="2455">
                  <c:v>7.2</c:v>
                </c:pt>
                <c:pt idx="2456">
                  <c:v>6.8</c:v>
                </c:pt>
                <c:pt idx="2457">
                  <c:v>6.4</c:v>
                </c:pt>
                <c:pt idx="2458">
                  <c:v>6.9</c:v>
                </c:pt>
                <c:pt idx="2459">
                  <c:v>6.2</c:v>
                </c:pt>
                <c:pt idx="2460">
                  <c:v>6.1</c:v>
                </c:pt>
                <c:pt idx="2461">
                  <c:v>5.0999999999999996</c:v>
                </c:pt>
                <c:pt idx="2462">
                  <c:v>4.5</c:v>
                </c:pt>
                <c:pt idx="2463">
                  <c:v>5.9</c:v>
                </c:pt>
                <c:pt idx="2464">
                  <c:v>8.1</c:v>
                </c:pt>
                <c:pt idx="2465">
                  <c:v>5.7</c:v>
                </c:pt>
                <c:pt idx="2466">
                  <c:v>6.8</c:v>
                </c:pt>
                <c:pt idx="2467">
                  <c:v>7.5</c:v>
                </c:pt>
                <c:pt idx="2468">
                  <c:v>8.3000000000000007</c:v>
                </c:pt>
                <c:pt idx="2469">
                  <c:v>7.4</c:v>
                </c:pt>
                <c:pt idx="2470">
                  <c:v>8</c:v>
                </c:pt>
                <c:pt idx="2471">
                  <c:v>6.9</c:v>
                </c:pt>
                <c:pt idx="2472">
                  <c:v>6.9</c:v>
                </c:pt>
                <c:pt idx="2473">
                  <c:v>5.5</c:v>
                </c:pt>
                <c:pt idx="2474">
                  <c:v>7.2</c:v>
                </c:pt>
                <c:pt idx="2475">
                  <c:v>6.9</c:v>
                </c:pt>
                <c:pt idx="2476">
                  <c:v>5.5</c:v>
                </c:pt>
                <c:pt idx="2477">
                  <c:v>5.2</c:v>
                </c:pt>
                <c:pt idx="2478">
                  <c:v>7.1</c:v>
                </c:pt>
                <c:pt idx="2479">
                  <c:v>5.5</c:v>
                </c:pt>
                <c:pt idx="2480">
                  <c:v>6.7</c:v>
                </c:pt>
                <c:pt idx="2481">
                  <c:v>5</c:v>
                </c:pt>
                <c:pt idx="2482">
                  <c:v>6.4</c:v>
                </c:pt>
                <c:pt idx="2483">
                  <c:v>6.6</c:v>
                </c:pt>
                <c:pt idx="2484">
                  <c:v>5.9</c:v>
                </c:pt>
                <c:pt idx="2485">
                  <c:v>5.7</c:v>
                </c:pt>
                <c:pt idx="2486">
                  <c:v>4.5</c:v>
                </c:pt>
                <c:pt idx="2487">
                  <c:v>5</c:v>
                </c:pt>
                <c:pt idx="2488">
                  <c:v>4.5999999999999996</c:v>
                </c:pt>
                <c:pt idx="2489">
                  <c:v>6.5</c:v>
                </c:pt>
                <c:pt idx="2490">
                  <c:v>4.9000000000000004</c:v>
                </c:pt>
                <c:pt idx="2491">
                  <c:v>6</c:v>
                </c:pt>
                <c:pt idx="2492">
                  <c:v>6.9</c:v>
                </c:pt>
                <c:pt idx="2493">
                  <c:v>5.7</c:v>
                </c:pt>
                <c:pt idx="2494">
                  <c:v>6.9</c:v>
                </c:pt>
                <c:pt idx="2495">
                  <c:v>4.4000000000000004</c:v>
                </c:pt>
                <c:pt idx="2496">
                  <c:v>7</c:v>
                </c:pt>
                <c:pt idx="2497">
                  <c:v>5.4</c:v>
                </c:pt>
                <c:pt idx="2498">
                  <c:v>5.4</c:v>
                </c:pt>
                <c:pt idx="2499">
                  <c:v>7.6</c:v>
                </c:pt>
                <c:pt idx="2500">
                  <c:v>5.9</c:v>
                </c:pt>
                <c:pt idx="2501">
                  <c:v>6.6</c:v>
                </c:pt>
                <c:pt idx="2502">
                  <c:v>6.7</c:v>
                </c:pt>
                <c:pt idx="2503">
                  <c:v>3.9</c:v>
                </c:pt>
                <c:pt idx="2504">
                  <c:v>5.7</c:v>
                </c:pt>
                <c:pt idx="2505">
                  <c:v>6.5</c:v>
                </c:pt>
                <c:pt idx="2506">
                  <c:v>6.8</c:v>
                </c:pt>
                <c:pt idx="2507">
                  <c:v>7.3</c:v>
                </c:pt>
                <c:pt idx="2508">
                  <c:v>7</c:v>
                </c:pt>
                <c:pt idx="2509">
                  <c:v>6.5</c:v>
                </c:pt>
                <c:pt idx="2510">
                  <c:v>7.7</c:v>
                </c:pt>
                <c:pt idx="2511">
                  <c:v>7.7</c:v>
                </c:pt>
                <c:pt idx="2512">
                  <c:v>6.8</c:v>
                </c:pt>
                <c:pt idx="2513">
                  <c:v>7.4</c:v>
                </c:pt>
                <c:pt idx="2514">
                  <c:v>5.0999999999999996</c:v>
                </c:pt>
                <c:pt idx="2515">
                  <c:v>7.4</c:v>
                </c:pt>
                <c:pt idx="2516">
                  <c:v>7.2</c:v>
                </c:pt>
                <c:pt idx="2517">
                  <c:v>8.3000000000000007</c:v>
                </c:pt>
                <c:pt idx="2518">
                  <c:v>8.1</c:v>
                </c:pt>
                <c:pt idx="2519">
                  <c:v>7.3</c:v>
                </c:pt>
                <c:pt idx="2520">
                  <c:v>3.6</c:v>
                </c:pt>
                <c:pt idx="2521">
                  <c:v>1.6</c:v>
                </c:pt>
                <c:pt idx="2522">
                  <c:v>8</c:v>
                </c:pt>
                <c:pt idx="2523">
                  <c:v>9</c:v>
                </c:pt>
                <c:pt idx="2524">
                  <c:v>6.1</c:v>
                </c:pt>
                <c:pt idx="2525">
                  <c:v>5.7</c:v>
                </c:pt>
                <c:pt idx="2526">
                  <c:v>6.8</c:v>
                </c:pt>
                <c:pt idx="2527">
                  <c:v>5.5</c:v>
                </c:pt>
                <c:pt idx="2528">
                  <c:v>6.8</c:v>
                </c:pt>
                <c:pt idx="2529">
                  <c:v>7.3</c:v>
                </c:pt>
                <c:pt idx="2530">
                  <c:v>6.1</c:v>
                </c:pt>
                <c:pt idx="2531">
                  <c:v>7.2</c:v>
                </c:pt>
                <c:pt idx="2532">
                  <c:v>5.9</c:v>
                </c:pt>
                <c:pt idx="2533">
                  <c:v>6.1</c:v>
                </c:pt>
                <c:pt idx="2534">
                  <c:v>6.8</c:v>
                </c:pt>
                <c:pt idx="2535">
                  <c:v>7.7</c:v>
                </c:pt>
                <c:pt idx="2536">
                  <c:v>4.9000000000000004</c:v>
                </c:pt>
                <c:pt idx="2537">
                  <c:v>6.1</c:v>
                </c:pt>
                <c:pt idx="2538">
                  <c:v>2.5</c:v>
                </c:pt>
                <c:pt idx="2539">
                  <c:v>6.1</c:v>
                </c:pt>
                <c:pt idx="2540">
                  <c:v>5.9</c:v>
                </c:pt>
                <c:pt idx="2541">
                  <c:v>5.7</c:v>
                </c:pt>
                <c:pt idx="2542">
                  <c:v>5.6</c:v>
                </c:pt>
                <c:pt idx="2543">
                  <c:v>7.2</c:v>
                </c:pt>
                <c:pt idx="2544">
                  <c:v>7.7</c:v>
                </c:pt>
                <c:pt idx="2545">
                  <c:v>7.8</c:v>
                </c:pt>
                <c:pt idx="2546">
                  <c:v>6.1</c:v>
                </c:pt>
                <c:pt idx="2547">
                  <c:v>5.8</c:v>
                </c:pt>
                <c:pt idx="2548">
                  <c:v>6.5</c:v>
                </c:pt>
                <c:pt idx="2549">
                  <c:v>7.9</c:v>
                </c:pt>
                <c:pt idx="2550">
                  <c:v>6.3</c:v>
                </c:pt>
                <c:pt idx="2551">
                  <c:v>3.8</c:v>
                </c:pt>
                <c:pt idx="2552">
                  <c:v>8.3000000000000007</c:v>
                </c:pt>
                <c:pt idx="2553">
                  <c:v>6.4</c:v>
                </c:pt>
                <c:pt idx="2554">
                  <c:v>6.7</c:v>
                </c:pt>
                <c:pt idx="2555">
                  <c:v>6.1</c:v>
                </c:pt>
                <c:pt idx="2556">
                  <c:v>6</c:v>
                </c:pt>
                <c:pt idx="2557">
                  <c:v>5.8</c:v>
                </c:pt>
                <c:pt idx="2558">
                  <c:v>5.6</c:v>
                </c:pt>
                <c:pt idx="2559">
                  <c:v>6.1</c:v>
                </c:pt>
                <c:pt idx="2560">
                  <c:v>5.9</c:v>
                </c:pt>
                <c:pt idx="2561">
                  <c:v>7.3</c:v>
                </c:pt>
                <c:pt idx="2562">
                  <c:v>6.8</c:v>
                </c:pt>
                <c:pt idx="2563">
                  <c:v>5.7</c:v>
                </c:pt>
                <c:pt idx="2564">
                  <c:v>7.3</c:v>
                </c:pt>
                <c:pt idx="2565">
                  <c:v>6.3</c:v>
                </c:pt>
                <c:pt idx="2566">
                  <c:v>5.9</c:v>
                </c:pt>
                <c:pt idx="2567">
                  <c:v>7.1</c:v>
                </c:pt>
                <c:pt idx="2568">
                  <c:v>8</c:v>
                </c:pt>
                <c:pt idx="2569">
                  <c:v>5.0999999999999996</c:v>
                </c:pt>
                <c:pt idx="2570">
                  <c:v>7.1</c:v>
                </c:pt>
                <c:pt idx="2571">
                  <c:v>6.5</c:v>
                </c:pt>
                <c:pt idx="2572">
                  <c:v>4.5</c:v>
                </c:pt>
                <c:pt idx="2573">
                  <c:v>6.6</c:v>
                </c:pt>
                <c:pt idx="2574">
                  <c:v>4.3</c:v>
                </c:pt>
                <c:pt idx="2575">
                  <c:v>6.7</c:v>
                </c:pt>
                <c:pt idx="2576">
                  <c:v>6.8</c:v>
                </c:pt>
                <c:pt idx="2577">
                  <c:v>5.4</c:v>
                </c:pt>
                <c:pt idx="2578">
                  <c:v>6.6</c:v>
                </c:pt>
                <c:pt idx="2579">
                  <c:v>7.3</c:v>
                </c:pt>
                <c:pt idx="2580">
                  <c:v>6.9</c:v>
                </c:pt>
                <c:pt idx="2581">
                  <c:v>8</c:v>
                </c:pt>
                <c:pt idx="2582">
                  <c:v>7.8</c:v>
                </c:pt>
                <c:pt idx="2583">
                  <c:v>6.1</c:v>
                </c:pt>
                <c:pt idx="2584">
                  <c:v>5.0999999999999996</c:v>
                </c:pt>
                <c:pt idx="2585">
                  <c:v>7.4</c:v>
                </c:pt>
                <c:pt idx="2586">
                  <c:v>7.8</c:v>
                </c:pt>
                <c:pt idx="2587">
                  <c:v>8</c:v>
                </c:pt>
                <c:pt idx="2588">
                  <c:v>6.7</c:v>
                </c:pt>
                <c:pt idx="2589">
                  <c:v>6.6</c:v>
                </c:pt>
                <c:pt idx="2590">
                  <c:v>6.4</c:v>
                </c:pt>
                <c:pt idx="2591">
                  <c:v>6.7</c:v>
                </c:pt>
                <c:pt idx="2592">
                  <c:v>6.2</c:v>
                </c:pt>
                <c:pt idx="2593">
                  <c:v>7.3</c:v>
                </c:pt>
                <c:pt idx="2594">
                  <c:v>8.1</c:v>
                </c:pt>
                <c:pt idx="2595">
                  <c:v>7</c:v>
                </c:pt>
                <c:pt idx="2596">
                  <c:v>8</c:v>
                </c:pt>
                <c:pt idx="2597">
                  <c:v>8</c:v>
                </c:pt>
                <c:pt idx="2598">
                  <c:v>7</c:v>
                </c:pt>
                <c:pt idx="2599">
                  <c:v>7.9</c:v>
                </c:pt>
                <c:pt idx="2600">
                  <c:v>5.9</c:v>
                </c:pt>
                <c:pt idx="2601">
                  <c:v>6.6</c:v>
                </c:pt>
                <c:pt idx="2602">
                  <c:v>6.3</c:v>
                </c:pt>
                <c:pt idx="2603">
                  <c:v>7.7</c:v>
                </c:pt>
                <c:pt idx="2604">
                  <c:v>6.9</c:v>
                </c:pt>
                <c:pt idx="2605">
                  <c:v>7.1</c:v>
                </c:pt>
                <c:pt idx="2606">
                  <c:v>7.4</c:v>
                </c:pt>
                <c:pt idx="2607">
                  <c:v>6.5</c:v>
                </c:pt>
                <c:pt idx="2608">
                  <c:v>6.5</c:v>
                </c:pt>
                <c:pt idx="2609">
                  <c:v>6.8</c:v>
                </c:pt>
                <c:pt idx="2610">
                  <c:v>7.5</c:v>
                </c:pt>
                <c:pt idx="2611">
                  <c:v>6.6</c:v>
                </c:pt>
                <c:pt idx="2612">
                  <c:v>7.1</c:v>
                </c:pt>
                <c:pt idx="2613">
                  <c:v>6.6</c:v>
                </c:pt>
                <c:pt idx="2614">
                  <c:v>7</c:v>
                </c:pt>
                <c:pt idx="2615">
                  <c:v>3.3</c:v>
                </c:pt>
                <c:pt idx="2616">
                  <c:v>6.7</c:v>
                </c:pt>
                <c:pt idx="2617">
                  <c:v>6.8</c:v>
                </c:pt>
                <c:pt idx="2618">
                  <c:v>6</c:v>
                </c:pt>
                <c:pt idx="2619">
                  <c:v>5.4</c:v>
                </c:pt>
                <c:pt idx="2620">
                  <c:v>4.3</c:v>
                </c:pt>
                <c:pt idx="2621">
                  <c:v>6.2</c:v>
                </c:pt>
                <c:pt idx="2622">
                  <c:v>7.7</c:v>
                </c:pt>
                <c:pt idx="2623">
                  <c:v>7.4</c:v>
                </c:pt>
                <c:pt idx="2624">
                  <c:v>5.9</c:v>
                </c:pt>
                <c:pt idx="2625">
                  <c:v>7.8</c:v>
                </c:pt>
                <c:pt idx="2626">
                  <c:v>7.4</c:v>
                </c:pt>
                <c:pt idx="2627">
                  <c:v>6.5</c:v>
                </c:pt>
                <c:pt idx="2628">
                  <c:v>7</c:v>
                </c:pt>
                <c:pt idx="2629">
                  <c:v>7.6</c:v>
                </c:pt>
                <c:pt idx="2630">
                  <c:v>6.9</c:v>
                </c:pt>
                <c:pt idx="2631">
                  <c:v>5.3</c:v>
                </c:pt>
                <c:pt idx="2632">
                  <c:v>6.4</c:v>
                </c:pt>
                <c:pt idx="2633">
                  <c:v>7.8</c:v>
                </c:pt>
                <c:pt idx="2634">
                  <c:v>6.7</c:v>
                </c:pt>
                <c:pt idx="2635">
                  <c:v>5.3</c:v>
                </c:pt>
                <c:pt idx="2636">
                  <c:v>6.3</c:v>
                </c:pt>
                <c:pt idx="2637">
                  <c:v>7</c:v>
                </c:pt>
                <c:pt idx="2638">
                  <c:v>6.6</c:v>
                </c:pt>
                <c:pt idx="2639">
                  <c:v>8.4</c:v>
                </c:pt>
                <c:pt idx="2640">
                  <c:v>5.4</c:v>
                </c:pt>
                <c:pt idx="2641">
                  <c:v>7.8</c:v>
                </c:pt>
                <c:pt idx="2642">
                  <c:v>7.6</c:v>
                </c:pt>
                <c:pt idx="2643">
                  <c:v>6.6</c:v>
                </c:pt>
                <c:pt idx="2644">
                  <c:v>6.4</c:v>
                </c:pt>
                <c:pt idx="2645">
                  <c:v>7</c:v>
                </c:pt>
                <c:pt idx="2646">
                  <c:v>5.7</c:v>
                </c:pt>
                <c:pt idx="2647">
                  <c:v>5.9</c:v>
                </c:pt>
                <c:pt idx="2648">
                  <c:v>6.3</c:v>
                </c:pt>
                <c:pt idx="2649">
                  <c:v>6.3</c:v>
                </c:pt>
                <c:pt idx="2650">
                  <c:v>6.2</c:v>
                </c:pt>
                <c:pt idx="2651">
                  <c:v>2.1</c:v>
                </c:pt>
                <c:pt idx="2652">
                  <c:v>5</c:v>
                </c:pt>
                <c:pt idx="2653">
                  <c:v>5.3</c:v>
                </c:pt>
                <c:pt idx="2654">
                  <c:v>7.1</c:v>
                </c:pt>
                <c:pt idx="2655">
                  <c:v>7</c:v>
                </c:pt>
                <c:pt idx="2656">
                  <c:v>7</c:v>
                </c:pt>
                <c:pt idx="2657">
                  <c:v>7.1</c:v>
                </c:pt>
                <c:pt idx="2658">
                  <c:v>7</c:v>
                </c:pt>
                <c:pt idx="2659">
                  <c:v>7.7</c:v>
                </c:pt>
                <c:pt idx="2660">
                  <c:v>7.1</c:v>
                </c:pt>
                <c:pt idx="2661">
                  <c:v>6.8</c:v>
                </c:pt>
                <c:pt idx="2662">
                  <c:v>7.5</c:v>
                </c:pt>
                <c:pt idx="2663">
                  <c:v>6.3</c:v>
                </c:pt>
                <c:pt idx="2664">
                  <c:v>7.3</c:v>
                </c:pt>
                <c:pt idx="2665">
                  <c:v>6.8</c:v>
                </c:pt>
                <c:pt idx="2666">
                  <c:v>7.2</c:v>
                </c:pt>
                <c:pt idx="2667">
                  <c:v>6.4</c:v>
                </c:pt>
                <c:pt idx="2668">
                  <c:v>6</c:v>
                </c:pt>
                <c:pt idx="2669">
                  <c:v>6.4</c:v>
                </c:pt>
                <c:pt idx="2670">
                  <c:v>7.5</c:v>
                </c:pt>
                <c:pt idx="2671">
                  <c:v>7.1</c:v>
                </c:pt>
                <c:pt idx="2672">
                  <c:v>4.5999999999999996</c:v>
                </c:pt>
                <c:pt idx="2673">
                  <c:v>7.7</c:v>
                </c:pt>
                <c:pt idx="2674">
                  <c:v>5.6</c:v>
                </c:pt>
                <c:pt idx="2675">
                  <c:v>7.5</c:v>
                </c:pt>
                <c:pt idx="2676">
                  <c:v>5.8</c:v>
                </c:pt>
                <c:pt idx="2677">
                  <c:v>8.3000000000000007</c:v>
                </c:pt>
                <c:pt idx="2678">
                  <c:v>6.6</c:v>
                </c:pt>
                <c:pt idx="2679">
                  <c:v>7.5</c:v>
                </c:pt>
                <c:pt idx="2680">
                  <c:v>7.2</c:v>
                </c:pt>
                <c:pt idx="2681">
                  <c:v>8.6999999999999993</c:v>
                </c:pt>
                <c:pt idx="2682">
                  <c:v>6</c:v>
                </c:pt>
                <c:pt idx="2683">
                  <c:v>8</c:v>
                </c:pt>
                <c:pt idx="2684">
                  <c:v>4.5</c:v>
                </c:pt>
                <c:pt idx="2685">
                  <c:v>7.9</c:v>
                </c:pt>
                <c:pt idx="2686">
                  <c:v>7.5</c:v>
                </c:pt>
                <c:pt idx="2687">
                  <c:v>6.8</c:v>
                </c:pt>
                <c:pt idx="2688">
                  <c:v>7.2</c:v>
                </c:pt>
                <c:pt idx="2689">
                  <c:v>7.1</c:v>
                </c:pt>
                <c:pt idx="2690">
                  <c:v>7.4</c:v>
                </c:pt>
                <c:pt idx="2691">
                  <c:v>7.6</c:v>
                </c:pt>
                <c:pt idx="2692">
                  <c:v>6.9</c:v>
                </c:pt>
                <c:pt idx="2693">
                  <c:v>6</c:v>
                </c:pt>
                <c:pt idx="2694">
                  <c:v>7.3</c:v>
                </c:pt>
                <c:pt idx="2695">
                  <c:v>4.5999999999999996</c:v>
                </c:pt>
                <c:pt idx="2696">
                  <c:v>6</c:v>
                </c:pt>
                <c:pt idx="2697">
                  <c:v>5.5</c:v>
                </c:pt>
                <c:pt idx="2698">
                  <c:v>7.5</c:v>
                </c:pt>
                <c:pt idx="2699">
                  <c:v>6.3</c:v>
                </c:pt>
                <c:pt idx="2700">
                  <c:v>5.0999999999999996</c:v>
                </c:pt>
                <c:pt idx="2701">
                  <c:v>6.8</c:v>
                </c:pt>
                <c:pt idx="2702">
                  <c:v>5.3</c:v>
                </c:pt>
                <c:pt idx="2703">
                  <c:v>7.3</c:v>
                </c:pt>
                <c:pt idx="2704">
                  <c:v>7.3</c:v>
                </c:pt>
                <c:pt idx="2705">
                  <c:v>7.1</c:v>
                </c:pt>
                <c:pt idx="2706">
                  <c:v>7.6</c:v>
                </c:pt>
                <c:pt idx="2707">
                  <c:v>5.3</c:v>
                </c:pt>
                <c:pt idx="2708">
                  <c:v>7.8</c:v>
                </c:pt>
                <c:pt idx="2709">
                  <c:v>7.7</c:v>
                </c:pt>
                <c:pt idx="2710">
                  <c:v>7.7</c:v>
                </c:pt>
                <c:pt idx="2711">
                  <c:v>5.4</c:v>
                </c:pt>
                <c:pt idx="2712">
                  <c:v>6.2</c:v>
                </c:pt>
                <c:pt idx="2713">
                  <c:v>7.4</c:v>
                </c:pt>
                <c:pt idx="2714">
                  <c:v>6.2</c:v>
                </c:pt>
                <c:pt idx="2715">
                  <c:v>5.0999999999999996</c:v>
                </c:pt>
                <c:pt idx="2716">
                  <c:v>6.8</c:v>
                </c:pt>
                <c:pt idx="2717">
                  <c:v>5.8</c:v>
                </c:pt>
                <c:pt idx="2718">
                  <c:v>6.4</c:v>
                </c:pt>
                <c:pt idx="2719">
                  <c:v>6</c:v>
                </c:pt>
                <c:pt idx="2720">
                  <c:v>6.9</c:v>
                </c:pt>
                <c:pt idx="2721">
                  <c:v>5.5</c:v>
                </c:pt>
                <c:pt idx="2722">
                  <c:v>5.4</c:v>
                </c:pt>
                <c:pt idx="2723">
                  <c:v>8.3000000000000007</c:v>
                </c:pt>
                <c:pt idx="2724">
                  <c:v>7.9</c:v>
                </c:pt>
                <c:pt idx="2725">
                  <c:v>6.5</c:v>
                </c:pt>
                <c:pt idx="2726">
                  <c:v>6.4</c:v>
                </c:pt>
                <c:pt idx="2727">
                  <c:v>6.6</c:v>
                </c:pt>
                <c:pt idx="2728">
                  <c:v>8.3000000000000007</c:v>
                </c:pt>
                <c:pt idx="2729">
                  <c:v>6.2</c:v>
                </c:pt>
                <c:pt idx="2730">
                  <c:v>6.9</c:v>
                </c:pt>
                <c:pt idx="2731">
                  <c:v>5.9</c:v>
                </c:pt>
                <c:pt idx="2732">
                  <c:v>6.1</c:v>
                </c:pt>
                <c:pt idx="2733">
                  <c:v>5.8</c:v>
                </c:pt>
                <c:pt idx="2734">
                  <c:v>5.9</c:v>
                </c:pt>
                <c:pt idx="2735">
                  <c:v>5.5</c:v>
                </c:pt>
                <c:pt idx="2736">
                  <c:v>5</c:v>
                </c:pt>
                <c:pt idx="2737">
                  <c:v>7</c:v>
                </c:pt>
                <c:pt idx="2738">
                  <c:v>6.4</c:v>
                </c:pt>
                <c:pt idx="2739">
                  <c:v>5.9</c:v>
                </c:pt>
                <c:pt idx="2740">
                  <c:v>7</c:v>
                </c:pt>
                <c:pt idx="2741">
                  <c:v>6.1</c:v>
                </c:pt>
                <c:pt idx="2742">
                  <c:v>6.9</c:v>
                </c:pt>
                <c:pt idx="2743">
                  <c:v>7.5</c:v>
                </c:pt>
                <c:pt idx="2744">
                  <c:v>7.3</c:v>
                </c:pt>
                <c:pt idx="2745">
                  <c:v>6.5</c:v>
                </c:pt>
                <c:pt idx="2746">
                  <c:v>6.2</c:v>
                </c:pt>
                <c:pt idx="2747">
                  <c:v>6</c:v>
                </c:pt>
                <c:pt idx="2748">
                  <c:v>6.3</c:v>
                </c:pt>
                <c:pt idx="2749">
                  <c:v>5.8</c:v>
                </c:pt>
                <c:pt idx="2750">
                  <c:v>6.1</c:v>
                </c:pt>
                <c:pt idx="2751">
                  <c:v>6.9</c:v>
                </c:pt>
                <c:pt idx="2752">
                  <c:v>5.4</c:v>
                </c:pt>
                <c:pt idx="2753">
                  <c:v>6.7</c:v>
                </c:pt>
                <c:pt idx="2754">
                  <c:v>7.4</c:v>
                </c:pt>
                <c:pt idx="2755">
                  <c:v>5.6</c:v>
                </c:pt>
                <c:pt idx="2756">
                  <c:v>6.5</c:v>
                </c:pt>
                <c:pt idx="2757">
                  <c:v>6.5</c:v>
                </c:pt>
                <c:pt idx="2758">
                  <c:v>5.8</c:v>
                </c:pt>
                <c:pt idx="2759">
                  <c:v>5</c:v>
                </c:pt>
                <c:pt idx="2760">
                  <c:v>5.5</c:v>
                </c:pt>
                <c:pt idx="2761">
                  <c:v>6.5</c:v>
                </c:pt>
                <c:pt idx="2762">
                  <c:v>7.2</c:v>
                </c:pt>
                <c:pt idx="2763">
                  <c:v>5.2</c:v>
                </c:pt>
                <c:pt idx="2764">
                  <c:v>5.7</c:v>
                </c:pt>
                <c:pt idx="2765">
                  <c:v>4.7</c:v>
                </c:pt>
                <c:pt idx="2766">
                  <c:v>5.9</c:v>
                </c:pt>
                <c:pt idx="2767">
                  <c:v>6.8</c:v>
                </c:pt>
                <c:pt idx="2768">
                  <c:v>5.9</c:v>
                </c:pt>
                <c:pt idx="2769">
                  <c:v>7.7</c:v>
                </c:pt>
                <c:pt idx="2770">
                  <c:v>4.4000000000000004</c:v>
                </c:pt>
                <c:pt idx="2771">
                  <c:v>6.6</c:v>
                </c:pt>
                <c:pt idx="2772">
                  <c:v>6.7</c:v>
                </c:pt>
                <c:pt idx="2773">
                  <c:v>5.5</c:v>
                </c:pt>
                <c:pt idx="2774">
                  <c:v>6.5</c:v>
                </c:pt>
                <c:pt idx="2775">
                  <c:v>6.2</c:v>
                </c:pt>
                <c:pt idx="2776">
                  <c:v>7.1</c:v>
                </c:pt>
                <c:pt idx="2777">
                  <c:v>6.1</c:v>
                </c:pt>
                <c:pt idx="2778">
                  <c:v>6</c:v>
                </c:pt>
                <c:pt idx="2779">
                  <c:v>7.4</c:v>
                </c:pt>
                <c:pt idx="2780">
                  <c:v>5.9</c:v>
                </c:pt>
                <c:pt idx="2781">
                  <c:v>4.0999999999999996</c:v>
                </c:pt>
                <c:pt idx="2782">
                  <c:v>5.9</c:v>
                </c:pt>
                <c:pt idx="2783">
                  <c:v>7</c:v>
                </c:pt>
                <c:pt idx="2784">
                  <c:v>6.8</c:v>
                </c:pt>
                <c:pt idx="2785">
                  <c:v>7.4</c:v>
                </c:pt>
                <c:pt idx="2786">
                  <c:v>7.1</c:v>
                </c:pt>
                <c:pt idx="2787">
                  <c:v>7</c:v>
                </c:pt>
                <c:pt idx="2788">
                  <c:v>5.8</c:v>
                </c:pt>
                <c:pt idx="2789">
                  <c:v>7.8</c:v>
                </c:pt>
                <c:pt idx="2790">
                  <c:v>6.5</c:v>
                </c:pt>
                <c:pt idx="2791">
                  <c:v>7</c:v>
                </c:pt>
                <c:pt idx="2792">
                  <c:v>6.3</c:v>
                </c:pt>
                <c:pt idx="2793">
                  <c:v>5.3</c:v>
                </c:pt>
                <c:pt idx="2794">
                  <c:v>5.5</c:v>
                </c:pt>
                <c:pt idx="2795">
                  <c:v>7.4</c:v>
                </c:pt>
                <c:pt idx="2796">
                  <c:v>4.3</c:v>
                </c:pt>
                <c:pt idx="2797">
                  <c:v>5.2</c:v>
                </c:pt>
                <c:pt idx="2798">
                  <c:v>6.7</c:v>
                </c:pt>
                <c:pt idx="2799">
                  <c:v>8.6</c:v>
                </c:pt>
                <c:pt idx="2800">
                  <c:v>6.1</c:v>
                </c:pt>
                <c:pt idx="2801">
                  <c:v>5.8</c:v>
                </c:pt>
                <c:pt idx="2802">
                  <c:v>7.7</c:v>
                </c:pt>
                <c:pt idx="2803">
                  <c:v>8</c:v>
                </c:pt>
                <c:pt idx="2804">
                  <c:v>5.6</c:v>
                </c:pt>
                <c:pt idx="2805">
                  <c:v>6.7</c:v>
                </c:pt>
                <c:pt idx="2806">
                  <c:v>6.6</c:v>
                </c:pt>
                <c:pt idx="2807">
                  <c:v>4.0999999999999996</c:v>
                </c:pt>
                <c:pt idx="2808">
                  <c:v>7.3</c:v>
                </c:pt>
                <c:pt idx="2809">
                  <c:v>7.1</c:v>
                </c:pt>
                <c:pt idx="2810">
                  <c:v>6.5</c:v>
                </c:pt>
                <c:pt idx="2811">
                  <c:v>7</c:v>
                </c:pt>
                <c:pt idx="2812">
                  <c:v>5.5</c:v>
                </c:pt>
                <c:pt idx="2813">
                  <c:v>6.6</c:v>
                </c:pt>
                <c:pt idx="2814">
                  <c:v>7.1</c:v>
                </c:pt>
                <c:pt idx="2815">
                  <c:v>7.9</c:v>
                </c:pt>
                <c:pt idx="2816">
                  <c:v>7.1</c:v>
                </c:pt>
                <c:pt idx="2817">
                  <c:v>5.6</c:v>
                </c:pt>
                <c:pt idx="2818">
                  <c:v>7.3</c:v>
                </c:pt>
                <c:pt idx="2819">
                  <c:v>3.3</c:v>
                </c:pt>
                <c:pt idx="2820">
                  <c:v>6.5</c:v>
                </c:pt>
                <c:pt idx="2821">
                  <c:v>4.8</c:v>
                </c:pt>
                <c:pt idx="2822">
                  <c:v>5.2</c:v>
                </c:pt>
                <c:pt idx="2823">
                  <c:v>6.3</c:v>
                </c:pt>
                <c:pt idx="2824">
                  <c:v>7.2</c:v>
                </c:pt>
                <c:pt idx="2825">
                  <c:v>6.8</c:v>
                </c:pt>
                <c:pt idx="2826">
                  <c:v>5.7</c:v>
                </c:pt>
                <c:pt idx="2827">
                  <c:v>7.2</c:v>
                </c:pt>
                <c:pt idx="2828">
                  <c:v>6.9</c:v>
                </c:pt>
                <c:pt idx="2829">
                  <c:v>6.2</c:v>
                </c:pt>
                <c:pt idx="2830">
                  <c:v>6.7</c:v>
                </c:pt>
                <c:pt idx="2831">
                  <c:v>6.5</c:v>
                </c:pt>
                <c:pt idx="2832">
                  <c:v>7.2</c:v>
                </c:pt>
                <c:pt idx="2833">
                  <c:v>5.3</c:v>
                </c:pt>
                <c:pt idx="2834">
                  <c:v>6.7</c:v>
                </c:pt>
                <c:pt idx="2835">
                  <c:v>3.6</c:v>
                </c:pt>
                <c:pt idx="2836">
                  <c:v>5.7</c:v>
                </c:pt>
                <c:pt idx="2837">
                  <c:v>7.3</c:v>
                </c:pt>
                <c:pt idx="2838">
                  <c:v>5</c:v>
                </c:pt>
                <c:pt idx="2839">
                  <c:v>6.6</c:v>
                </c:pt>
                <c:pt idx="2840">
                  <c:v>6.6</c:v>
                </c:pt>
                <c:pt idx="2841">
                  <c:v>7.3</c:v>
                </c:pt>
                <c:pt idx="2842">
                  <c:v>6.2</c:v>
                </c:pt>
                <c:pt idx="2843">
                  <c:v>6.6</c:v>
                </c:pt>
                <c:pt idx="2844">
                  <c:v>6.3</c:v>
                </c:pt>
                <c:pt idx="2845">
                  <c:v>3.3</c:v>
                </c:pt>
                <c:pt idx="2846">
                  <c:v>6.2</c:v>
                </c:pt>
                <c:pt idx="2847">
                  <c:v>3.5</c:v>
                </c:pt>
                <c:pt idx="2848">
                  <c:v>5.5</c:v>
                </c:pt>
                <c:pt idx="2849">
                  <c:v>5.9</c:v>
                </c:pt>
                <c:pt idx="2850">
                  <c:v>4.7</c:v>
                </c:pt>
                <c:pt idx="2851">
                  <c:v>3.9</c:v>
                </c:pt>
                <c:pt idx="2852">
                  <c:v>6.1</c:v>
                </c:pt>
                <c:pt idx="2853">
                  <c:v>6.7</c:v>
                </c:pt>
                <c:pt idx="2854">
                  <c:v>6.9</c:v>
                </c:pt>
                <c:pt idx="2855">
                  <c:v>7.3</c:v>
                </c:pt>
                <c:pt idx="2856">
                  <c:v>6.7</c:v>
                </c:pt>
                <c:pt idx="2857">
                  <c:v>6.1</c:v>
                </c:pt>
                <c:pt idx="2858">
                  <c:v>6.9</c:v>
                </c:pt>
                <c:pt idx="2859">
                  <c:v>7.9</c:v>
                </c:pt>
                <c:pt idx="2860">
                  <c:v>4.5</c:v>
                </c:pt>
                <c:pt idx="2861">
                  <c:v>7.6</c:v>
                </c:pt>
                <c:pt idx="2862">
                  <c:v>7.5</c:v>
                </c:pt>
                <c:pt idx="2863">
                  <c:v>6</c:v>
                </c:pt>
                <c:pt idx="2864">
                  <c:v>7.1</c:v>
                </c:pt>
                <c:pt idx="2865">
                  <c:v>6.9</c:v>
                </c:pt>
                <c:pt idx="2866">
                  <c:v>8.5</c:v>
                </c:pt>
                <c:pt idx="2867">
                  <c:v>7.5</c:v>
                </c:pt>
                <c:pt idx="2868">
                  <c:v>6.6</c:v>
                </c:pt>
                <c:pt idx="2869">
                  <c:v>8</c:v>
                </c:pt>
                <c:pt idx="2870">
                  <c:v>7</c:v>
                </c:pt>
                <c:pt idx="2871">
                  <c:v>6.8</c:v>
                </c:pt>
                <c:pt idx="2872">
                  <c:v>6.7</c:v>
                </c:pt>
                <c:pt idx="2873">
                  <c:v>6.5</c:v>
                </c:pt>
                <c:pt idx="2874">
                  <c:v>8</c:v>
                </c:pt>
                <c:pt idx="2875">
                  <c:v>6.5</c:v>
                </c:pt>
                <c:pt idx="2876">
                  <c:v>4.9000000000000004</c:v>
                </c:pt>
                <c:pt idx="2877">
                  <c:v>7.1</c:v>
                </c:pt>
                <c:pt idx="2878">
                  <c:v>7</c:v>
                </c:pt>
                <c:pt idx="2879">
                  <c:v>7</c:v>
                </c:pt>
                <c:pt idx="2880">
                  <c:v>4.5</c:v>
                </c:pt>
                <c:pt idx="2881">
                  <c:v>7.7</c:v>
                </c:pt>
                <c:pt idx="2882">
                  <c:v>6.7</c:v>
                </c:pt>
                <c:pt idx="2883">
                  <c:v>7</c:v>
                </c:pt>
                <c:pt idx="2884">
                  <c:v>6.5</c:v>
                </c:pt>
                <c:pt idx="2885">
                  <c:v>6.2</c:v>
                </c:pt>
                <c:pt idx="2886">
                  <c:v>5.7</c:v>
                </c:pt>
                <c:pt idx="2887">
                  <c:v>6.4</c:v>
                </c:pt>
                <c:pt idx="2888">
                  <c:v>5.4</c:v>
                </c:pt>
                <c:pt idx="2889">
                  <c:v>6.6</c:v>
                </c:pt>
                <c:pt idx="2890">
                  <c:v>6.1</c:v>
                </c:pt>
                <c:pt idx="2891">
                  <c:v>7.6</c:v>
                </c:pt>
                <c:pt idx="2892">
                  <c:v>6.2</c:v>
                </c:pt>
                <c:pt idx="2893">
                  <c:v>6.6</c:v>
                </c:pt>
                <c:pt idx="2894">
                  <c:v>7.3</c:v>
                </c:pt>
                <c:pt idx="2895">
                  <c:v>4.2</c:v>
                </c:pt>
                <c:pt idx="2896">
                  <c:v>6.5</c:v>
                </c:pt>
                <c:pt idx="2897">
                  <c:v>6.5</c:v>
                </c:pt>
                <c:pt idx="2898">
                  <c:v>5.7</c:v>
                </c:pt>
                <c:pt idx="2899">
                  <c:v>7.3</c:v>
                </c:pt>
                <c:pt idx="2900">
                  <c:v>6.9</c:v>
                </c:pt>
                <c:pt idx="2901">
                  <c:v>5</c:v>
                </c:pt>
                <c:pt idx="2902">
                  <c:v>7.3</c:v>
                </c:pt>
                <c:pt idx="2903">
                  <c:v>6.5</c:v>
                </c:pt>
                <c:pt idx="2904">
                  <c:v>2.1</c:v>
                </c:pt>
                <c:pt idx="2905">
                  <c:v>7</c:v>
                </c:pt>
                <c:pt idx="2906">
                  <c:v>8</c:v>
                </c:pt>
                <c:pt idx="2907">
                  <c:v>6.9</c:v>
                </c:pt>
                <c:pt idx="2908">
                  <c:v>7.1</c:v>
                </c:pt>
                <c:pt idx="2909">
                  <c:v>6.7</c:v>
                </c:pt>
                <c:pt idx="2910">
                  <c:v>8.9</c:v>
                </c:pt>
                <c:pt idx="2911">
                  <c:v>7.9</c:v>
                </c:pt>
                <c:pt idx="2912">
                  <c:v>5.6</c:v>
                </c:pt>
                <c:pt idx="2913">
                  <c:v>8</c:v>
                </c:pt>
                <c:pt idx="2914">
                  <c:v>6.2</c:v>
                </c:pt>
                <c:pt idx="2915">
                  <c:v>7.9</c:v>
                </c:pt>
                <c:pt idx="2916">
                  <c:v>8.1</c:v>
                </c:pt>
                <c:pt idx="2917">
                  <c:v>7.6</c:v>
                </c:pt>
                <c:pt idx="2918">
                  <c:v>3.5</c:v>
                </c:pt>
                <c:pt idx="2919">
                  <c:v>7.6</c:v>
                </c:pt>
                <c:pt idx="2920">
                  <c:v>6.5</c:v>
                </c:pt>
                <c:pt idx="2921">
                  <c:v>5.6</c:v>
                </c:pt>
                <c:pt idx="2922">
                  <c:v>7.7</c:v>
                </c:pt>
                <c:pt idx="2923">
                  <c:v>5.2</c:v>
                </c:pt>
                <c:pt idx="2924">
                  <c:v>6.1</c:v>
                </c:pt>
                <c:pt idx="2925">
                  <c:v>7.4</c:v>
                </c:pt>
                <c:pt idx="2926">
                  <c:v>6.8</c:v>
                </c:pt>
                <c:pt idx="2927">
                  <c:v>6.4</c:v>
                </c:pt>
                <c:pt idx="2928">
                  <c:v>5.7</c:v>
                </c:pt>
                <c:pt idx="2929">
                  <c:v>6.7</c:v>
                </c:pt>
                <c:pt idx="2930">
                  <c:v>5.6</c:v>
                </c:pt>
                <c:pt idx="2931">
                  <c:v>7.6</c:v>
                </c:pt>
                <c:pt idx="2932">
                  <c:v>6.5</c:v>
                </c:pt>
                <c:pt idx="2933">
                  <c:v>6.3</c:v>
                </c:pt>
                <c:pt idx="2934">
                  <c:v>7.1</c:v>
                </c:pt>
                <c:pt idx="2935">
                  <c:v>7.1</c:v>
                </c:pt>
                <c:pt idx="2936">
                  <c:v>6.9</c:v>
                </c:pt>
                <c:pt idx="2937">
                  <c:v>5.4</c:v>
                </c:pt>
                <c:pt idx="2938">
                  <c:v>5.0999999999999996</c:v>
                </c:pt>
                <c:pt idx="2939">
                  <c:v>5.3</c:v>
                </c:pt>
                <c:pt idx="2940">
                  <c:v>7.3</c:v>
                </c:pt>
                <c:pt idx="2941">
                  <c:v>7.3</c:v>
                </c:pt>
                <c:pt idx="2942">
                  <c:v>7.1</c:v>
                </c:pt>
                <c:pt idx="2943">
                  <c:v>6</c:v>
                </c:pt>
                <c:pt idx="2944">
                  <c:v>6.6</c:v>
                </c:pt>
                <c:pt idx="2945">
                  <c:v>7.2</c:v>
                </c:pt>
                <c:pt idx="2946">
                  <c:v>7.2</c:v>
                </c:pt>
                <c:pt idx="2947">
                  <c:v>6.9</c:v>
                </c:pt>
                <c:pt idx="2948">
                  <c:v>6.8</c:v>
                </c:pt>
                <c:pt idx="2949">
                  <c:v>7.7</c:v>
                </c:pt>
                <c:pt idx="2950">
                  <c:v>7.4</c:v>
                </c:pt>
                <c:pt idx="2951">
                  <c:v>6.5</c:v>
                </c:pt>
                <c:pt idx="2952">
                  <c:v>6.4</c:v>
                </c:pt>
                <c:pt idx="2953">
                  <c:v>5.6</c:v>
                </c:pt>
                <c:pt idx="2954">
                  <c:v>6.8</c:v>
                </c:pt>
                <c:pt idx="2955">
                  <c:v>5.5</c:v>
                </c:pt>
                <c:pt idx="2956">
                  <c:v>6.9</c:v>
                </c:pt>
                <c:pt idx="2957">
                  <c:v>6</c:v>
                </c:pt>
                <c:pt idx="2958">
                  <c:v>6.4</c:v>
                </c:pt>
                <c:pt idx="2959">
                  <c:v>6.6</c:v>
                </c:pt>
                <c:pt idx="2960">
                  <c:v>5.3</c:v>
                </c:pt>
                <c:pt idx="2961">
                  <c:v>8.1</c:v>
                </c:pt>
                <c:pt idx="2962">
                  <c:v>6.9</c:v>
                </c:pt>
                <c:pt idx="2963">
                  <c:v>6.5</c:v>
                </c:pt>
                <c:pt idx="2964">
                  <c:v>7.4</c:v>
                </c:pt>
                <c:pt idx="2965">
                  <c:v>6.9</c:v>
                </c:pt>
                <c:pt idx="2966">
                  <c:v>6.7</c:v>
                </c:pt>
                <c:pt idx="2967">
                  <c:v>7.6</c:v>
                </c:pt>
                <c:pt idx="2968">
                  <c:v>5.4</c:v>
                </c:pt>
                <c:pt idx="2969">
                  <c:v>7.3</c:v>
                </c:pt>
                <c:pt idx="2970">
                  <c:v>6</c:v>
                </c:pt>
                <c:pt idx="2971">
                  <c:v>7.2</c:v>
                </c:pt>
                <c:pt idx="2972">
                  <c:v>6</c:v>
                </c:pt>
                <c:pt idx="2973">
                  <c:v>3.1</c:v>
                </c:pt>
                <c:pt idx="2974">
                  <c:v>6.9</c:v>
                </c:pt>
                <c:pt idx="2975">
                  <c:v>6.2</c:v>
                </c:pt>
                <c:pt idx="2976">
                  <c:v>6.9</c:v>
                </c:pt>
                <c:pt idx="2977">
                  <c:v>6.3</c:v>
                </c:pt>
                <c:pt idx="2978">
                  <c:v>6.7</c:v>
                </c:pt>
                <c:pt idx="2979">
                  <c:v>5.4</c:v>
                </c:pt>
                <c:pt idx="2980">
                  <c:v>8</c:v>
                </c:pt>
                <c:pt idx="2981">
                  <c:v>7</c:v>
                </c:pt>
                <c:pt idx="2982">
                  <c:v>7.2</c:v>
                </c:pt>
                <c:pt idx="2983">
                  <c:v>3.5</c:v>
                </c:pt>
                <c:pt idx="2984">
                  <c:v>7.5</c:v>
                </c:pt>
                <c:pt idx="2985">
                  <c:v>6.7</c:v>
                </c:pt>
                <c:pt idx="2986">
                  <c:v>9.1999999999999993</c:v>
                </c:pt>
                <c:pt idx="2987">
                  <c:v>6.1</c:v>
                </c:pt>
                <c:pt idx="2988">
                  <c:v>7.7</c:v>
                </c:pt>
                <c:pt idx="2989">
                  <c:v>7.6</c:v>
                </c:pt>
                <c:pt idx="2990">
                  <c:v>6.1</c:v>
                </c:pt>
                <c:pt idx="2991">
                  <c:v>4.9000000000000004</c:v>
                </c:pt>
                <c:pt idx="2992">
                  <c:v>6.8</c:v>
                </c:pt>
                <c:pt idx="2993">
                  <c:v>7</c:v>
                </c:pt>
                <c:pt idx="2994">
                  <c:v>5.7</c:v>
                </c:pt>
                <c:pt idx="2995">
                  <c:v>7.5</c:v>
                </c:pt>
                <c:pt idx="2996">
                  <c:v>7.4</c:v>
                </c:pt>
                <c:pt idx="2997">
                  <c:v>7.2</c:v>
                </c:pt>
                <c:pt idx="2998">
                  <c:v>6.8</c:v>
                </c:pt>
                <c:pt idx="2999">
                  <c:v>6.8</c:v>
                </c:pt>
                <c:pt idx="3000">
                  <c:v>5.2</c:v>
                </c:pt>
                <c:pt idx="3001">
                  <c:v>7.2</c:v>
                </c:pt>
                <c:pt idx="3002">
                  <c:v>4</c:v>
                </c:pt>
                <c:pt idx="3003">
                  <c:v>6.8</c:v>
                </c:pt>
                <c:pt idx="3004">
                  <c:v>6.9</c:v>
                </c:pt>
                <c:pt idx="3005">
                  <c:v>7.3</c:v>
                </c:pt>
                <c:pt idx="3006">
                  <c:v>6.1</c:v>
                </c:pt>
                <c:pt idx="3007">
                  <c:v>6</c:v>
                </c:pt>
                <c:pt idx="3008">
                  <c:v>7</c:v>
                </c:pt>
                <c:pt idx="3009">
                  <c:v>7.1</c:v>
                </c:pt>
                <c:pt idx="3010">
                  <c:v>6.2</c:v>
                </c:pt>
                <c:pt idx="3011">
                  <c:v>6.9</c:v>
                </c:pt>
                <c:pt idx="3012">
                  <c:v>7.6</c:v>
                </c:pt>
                <c:pt idx="3013">
                  <c:v>7.6</c:v>
                </c:pt>
                <c:pt idx="3014">
                  <c:v>6.4</c:v>
                </c:pt>
                <c:pt idx="3015">
                  <c:v>6.2</c:v>
                </c:pt>
                <c:pt idx="3016">
                  <c:v>7.5</c:v>
                </c:pt>
                <c:pt idx="3017">
                  <c:v>2</c:v>
                </c:pt>
                <c:pt idx="3018">
                  <c:v>6.2</c:v>
                </c:pt>
                <c:pt idx="3019">
                  <c:v>6.5</c:v>
                </c:pt>
                <c:pt idx="3020">
                  <c:v>7.9</c:v>
                </c:pt>
                <c:pt idx="3021">
                  <c:v>6.8</c:v>
                </c:pt>
                <c:pt idx="3022">
                  <c:v>6.3</c:v>
                </c:pt>
                <c:pt idx="3023">
                  <c:v>6.3</c:v>
                </c:pt>
                <c:pt idx="3024">
                  <c:v>6.6</c:v>
                </c:pt>
                <c:pt idx="3025">
                  <c:v>6.4</c:v>
                </c:pt>
                <c:pt idx="3026">
                  <c:v>7.5</c:v>
                </c:pt>
                <c:pt idx="3027">
                  <c:v>6.5</c:v>
                </c:pt>
                <c:pt idx="3028">
                  <c:v>7.2</c:v>
                </c:pt>
                <c:pt idx="3029">
                  <c:v>6.3</c:v>
                </c:pt>
                <c:pt idx="3030">
                  <c:v>7</c:v>
                </c:pt>
                <c:pt idx="3031">
                  <c:v>6.3</c:v>
                </c:pt>
                <c:pt idx="3032">
                  <c:v>2.2999999999999998</c:v>
                </c:pt>
                <c:pt idx="3033">
                  <c:v>7.1</c:v>
                </c:pt>
                <c:pt idx="3034">
                  <c:v>6.2</c:v>
                </c:pt>
                <c:pt idx="3035">
                  <c:v>6.7</c:v>
                </c:pt>
                <c:pt idx="3036">
                  <c:v>6.5</c:v>
                </c:pt>
                <c:pt idx="3037">
                  <c:v>5.9</c:v>
                </c:pt>
                <c:pt idx="3038">
                  <c:v>6</c:v>
                </c:pt>
                <c:pt idx="3039">
                  <c:v>6.9</c:v>
                </c:pt>
                <c:pt idx="3040">
                  <c:v>7.3</c:v>
                </c:pt>
                <c:pt idx="3041">
                  <c:v>7.7</c:v>
                </c:pt>
                <c:pt idx="3042">
                  <c:v>7.3</c:v>
                </c:pt>
                <c:pt idx="3043">
                  <c:v>7</c:v>
                </c:pt>
                <c:pt idx="3044">
                  <c:v>6.4</c:v>
                </c:pt>
                <c:pt idx="3045">
                  <c:v>5.6</c:v>
                </c:pt>
                <c:pt idx="3046">
                  <c:v>8.1999999999999993</c:v>
                </c:pt>
                <c:pt idx="3047">
                  <c:v>6.5</c:v>
                </c:pt>
                <c:pt idx="3048">
                  <c:v>8.1</c:v>
                </c:pt>
                <c:pt idx="3049">
                  <c:v>5.4</c:v>
                </c:pt>
                <c:pt idx="3050">
                  <c:v>6.3</c:v>
                </c:pt>
                <c:pt idx="3051">
                  <c:v>7.8</c:v>
                </c:pt>
                <c:pt idx="3052">
                  <c:v>6.8</c:v>
                </c:pt>
                <c:pt idx="3053">
                  <c:v>7.1</c:v>
                </c:pt>
                <c:pt idx="3054">
                  <c:v>6.2</c:v>
                </c:pt>
                <c:pt idx="3055">
                  <c:v>7.3</c:v>
                </c:pt>
                <c:pt idx="3056">
                  <c:v>5.9</c:v>
                </c:pt>
                <c:pt idx="3057">
                  <c:v>3.6</c:v>
                </c:pt>
                <c:pt idx="3058">
                  <c:v>7.7</c:v>
                </c:pt>
                <c:pt idx="3059">
                  <c:v>7.3</c:v>
                </c:pt>
                <c:pt idx="3060">
                  <c:v>7.4</c:v>
                </c:pt>
                <c:pt idx="3061">
                  <c:v>6.6</c:v>
                </c:pt>
                <c:pt idx="3062">
                  <c:v>6.9</c:v>
                </c:pt>
                <c:pt idx="3063">
                  <c:v>6.8</c:v>
                </c:pt>
                <c:pt idx="3064">
                  <c:v>7.3</c:v>
                </c:pt>
                <c:pt idx="3065">
                  <c:v>7.2</c:v>
                </c:pt>
                <c:pt idx="3066">
                  <c:v>7.7</c:v>
                </c:pt>
                <c:pt idx="3067">
                  <c:v>8.1</c:v>
                </c:pt>
                <c:pt idx="3068">
                  <c:v>7.7</c:v>
                </c:pt>
                <c:pt idx="3069">
                  <c:v>7.6</c:v>
                </c:pt>
                <c:pt idx="3070">
                  <c:v>7.2</c:v>
                </c:pt>
                <c:pt idx="3071">
                  <c:v>7.2</c:v>
                </c:pt>
                <c:pt idx="3072">
                  <c:v>8.1</c:v>
                </c:pt>
                <c:pt idx="3073">
                  <c:v>7.5</c:v>
                </c:pt>
                <c:pt idx="3074">
                  <c:v>8.1</c:v>
                </c:pt>
                <c:pt idx="3075">
                  <c:v>7.8</c:v>
                </c:pt>
                <c:pt idx="3076">
                  <c:v>7.8</c:v>
                </c:pt>
                <c:pt idx="3077">
                  <c:v>7.6</c:v>
                </c:pt>
                <c:pt idx="3078">
                  <c:v>7.4</c:v>
                </c:pt>
                <c:pt idx="3079">
                  <c:v>6.3</c:v>
                </c:pt>
                <c:pt idx="3080">
                  <c:v>6.9</c:v>
                </c:pt>
                <c:pt idx="3081">
                  <c:v>8.6</c:v>
                </c:pt>
                <c:pt idx="3082">
                  <c:v>5.0999999999999996</c:v>
                </c:pt>
                <c:pt idx="3083">
                  <c:v>6.4</c:v>
                </c:pt>
                <c:pt idx="3084">
                  <c:v>7.9</c:v>
                </c:pt>
                <c:pt idx="3085">
                  <c:v>6.9</c:v>
                </c:pt>
                <c:pt idx="3086">
                  <c:v>7.5</c:v>
                </c:pt>
                <c:pt idx="3087">
                  <c:v>7.2</c:v>
                </c:pt>
                <c:pt idx="3088">
                  <c:v>5.8</c:v>
                </c:pt>
                <c:pt idx="3089">
                  <c:v>2.9</c:v>
                </c:pt>
                <c:pt idx="3090">
                  <c:v>6.2</c:v>
                </c:pt>
                <c:pt idx="3091">
                  <c:v>6.8</c:v>
                </c:pt>
                <c:pt idx="3092">
                  <c:v>6.1</c:v>
                </c:pt>
                <c:pt idx="3093">
                  <c:v>7.7</c:v>
                </c:pt>
                <c:pt idx="3094">
                  <c:v>5.2</c:v>
                </c:pt>
                <c:pt idx="3095">
                  <c:v>6.8</c:v>
                </c:pt>
                <c:pt idx="3096">
                  <c:v>6.5</c:v>
                </c:pt>
                <c:pt idx="3097">
                  <c:v>7</c:v>
                </c:pt>
                <c:pt idx="3098">
                  <c:v>5.9</c:v>
                </c:pt>
                <c:pt idx="3099">
                  <c:v>7.1</c:v>
                </c:pt>
                <c:pt idx="3100">
                  <c:v>5.5</c:v>
                </c:pt>
                <c:pt idx="3101">
                  <c:v>7.4</c:v>
                </c:pt>
                <c:pt idx="3102">
                  <c:v>7.3</c:v>
                </c:pt>
                <c:pt idx="3103">
                  <c:v>4.5999999999999996</c:v>
                </c:pt>
                <c:pt idx="3104">
                  <c:v>7.2</c:v>
                </c:pt>
                <c:pt idx="3105">
                  <c:v>5.0999999999999996</c:v>
                </c:pt>
                <c:pt idx="3106">
                  <c:v>6.7</c:v>
                </c:pt>
                <c:pt idx="3107">
                  <c:v>5.3</c:v>
                </c:pt>
                <c:pt idx="3108">
                  <c:v>7.8</c:v>
                </c:pt>
                <c:pt idx="3109">
                  <c:v>6.7</c:v>
                </c:pt>
                <c:pt idx="3110">
                  <c:v>7.2</c:v>
                </c:pt>
                <c:pt idx="3111">
                  <c:v>5.8</c:v>
                </c:pt>
                <c:pt idx="3112">
                  <c:v>7</c:v>
                </c:pt>
                <c:pt idx="3113">
                  <c:v>3.8</c:v>
                </c:pt>
                <c:pt idx="3114">
                  <c:v>5.7</c:v>
                </c:pt>
                <c:pt idx="3115">
                  <c:v>6.7</c:v>
                </c:pt>
                <c:pt idx="3116">
                  <c:v>6.1</c:v>
                </c:pt>
                <c:pt idx="3117">
                  <c:v>6.2</c:v>
                </c:pt>
                <c:pt idx="3118">
                  <c:v>6.2</c:v>
                </c:pt>
                <c:pt idx="3119">
                  <c:v>4.7</c:v>
                </c:pt>
                <c:pt idx="3120">
                  <c:v>6.3</c:v>
                </c:pt>
                <c:pt idx="3121">
                  <c:v>7.3</c:v>
                </c:pt>
                <c:pt idx="3122">
                  <c:v>5.8</c:v>
                </c:pt>
                <c:pt idx="3123">
                  <c:v>7.1</c:v>
                </c:pt>
                <c:pt idx="3124">
                  <c:v>7.1</c:v>
                </c:pt>
                <c:pt idx="3125">
                  <c:v>6.7</c:v>
                </c:pt>
                <c:pt idx="3126">
                  <c:v>6.9</c:v>
                </c:pt>
                <c:pt idx="3127">
                  <c:v>2.1</c:v>
                </c:pt>
                <c:pt idx="3128">
                  <c:v>6.6</c:v>
                </c:pt>
                <c:pt idx="3129">
                  <c:v>8.3000000000000007</c:v>
                </c:pt>
                <c:pt idx="3130">
                  <c:v>7.2</c:v>
                </c:pt>
                <c:pt idx="3131">
                  <c:v>5.6</c:v>
                </c:pt>
                <c:pt idx="3132">
                  <c:v>7.7</c:v>
                </c:pt>
                <c:pt idx="3133">
                  <c:v>6.6</c:v>
                </c:pt>
                <c:pt idx="3134">
                  <c:v>7.4</c:v>
                </c:pt>
                <c:pt idx="3135">
                  <c:v>7.1</c:v>
                </c:pt>
                <c:pt idx="3136">
                  <c:v>7.9</c:v>
                </c:pt>
                <c:pt idx="3137">
                  <c:v>6.7</c:v>
                </c:pt>
                <c:pt idx="3138">
                  <c:v>6.6</c:v>
                </c:pt>
                <c:pt idx="3139">
                  <c:v>7.9</c:v>
                </c:pt>
                <c:pt idx="3140">
                  <c:v>4.9000000000000004</c:v>
                </c:pt>
                <c:pt idx="3141">
                  <c:v>7.2</c:v>
                </c:pt>
                <c:pt idx="3142">
                  <c:v>6.1</c:v>
                </c:pt>
                <c:pt idx="3143">
                  <c:v>5.3</c:v>
                </c:pt>
                <c:pt idx="3144">
                  <c:v>5</c:v>
                </c:pt>
                <c:pt idx="3145">
                  <c:v>7.6</c:v>
                </c:pt>
                <c:pt idx="3146">
                  <c:v>7.6</c:v>
                </c:pt>
                <c:pt idx="3147">
                  <c:v>6.6</c:v>
                </c:pt>
                <c:pt idx="3148">
                  <c:v>6.6</c:v>
                </c:pt>
                <c:pt idx="3149">
                  <c:v>7.3</c:v>
                </c:pt>
                <c:pt idx="3150">
                  <c:v>6.6</c:v>
                </c:pt>
                <c:pt idx="3151">
                  <c:v>6.9</c:v>
                </c:pt>
                <c:pt idx="3152">
                  <c:v>5.8</c:v>
                </c:pt>
                <c:pt idx="3153">
                  <c:v>4.4000000000000004</c:v>
                </c:pt>
                <c:pt idx="3154">
                  <c:v>6.6</c:v>
                </c:pt>
                <c:pt idx="3155">
                  <c:v>7.6</c:v>
                </c:pt>
                <c:pt idx="3156">
                  <c:v>4.5999999999999996</c:v>
                </c:pt>
                <c:pt idx="3157">
                  <c:v>6.8</c:v>
                </c:pt>
                <c:pt idx="3158">
                  <c:v>4.9000000000000004</c:v>
                </c:pt>
                <c:pt idx="3159">
                  <c:v>7.3</c:v>
                </c:pt>
                <c:pt idx="3160">
                  <c:v>5</c:v>
                </c:pt>
                <c:pt idx="3161">
                  <c:v>8</c:v>
                </c:pt>
                <c:pt idx="3162">
                  <c:v>5.2</c:v>
                </c:pt>
                <c:pt idx="3163">
                  <c:v>8.5</c:v>
                </c:pt>
                <c:pt idx="3164">
                  <c:v>6.5</c:v>
                </c:pt>
                <c:pt idx="3165">
                  <c:v>7.4</c:v>
                </c:pt>
                <c:pt idx="3166">
                  <c:v>7.7</c:v>
                </c:pt>
                <c:pt idx="3167">
                  <c:v>7.4</c:v>
                </c:pt>
                <c:pt idx="3168">
                  <c:v>5.0999999999999996</c:v>
                </c:pt>
                <c:pt idx="3169">
                  <c:v>5</c:v>
                </c:pt>
                <c:pt idx="3170">
                  <c:v>7.2</c:v>
                </c:pt>
                <c:pt idx="3171">
                  <c:v>6.4</c:v>
                </c:pt>
                <c:pt idx="3172">
                  <c:v>5.6</c:v>
                </c:pt>
                <c:pt idx="3173">
                  <c:v>6.1</c:v>
                </c:pt>
                <c:pt idx="3174">
                  <c:v>5.2</c:v>
                </c:pt>
                <c:pt idx="3175">
                  <c:v>7.3</c:v>
                </c:pt>
                <c:pt idx="3176">
                  <c:v>7.5</c:v>
                </c:pt>
                <c:pt idx="3177">
                  <c:v>4.5</c:v>
                </c:pt>
                <c:pt idx="3178">
                  <c:v>6.6</c:v>
                </c:pt>
                <c:pt idx="3179">
                  <c:v>5.3</c:v>
                </c:pt>
                <c:pt idx="3180">
                  <c:v>4.9000000000000004</c:v>
                </c:pt>
                <c:pt idx="3181">
                  <c:v>7.7</c:v>
                </c:pt>
                <c:pt idx="3182">
                  <c:v>8</c:v>
                </c:pt>
                <c:pt idx="3183">
                  <c:v>3.8</c:v>
                </c:pt>
                <c:pt idx="3184">
                  <c:v>7.6</c:v>
                </c:pt>
                <c:pt idx="3185">
                  <c:v>5.9</c:v>
                </c:pt>
                <c:pt idx="3186">
                  <c:v>6.2</c:v>
                </c:pt>
                <c:pt idx="3187">
                  <c:v>7.2</c:v>
                </c:pt>
                <c:pt idx="3188">
                  <c:v>6.3</c:v>
                </c:pt>
                <c:pt idx="3189">
                  <c:v>5.2</c:v>
                </c:pt>
                <c:pt idx="3190">
                  <c:v>6.9</c:v>
                </c:pt>
                <c:pt idx="3191">
                  <c:v>6.8</c:v>
                </c:pt>
                <c:pt idx="3192">
                  <c:v>3.5</c:v>
                </c:pt>
                <c:pt idx="3193">
                  <c:v>6.1</c:v>
                </c:pt>
                <c:pt idx="3194">
                  <c:v>4.5</c:v>
                </c:pt>
                <c:pt idx="3195">
                  <c:v>5.9</c:v>
                </c:pt>
                <c:pt idx="3196">
                  <c:v>6.9</c:v>
                </c:pt>
                <c:pt idx="3197">
                  <c:v>7.7</c:v>
                </c:pt>
                <c:pt idx="3198">
                  <c:v>5.3</c:v>
                </c:pt>
                <c:pt idx="3199">
                  <c:v>7</c:v>
                </c:pt>
                <c:pt idx="3200">
                  <c:v>6.6</c:v>
                </c:pt>
                <c:pt idx="3201">
                  <c:v>6.4</c:v>
                </c:pt>
                <c:pt idx="3202">
                  <c:v>7.9</c:v>
                </c:pt>
                <c:pt idx="3203">
                  <c:v>6.9</c:v>
                </c:pt>
                <c:pt idx="3204">
                  <c:v>7.7</c:v>
                </c:pt>
                <c:pt idx="3205">
                  <c:v>7.2</c:v>
                </c:pt>
                <c:pt idx="3206">
                  <c:v>6.8</c:v>
                </c:pt>
                <c:pt idx="3207">
                  <c:v>7.4</c:v>
                </c:pt>
                <c:pt idx="3208">
                  <c:v>4.5999999999999996</c:v>
                </c:pt>
                <c:pt idx="3209">
                  <c:v>6.4</c:v>
                </c:pt>
                <c:pt idx="3210">
                  <c:v>7</c:v>
                </c:pt>
                <c:pt idx="3211">
                  <c:v>7.7</c:v>
                </c:pt>
                <c:pt idx="3212">
                  <c:v>6.8</c:v>
                </c:pt>
                <c:pt idx="3213">
                  <c:v>7</c:v>
                </c:pt>
                <c:pt idx="3214">
                  <c:v>7</c:v>
                </c:pt>
                <c:pt idx="3215">
                  <c:v>6.3</c:v>
                </c:pt>
                <c:pt idx="3216">
                  <c:v>7.1</c:v>
                </c:pt>
                <c:pt idx="3217">
                  <c:v>4.4000000000000004</c:v>
                </c:pt>
                <c:pt idx="3218">
                  <c:v>7.1</c:v>
                </c:pt>
                <c:pt idx="3219">
                  <c:v>6.1</c:v>
                </c:pt>
                <c:pt idx="3220">
                  <c:v>7.3</c:v>
                </c:pt>
                <c:pt idx="3221">
                  <c:v>6.2</c:v>
                </c:pt>
                <c:pt idx="3222">
                  <c:v>6.2</c:v>
                </c:pt>
                <c:pt idx="3223">
                  <c:v>6.2</c:v>
                </c:pt>
                <c:pt idx="3224">
                  <c:v>3.3</c:v>
                </c:pt>
                <c:pt idx="3225">
                  <c:v>7.5</c:v>
                </c:pt>
                <c:pt idx="3226">
                  <c:v>7.4</c:v>
                </c:pt>
                <c:pt idx="3227">
                  <c:v>7.3</c:v>
                </c:pt>
                <c:pt idx="3228">
                  <c:v>8</c:v>
                </c:pt>
                <c:pt idx="3229">
                  <c:v>5.9</c:v>
                </c:pt>
                <c:pt idx="3230">
                  <c:v>6.8</c:v>
                </c:pt>
                <c:pt idx="3231">
                  <c:v>7.4</c:v>
                </c:pt>
                <c:pt idx="3232">
                  <c:v>6.7</c:v>
                </c:pt>
                <c:pt idx="3233">
                  <c:v>5.5</c:v>
                </c:pt>
                <c:pt idx="3234">
                  <c:v>5.7</c:v>
                </c:pt>
                <c:pt idx="3235">
                  <c:v>7.2</c:v>
                </c:pt>
                <c:pt idx="3236">
                  <c:v>5.9</c:v>
                </c:pt>
                <c:pt idx="3237">
                  <c:v>6.7</c:v>
                </c:pt>
                <c:pt idx="3238">
                  <c:v>7.1</c:v>
                </c:pt>
                <c:pt idx="3239">
                  <c:v>7.7</c:v>
                </c:pt>
                <c:pt idx="3240">
                  <c:v>7.4</c:v>
                </c:pt>
                <c:pt idx="3241">
                  <c:v>8.4</c:v>
                </c:pt>
                <c:pt idx="3242">
                  <c:v>7.2</c:v>
                </c:pt>
                <c:pt idx="3243">
                  <c:v>5.4</c:v>
                </c:pt>
                <c:pt idx="3244">
                  <c:v>8.1</c:v>
                </c:pt>
                <c:pt idx="3245">
                  <c:v>7.8</c:v>
                </c:pt>
                <c:pt idx="3246">
                  <c:v>6.8</c:v>
                </c:pt>
                <c:pt idx="3247">
                  <c:v>7.7</c:v>
                </c:pt>
                <c:pt idx="3248">
                  <c:v>6.5</c:v>
                </c:pt>
                <c:pt idx="3249">
                  <c:v>7.3</c:v>
                </c:pt>
                <c:pt idx="3250">
                  <c:v>5.9</c:v>
                </c:pt>
                <c:pt idx="3251">
                  <c:v>8.6999999999999993</c:v>
                </c:pt>
                <c:pt idx="3252">
                  <c:v>5.8</c:v>
                </c:pt>
                <c:pt idx="3253">
                  <c:v>6.1</c:v>
                </c:pt>
                <c:pt idx="3254">
                  <c:v>7.6</c:v>
                </c:pt>
                <c:pt idx="3255">
                  <c:v>7.2</c:v>
                </c:pt>
                <c:pt idx="3256">
                  <c:v>6.5</c:v>
                </c:pt>
                <c:pt idx="3257">
                  <c:v>7.3</c:v>
                </c:pt>
                <c:pt idx="3258">
                  <c:v>6.2</c:v>
                </c:pt>
                <c:pt idx="3259">
                  <c:v>5</c:v>
                </c:pt>
                <c:pt idx="3260">
                  <c:v>7.8</c:v>
                </c:pt>
                <c:pt idx="3261">
                  <c:v>8.1</c:v>
                </c:pt>
                <c:pt idx="3262">
                  <c:v>6.7</c:v>
                </c:pt>
                <c:pt idx="3263">
                  <c:v>7.1</c:v>
                </c:pt>
                <c:pt idx="3264">
                  <c:v>5.6</c:v>
                </c:pt>
                <c:pt idx="3265">
                  <c:v>7.6</c:v>
                </c:pt>
                <c:pt idx="3266">
                  <c:v>4.5999999999999996</c:v>
                </c:pt>
                <c:pt idx="3267">
                  <c:v>7.1</c:v>
                </c:pt>
                <c:pt idx="3268">
                  <c:v>7.3</c:v>
                </c:pt>
                <c:pt idx="3269">
                  <c:v>4</c:v>
                </c:pt>
                <c:pt idx="3270">
                  <c:v>8</c:v>
                </c:pt>
                <c:pt idx="3271">
                  <c:v>6.7</c:v>
                </c:pt>
                <c:pt idx="3272">
                  <c:v>4.5999999999999996</c:v>
                </c:pt>
                <c:pt idx="3273">
                  <c:v>4</c:v>
                </c:pt>
                <c:pt idx="3274">
                  <c:v>7</c:v>
                </c:pt>
                <c:pt idx="3275">
                  <c:v>5.9</c:v>
                </c:pt>
                <c:pt idx="3276">
                  <c:v>7.5</c:v>
                </c:pt>
                <c:pt idx="3277">
                  <c:v>4.7</c:v>
                </c:pt>
                <c:pt idx="3278">
                  <c:v>6.7</c:v>
                </c:pt>
                <c:pt idx="3279">
                  <c:v>6.7</c:v>
                </c:pt>
                <c:pt idx="3280">
                  <c:v>7.1</c:v>
                </c:pt>
                <c:pt idx="3281">
                  <c:v>2.7</c:v>
                </c:pt>
                <c:pt idx="3282">
                  <c:v>7.3</c:v>
                </c:pt>
                <c:pt idx="3283">
                  <c:v>7.6</c:v>
                </c:pt>
                <c:pt idx="3284">
                  <c:v>5.8</c:v>
                </c:pt>
                <c:pt idx="3285">
                  <c:v>6.5</c:v>
                </c:pt>
                <c:pt idx="3286">
                  <c:v>6.6</c:v>
                </c:pt>
                <c:pt idx="3287">
                  <c:v>6.9</c:v>
                </c:pt>
                <c:pt idx="3288">
                  <c:v>8.5</c:v>
                </c:pt>
                <c:pt idx="3289">
                  <c:v>4.8</c:v>
                </c:pt>
                <c:pt idx="3290">
                  <c:v>7</c:v>
                </c:pt>
                <c:pt idx="3291">
                  <c:v>5.4</c:v>
                </c:pt>
                <c:pt idx="3292">
                  <c:v>6.9</c:v>
                </c:pt>
                <c:pt idx="3293">
                  <c:v>6.6</c:v>
                </c:pt>
                <c:pt idx="3294">
                  <c:v>5.9</c:v>
                </c:pt>
                <c:pt idx="3295">
                  <c:v>6.3</c:v>
                </c:pt>
                <c:pt idx="3296">
                  <c:v>6.3</c:v>
                </c:pt>
                <c:pt idx="3297">
                  <c:v>7.7</c:v>
                </c:pt>
                <c:pt idx="3298">
                  <c:v>7</c:v>
                </c:pt>
                <c:pt idx="3299">
                  <c:v>6.3</c:v>
                </c:pt>
                <c:pt idx="3300">
                  <c:v>5.9</c:v>
                </c:pt>
                <c:pt idx="3301">
                  <c:v>6.2</c:v>
                </c:pt>
                <c:pt idx="3302">
                  <c:v>7.7</c:v>
                </c:pt>
                <c:pt idx="3303">
                  <c:v>6.5</c:v>
                </c:pt>
                <c:pt idx="3304">
                  <c:v>5.8</c:v>
                </c:pt>
                <c:pt idx="3305">
                  <c:v>6.1</c:v>
                </c:pt>
                <c:pt idx="3306">
                  <c:v>5.2</c:v>
                </c:pt>
                <c:pt idx="3307">
                  <c:v>8.1999999999999993</c:v>
                </c:pt>
                <c:pt idx="3308">
                  <c:v>6</c:v>
                </c:pt>
                <c:pt idx="3309">
                  <c:v>6.8</c:v>
                </c:pt>
                <c:pt idx="3310">
                  <c:v>7</c:v>
                </c:pt>
                <c:pt idx="3311">
                  <c:v>6.8</c:v>
                </c:pt>
                <c:pt idx="3312">
                  <c:v>7.1</c:v>
                </c:pt>
                <c:pt idx="3313">
                  <c:v>6.9</c:v>
                </c:pt>
                <c:pt idx="3314">
                  <c:v>6.9</c:v>
                </c:pt>
                <c:pt idx="3315">
                  <c:v>7.2</c:v>
                </c:pt>
                <c:pt idx="3316">
                  <c:v>7.8</c:v>
                </c:pt>
                <c:pt idx="3317">
                  <c:v>7.3</c:v>
                </c:pt>
                <c:pt idx="3318">
                  <c:v>7.5</c:v>
                </c:pt>
                <c:pt idx="3319">
                  <c:v>6</c:v>
                </c:pt>
                <c:pt idx="3320">
                  <c:v>6.8</c:v>
                </c:pt>
                <c:pt idx="3321">
                  <c:v>3.9</c:v>
                </c:pt>
                <c:pt idx="3322">
                  <c:v>6.1</c:v>
                </c:pt>
                <c:pt idx="3323">
                  <c:v>7.5</c:v>
                </c:pt>
                <c:pt idx="3324">
                  <c:v>8.1999999999999993</c:v>
                </c:pt>
                <c:pt idx="3325">
                  <c:v>7.8</c:v>
                </c:pt>
                <c:pt idx="3326">
                  <c:v>5.2</c:v>
                </c:pt>
                <c:pt idx="3327">
                  <c:v>6.8</c:v>
                </c:pt>
                <c:pt idx="3328">
                  <c:v>7</c:v>
                </c:pt>
                <c:pt idx="3329">
                  <c:v>6.5</c:v>
                </c:pt>
                <c:pt idx="3330">
                  <c:v>6.4</c:v>
                </c:pt>
                <c:pt idx="3331">
                  <c:v>5.3</c:v>
                </c:pt>
                <c:pt idx="3332">
                  <c:v>4.7</c:v>
                </c:pt>
                <c:pt idx="3333">
                  <c:v>7</c:v>
                </c:pt>
                <c:pt idx="3334">
                  <c:v>7.6</c:v>
                </c:pt>
                <c:pt idx="3335">
                  <c:v>7.1</c:v>
                </c:pt>
                <c:pt idx="3336">
                  <c:v>6.5</c:v>
                </c:pt>
                <c:pt idx="3337">
                  <c:v>8.5</c:v>
                </c:pt>
                <c:pt idx="3338">
                  <c:v>8.6999999999999993</c:v>
                </c:pt>
                <c:pt idx="3339">
                  <c:v>7.1</c:v>
                </c:pt>
                <c:pt idx="3340">
                  <c:v>8.3000000000000007</c:v>
                </c:pt>
                <c:pt idx="3341">
                  <c:v>7.4</c:v>
                </c:pt>
                <c:pt idx="3342">
                  <c:v>6.4</c:v>
                </c:pt>
                <c:pt idx="3343">
                  <c:v>7.5</c:v>
                </c:pt>
                <c:pt idx="3344">
                  <c:v>7.2</c:v>
                </c:pt>
                <c:pt idx="3345">
                  <c:v>7.6</c:v>
                </c:pt>
                <c:pt idx="3346">
                  <c:v>7.8</c:v>
                </c:pt>
                <c:pt idx="3347">
                  <c:v>8.1999999999999993</c:v>
                </c:pt>
                <c:pt idx="3348">
                  <c:v>6.6</c:v>
                </c:pt>
                <c:pt idx="3349">
                  <c:v>5.7</c:v>
                </c:pt>
                <c:pt idx="3350">
                  <c:v>7.4</c:v>
                </c:pt>
                <c:pt idx="3351">
                  <c:v>8</c:v>
                </c:pt>
                <c:pt idx="3352">
                  <c:v>5.4</c:v>
                </c:pt>
                <c:pt idx="3353">
                  <c:v>7.4</c:v>
                </c:pt>
                <c:pt idx="3354">
                  <c:v>5.7</c:v>
                </c:pt>
                <c:pt idx="3355">
                  <c:v>6.8</c:v>
                </c:pt>
                <c:pt idx="3356">
                  <c:v>5.4</c:v>
                </c:pt>
                <c:pt idx="3357">
                  <c:v>5.0999999999999996</c:v>
                </c:pt>
                <c:pt idx="3358">
                  <c:v>5.9</c:v>
                </c:pt>
                <c:pt idx="3359">
                  <c:v>8.1999999999999993</c:v>
                </c:pt>
                <c:pt idx="3360">
                  <c:v>5.3</c:v>
                </c:pt>
                <c:pt idx="3361">
                  <c:v>4.3</c:v>
                </c:pt>
                <c:pt idx="3362">
                  <c:v>7.2</c:v>
                </c:pt>
                <c:pt idx="3363">
                  <c:v>5.9</c:v>
                </c:pt>
                <c:pt idx="3364">
                  <c:v>3</c:v>
                </c:pt>
                <c:pt idx="3365">
                  <c:v>7.9</c:v>
                </c:pt>
                <c:pt idx="3366">
                  <c:v>3.2</c:v>
                </c:pt>
                <c:pt idx="3367">
                  <c:v>6.5</c:v>
                </c:pt>
                <c:pt idx="3368">
                  <c:v>7</c:v>
                </c:pt>
                <c:pt idx="3369">
                  <c:v>6.9</c:v>
                </c:pt>
                <c:pt idx="3370">
                  <c:v>4.4000000000000004</c:v>
                </c:pt>
                <c:pt idx="3371">
                  <c:v>6</c:v>
                </c:pt>
                <c:pt idx="3372">
                  <c:v>5.3</c:v>
                </c:pt>
                <c:pt idx="3373">
                  <c:v>5.3</c:v>
                </c:pt>
                <c:pt idx="3374">
                  <c:v>7.1</c:v>
                </c:pt>
                <c:pt idx="3375">
                  <c:v>5.4</c:v>
                </c:pt>
                <c:pt idx="3376">
                  <c:v>6.9</c:v>
                </c:pt>
                <c:pt idx="3377">
                  <c:v>7.3</c:v>
                </c:pt>
                <c:pt idx="3378">
                  <c:v>7.8</c:v>
                </c:pt>
                <c:pt idx="3379">
                  <c:v>6.6</c:v>
                </c:pt>
                <c:pt idx="3380">
                  <c:v>5.4</c:v>
                </c:pt>
                <c:pt idx="3381">
                  <c:v>8.4</c:v>
                </c:pt>
                <c:pt idx="3382">
                  <c:v>6.3</c:v>
                </c:pt>
                <c:pt idx="3383">
                  <c:v>6.1</c:v>
                </c:pt>
                <c:pt idx="3384">
                  <c:v>5</c:v>
                </c:pt>
                <c:pt idx="3385">
                  <c:v>5.3</c:v>
                </c:pt>
                <c:pt idx="3386">
                  <c:v>5.3</c:v>
                </c:pt>
                <c:pt idx="3387">
                  <c:v>7.4</c:v>
                </c:pt>
                <c:pt idx="3388">
                  <c:v>5.9</c:v>
                </c:pt>
                <c:pt idx="3389">
                  <c:v>4.0999999999999996</c:v>
                </c:pt>
                <c:pt idx="3390">
                  <c:v>6.7</c:v>
                </c:pt>
                <c:pt idx="3391">
                  <c:v>5.8</c:v>
                </c:pt>
                <c:pt idx="3392">
                  <c:v>5.9</c:v>
                </c:pt>
                <c:pt idx="3393">
                  <c:v>8</c:v>
                </c:pt>
                <c:pt idx="3394">
                  <c:v>6.5</c:v>
                </c:pt>
                <c:pt idx="3395">
                  <c:v>6.4</c:v>
                </c:pt>
                <c:pt idx="3396">
                  <c:v>6.8</c:v>
                </c:pt>
                <c:pt idx="3397">
                  <c:v>7.4</c:v>
                </c:pt>
                <c:pt idx="3398">
                  <c:v>8.3000000000000007</c:v>
                </c:pt>
                <c:pt idx="3399">
                  <c:v>5.3</c:v>
                </c:pt>
                <c:pt idx="3400">
                  <c:v>8.1</c:v>
                </c:pt>
                <c:pt idx="3401">
                  <c:v>8</c:v>
                </c:pt>
                <c:pt idx="3402">
                  <c:v>5.7</c:v>
                </c:pt>
                <c:pt idx="3403">
                  <c:v>7.1</c:v>
                </c:pt>
                <c:pt idx="3404">
                  <c:v>7.8</c:v>
                </c:pt>
                <c:pt idx="3405">
                  <c:v>5.9</c:v>
                </c:pt>
                <c:pt idx="3406">
                  <c:v>7.8</c:v>
                </c:pt>
                <c:pt idx="3407">
                  <c:v>6</c:v>
                </c:pt>
                <c:pt idx="3408">
                  <c:v>7.2</c:v>
                </c:pt>
                <c:pt idx="3409">
                  <c:v>5.0999999999999996</c:v>
                </c:pt>
                <c:pt idx="3410">
                  <c:v>5.0999999999999996</c:v>
                </c:pt>
                <c:pt idx="3411">
                  <c:v>6.9</c:v>
                </c:pt>
                <c:pt idx="3412">
                  <c:v>4.5999999999999996</c:v>
                </c:pt>
                <c:pt idx="3413">
                  <c:v>6.7</c:v>
                </c:pt>
                <c:pt idx="3414">
                  <c:v>7.1</c:v>
                </c:pt>
                <c:pt idx="3415">
                  <c:v>7.6</c:v>
                </c:pt>
                <c:pt idx="3416">
                  <c:v>8.1</c:v>
                </c:pt>
                <c:pt idx="3417">
                  <c:v>7</c:v>
                </c:pt>
                <c:pt idx="3418">
                  <c:v>7.1</c:v>
                </c:pt>
                <c:pt idx="3419">
                  <c:v>7.6</c:v>
                </c:pt>
                <c:pt idx="3420">
                  <c:v>7.1</c:v>
                </c:pt>
                <c:pt idx="3421">
                  <c:v>7.1</c:v>
                </c:pt>
                <c:pt idx="3422">
                  <c:v>7.7</c:v>
                </c:pt>
                <c:pt idx="3423">
                  <c:v>7.6</c:v>
                </c:pt>
                <c:pt idx="3424">
                  <c:v>6.6</c:v>
                </c:pt>
                <c:pt idx="3425">
                  <c:v>5.7</c:v>
                </c:pt>
                <c:pt idx="3426">
                  <c:v>7.1</c:v>
                </c:pt>
                <c:pt idx="3427">
                  <c:v>6.2</c:v>
                </c:pt>
                <c:pt idx="3428">
                  <c:v>6.1</c:v>
                </c:pt>
                <c:pt idx="3429">
                  <c:v>5.9</c:v>
                </c:pt>
                <c:pt idx="3430">
                  <c:v>6.8</c:v>
                </c:pt>
                <c:pt idx="3431">
                  <c:v>6.8</c:v>
                </c:pt>
                <c:pt idx="3432">
                  <c:v>5.0999999999999996</c:v>
                </c:pt>
                <c:pt idx="3433">
                  <c:v>7.7</c:v>
                </c:pt>
                <c:pt idx="3434">
                  <c:v>3.9</c:v>
                </c:pt>
                <c:pt idx="3435">
                  <c:v>7.8</c:v>
                </c:pt>
                <c:pt idx="3436">
                  <c:v>5.7</c:v>
                </c:pt>
                <c:pt idx="3437">
                  <c:v>4.7</c:v>
                </c:pt>
                <c:pt idx="3438">
                  <c:v>5.9</c:v>
                </c:pt>
                <c:pt idx="3439">
                  <c:v>5.9</c:v>
                </c:pt>
                <c:pt idx="3440">
                  <c:v>8.1</c:v>
                </c:pt>
                <c:pt idx="3441">
                  <c:v>7.6</c:v>
                </c:pt>
                <c:pt idx="3442">
                  <c:v>7.2</c:v>
                </c:pt>
                <c:pt idx="3443">
                  <c:v>7.5</c:v>
                </c:pt>
                <c:pt idx="3444">
                  <c:v>5.0999999999999996</c:v>
                </c:pt>
                <c:pt idx="3445">
                  <c:v>6.9</c:v>
                </c:pt>
                <c:pt idx="3446">
                  <c:v>7.6</c:v>
                </c:pt>
                <c:pt idx="3447">
                  <c:v>7.6</c:v>
                </c:pt>
                <c:pt idx="3448">
                  <c:v>7.6</c:v>
                </c:pt>
                <c:pt idx="3449">
                  <c:v>5.3</c:v>
                </c:pt>
                <c:pt idx="3450">
                  <c:v>8.5</c:v>
                </c:pt>
                <c:pt idx="3451">
                  <c:v>7</c:v>
                </c:pt>
                <c:pt idx="3452">
                  <c:v>7.8</c:v>
                </c:pt>
                <c:pt idx="3453">
                  <c:v>7.2</c:v>
                </c:pt>
                <c:pt idx="3454">
                  <c:v>8</c:v>
                </c:pt>
                <c:pt idx="3455">
                  <c:v>8.1</c:v>
                </c:pt>
                <c:pt idx="3456">
                  <c:v>6.8</c:v>
                </c:pt>
                <c:pt idx="3457">
                  <c:v>7.2</c:v>
                </c:pt>
                <c:pt idx="3458">
                  <c:v>7.4</c:v>
                </c:pt>
                <c:pt idx="3459">
                  <c:v>6.1</c:v>
                </c:pt>
                <c:pt idx="3460">
                  <c:v>7</c:v>
                </c:pt>
                <c:pt idx="3461">
                  <c:v>5.3</c:v>
                </c:pt>
                <c:pt idx="3462">
                  <c:v>4.7</c:v>
                </c:pt>
                <c:pt idx="3463">
                  <c:v>5.7</c:v>
                </c:pt>
                <c:pt idx="3464">
                  <c:v>6.5</c:v>
                </c:pt>
                <c:pt idx="3465">
                  <c:v>8</c:v>
                </c:pt>
                <c:pt idx="3466">
                  <c:v>3.3</c:v>
                </c:pt>
                <c:pt idx="3467">
                  <c:v>8.3000000000000007</c:v>
                </c:pt>
                <c:pt idx="3468">
                  <c:v>6.9</c:v>
                </c:pt>
                <c:pt idx="3469">
                  <c:v>8.1</c:v>
                </c:pt>
                <c:pt idx="3470">
                  <c:v>6.8</c:v>
                </c:pt>
                <c:pt idx="3471">
                  <c:v>4.5999999999999996</c:v>
                </c:pt>
                <c:pt idx="3472">
                  <c:v>7</c:v>
                </c:pt>
                <c:pt idx="3473">
                  <c:v>6.7</c:v>
                </c:pt>
                <c:pt idx="3474">
                  <c:v>5.8</c:v>
                </c:pt>
                <c:pt idx="3475">
                  <c:v>4.5</c:v>
                </c:pt>
                <c:pt idx="3476">
                  <c:v>6.2</c:v>
                </c:pt>
                <c:pt idx="3477">
                  <c:v>6.6</c:v>
                </c:pt>
                <c:pt idx="3478">
                  <c:v>6.6</c:v>
                </c:pt>
                <c:pt idx="3479">
                  <c:v>7.8</c:v>
                </c:pt>
                <c:pt idx="3480">
                  <c:v>7.7</c:v>
                </c:pt>
                <c:pt idx="3481">
                  <c:v>5.7</c:v>
                </c:pt>
                <c:pt idx="3482">
                  <c:v>7.1</c:v>
                </c:pt>
                <c:pt idx="3483">
                  <c:v>6.4</c:v>
                </c:pt>
                <c:pt idx="3484">
                  <c:v>7</c:v>
                </c:pt>
                <c:pt idx="3485">
                  <c:v>5.8</c:v>
                </c:pt>
                <c:pt idx="3486">
                  <c:v>7.8</c:v>
                </c:pt>
                <c:pt idx="3487">
                  <c:v>7.2</c:v>
                </c:pt>
                <c:pt idx="3488">
                  <c:v>5.6</c:v>
                </c:pt>
                <c:pt idx="3489">
                  <c:v>6.8</c:v>
                </c:pt>
                <c:pt idx="3490">
                  <c:v>7.3</c:v>
                </c:pt>
                <c:pt idx="3491">
                  <c:v>7.3</c:v>
                </c:pt>
                <c:pt idx="3492">
                  <c:v>6.6</c:v>
                </c:pt>
                <c:pt idx="3493">
                  <c:v>7.5</c:v>
                </c:pt>
                <c:pt idx="3494">
                  <c:v>7.8</c:v>
                </c:pt>
                <c:pt idx="3495">
                  <c:v>6.7</c:v>
                </c:pt>
                <c:pt idx="3496">
                  <c:v>7.5</c:v>
                </c:pt>
                <c:pt idx="3497">
                  <c:v>6.3</c:v>
                </c:pt>
                <c:pt idx="3498">
                  <c:v>6.3</c:v>
                </c:pt>
                <c:pt idx="3499">
                  <c:v>6.8</c:v>
                </c:pt>
                <c:pt idx="3500">
                  <c:v>7.8</c:v>
                </c:pt>
                <c:pt idx="3501">
                  <c:v>6.9</c:v>
                </c:pt>
                <c:pt idx="3502">
                  <c:v>4.3</c:v>
                </c:pt>
                <c:pt idx="3503">
                  <c:v>7.2</c:v>
                </c:pt>
                <c:pt idx="3504">
                  <c:v>7.3</c:v>
                </c:pt>
                <c:pt idx="3505">
                  <c:v>7.2</c:v>
                </c:pt>
                <c:pt idx="3506">
                  <c:v>5.4</c:v>
                </c:pt>
                <c:pt idx="3507">
                  <c:v>7.1</c:v>
                </c:pt>
                <c:pt idx="3508">
                  <c:v>6.8</c:v>
                </c:pt>
                <c:pt idx="3509">
                  <c:v>7</c:v>
                </c:pt>
                <c:pt idx="3510">
                  <c:v>7.4</c:v>
                </c:pt>
                <c:pt idx="3511">
                  <c:v>6.7</c:v>
                </c:pt>
                <c:pt idx="3512">
                  <c:v>7.2</c:v>
                </c:pt>
                <c:pt idx="3513">
                  <c:v>7.5</c:v>
                </c:pt>
                <c:pt idx="3514">
                  <c:v>6.8</c:v>
                </c:pt>
                <c:pt idx="3515">
                  <c:v>7.9</c:v>
                </c:pt>
                <c:pt idx="3516">
                  <c:v>6.7</c:v>
                </c:pt>
                <c:pt idx="3517">
                  <c:v>5.8</c:v>
                </c:pt>
                <c:pt idx="3518">
                  <c:v>6.5</c:v>
                </c:pt>
                <c:pt idx="3519">
                  <c:v>7.2</c:v>
                </c:pt>
                <c:pt idx="3520">
                  <c:v>6.5</c:v>
                </c:pt>
                <c:pt idx="3521">
                  <c:v>6.2</c:v>
                </c:pt>
                <c:pt idx="3522">
                  <c:v>8.6</c:v>
                </c:pt>
                <c:pt idx="3523">
                  <c:v>6.5</c:v>
                </c:pt>
                <c:pt idx="3524">
                  <c:v>6.3</c:v>
                </c:pt>
                <c:pt idx="3525">
                  <c:v>4.3</c:v>
                </c:pt>
                <c:pt idx="3526">
                  <c:v>6.1</c:v>
                </c:pt>
                <c:pt idx="3527">
                  <c:v>5.8</c:v>
                </c:pt>
                <c:pt idx="3528">
                  <c:v>6.7</c:v>
                </c:pt>
                <c:pt idx="3529">
                  <c:v>6.7</c:v>
                </c:pt>
                <c:pt idx="3530">
                  <c:v>5.0999999999999996</c:v>
                </c:pt>
                <c:pt idx="3531">
                  <c:v>7.7</c:v>
                </c:pt>
                <c:pt idx="3532">
                  <c:v>6.7</c:v>
                </c:pt>
                <c:pt idx="3533">
                  <c:v>6.6</c:v>
                </c:pt>
                <c:pt idx="3534">
                  <c:v>8.1999999999999993</c:v>
                </c:pt>
                <c:pt idx="3535">
                  <c:v>8.1</c:v>
                </c:pt>
                <c:pt idx="3536">
                  <c:v>7.2</c:v>
                </c:pt>
                <c:pt idx="3537">
                  <c:v>7.4</c:v>
                </c:pt>
                <c:pt idx="3538">
                  <c:v>6.5</c:v>
                </c:pt>
                <c:pt idx="3539">
                  <c:v>5.7</c:v>
                </c:pt>
                <c:pt idx="3540">
                  <c:v>6.2</c:v>
                </c:pt>
                <c:pt idx="3541">
                  <c:v>3.3</c:v>
                </c:pt>
                <c:pt idx="3542">
                  <c:v>6.1</c:v>
                </c:pt>
                <c:pt idx="3543">
                  <c:v>5.7</c:v>
                </c:pt>
                <c:pt idx="3544">
                  <c:v>7.2</c:v>
                </c:pt>
                <c:pt idx="3545">
                  <c:v>7.7</c:v>
                </c:pt>
                <c:pt idx="3546">
                  <c:v>7.1</c:v>
                </c:pt>
                <c:pt idx="3547">
                  <c:v>7</c:v>
                </c:pt>
                <c:pt idx="3548">
                  <c:v>7.4</c:v>
                </c:pt>
                <c:pt idx="3549">
                  <c:v>7.7</c:v>
                </c:pt>
                <c:pt idx="3550">
                  <c:v>6.6</c:v>
                </c:pt>
                <c:pt idx="3551">
                  <c:v>6</c:v>
                </c:pt>
                <c:pt idx="3552">
                  <c:v>8.4</c:v>
                </c:pt>
                <c:pt idx="3553">
                  <c:v>8.9</c:v>
                </c:pt>
                <c:pt idx="3554">
                  <c:v>7.9</c:v>
                </c:pt>
                <c:pt idx="3555">
                  <c:v>6</c:v>
                </c:pt>
                <c:pt idx="3556">
                  <c:v>6.1</c:v>
                </c:pt>
                <c:pt idx="3557">
                  <c:v>7.4</c:v>
                </c:pt>
                <c:pt idx="3558">
                  <c:v>6.2</c:v>
                </c:pt>
                <c:pt idx="3559">
                  <c:v>7.2</c:v>
                </c:pt>
                <c:pt idx="3560">
                  <c:v>6.2</c:v>
                </c:pt>
                <c:pt idx="3561">
                  <c:v>6.8</c:v>
                </c:pt>
                <c:pt idx="3562">
                  <c:v>7.7</c:v>
                </c:pt>
                <c:pt idx="3563">
                  <c:v>5.9</c:v>
                </c:pt>
                <c:pt idx="3564">
                  <c:v>7</c:v>
                </c:pt>
                <c:pt idx="3565">
                  <c:v>6.1</c:v>
                </c:pt>
                <c:pt idx="3566">
                  <c:v>7.6</c:v>
                </c:pt>
                <c:pt idx="3567">
                  <c:v>8.1</c:v>
                </c:pt>
                <c:pt idx="3568">
                  <c:v>5.7</c:v>
                </c:pt>
                <c:pt idx="3569">
                  <c:v>6.6</c:v>
                </c:pt>
                <c:pt idx="3570">
                  <c:v>7.3</c:v>
                </c:pt>
                <c:pt idx="3571">
                  <c:v>5</c:v>
                </c:pt>
                <c:pt idx="3572">
                  <c:v>7</c:v>
                </c:pt>
                <c:pt idx="3573">
                  <c:v>3.4</c:v>
                </c:pt>
                <c:pt idx="3574">
                  <c:v>5.9</c:v>
                </c:pt>
                <c:pt idx="3575">
                  <c:v>6</c:v>
                </c:pt>
                <c:pt idx="3576">
                  <c:v>7.4</c:v>
                </c:pt>
                <c:pt idx="3577">
                  <c:v>7.4</c:v>
                </c:pt>
                <c:pt idx="3578">
                  <c:v>4.2</c:v>
                </c:pt>
                <c:pt idx="3579">
                  <c:v>6.2</c:v>
                </c:pt>
                <c:pt idx="3580">
                  <c:v>5.4</c:v>
                </c:pt>
                <c:pt idx="3581">
                  <c:v>7.2</c:v>
                </c:pt>
                <c:pt idx="3582">
                  <c:v>6.7</c:v>
                </c:pt>
                <c:pt idx="3583">
                  <c:v>7.2</c:v>
                </c:pt>
                <c:pt idx="3584">
                  <c:v>7.4</c:v>
                </c:pt>
                <c:pt idx="3585">
                  <c:v>5.6</c:v>
                </c:pt>
                <c:pt idx="3586">
                  <c:v>6.8</c:v>
                </c:pt>
                <c:pt idx="3587">
                  <c:v>7.7</c:v>
                </c:pt>
                <c:pt idx="3588">
                  <c:v>7</c:v>
                </c:pt>
                <c:pt idx="3589">
                  <c:v>7.2</c:v>
                </c:pt>
                <c:pt idx="3590">
                  <c:v>7.2</c:v>
                </c:pt>
                <c:pt idx="3591">
                  <c:v>6.2</c:v>
                </c:pt>
                <c:pt idx="3592">
                  <c:v>6.2</c:v>
                </c:pt>
                <c:pt idx="3593">
                  <c:v>6.9</c:v>
                </c:pt>
                <c:pt idx="3594">
                  <c:v>7</c:v>
                </c:pt>
                <c:pt idx="3595">
                  <c:v>6.7</c:v>
                </c:pt>
                <c:pt idx="3596">
                  <c:v>3.6</c:v>
                </c:pt>
                <c:pt idx="3597">
                  <c:v>7.4</c:v>
                </c:pt>
                <c:pt idx="3598">
                  <c:v>6.1</c:v>
                </c:pt>
                <c:pt idx="3599">
                  <c:v>8.1999999999999993</c:v>
                </c:pt>
                <c:pt idx="3600">
                  <c:v>7.7</c:v>
                </c:pt>
                <c:pt idx="3601">
                  <c:v>7.3</c:v>
                </c:pt>
                <c:pt idx="3602">
                  <c:v>7.6</c:v>
                </c:pt>
                <c:pt idx="3603">
                  <c:v>6.8</c:v>
                </c:pt>
                <c:pt idx="3604">
                  <c:v>5.6</c:v>
                </c:pt>
                <c:pt idx="3605">
                  <c:v>4.8</c:v>
                </c:pt>
                <c:pt idx="3606">
                  <c:v>6.4</c:v>
                </c:pt>
                <c:pt idx="3607">
                  <c:v>6.8</c:v>
                </c:pt>
                <c:pt idx="3608">
                  <c:v>6.1</c:v>
                </c:pt>
                <c:pt idx="3609">
                  <c:v>6</c:v>
                </c:pt>
                <c:pt idx="3610">
                  <c:v>6.1</c:v>
                </c:pt>
                <c:pt idx="3611">
                  <c:v>5.5</c:v>
                </c:pt>
                <c:pt idx="3612">
                  <c:v>6.9</c:v>
                </c:pt>
                <c:pt idx="3613">
                  <c:v>4.0999999999999996</c:v>
                </c:pt>
                <c:pt idx="3614">
                  <c:v>5.4</c:v>
                </c:pt>
                <c:pt idx="3615">
                  <c:v>8.1999999999999993</c:v>
                </c:pt>
                <c:pt idx="3616">
                  <c:v>5.7</c:v>
                </c:pt>
                <c:pt idx="3617">
                  <c:v>7.9</c:v>
                </c:pt>
                <c:pt idx="3618">
                  <c:v>7.1</c:v>
                </c:pt>
                <c:pt idx="3619">
                  <c:v>6.4</c:v>
                </c:pt>
                <c:pt idx="3620">
                  <c:v>7.5</c:v>
                </c:pt>
                <c:pt idx="3621">
                  <c:v>6.4</c:v>
                </c:pt>
                <c:pt idx="3622">
                  <c:v>7.3</c:v>
                </c:pt>
                <c:pt idx="3623">
                  <c:v>7.2</c:v>
                </c:pt>
                <c:pt idx="3624">
                  <c:v>6</c:v>
                </c:pt>
                <c:pt idx="3625">
                  <c:v>5.6</c:v>
                </c:pt>
                <c:pt idx="3626">
                  <c:v>8.4</c:v>
                </c:pt>
                <c:pt idx="3627">
                  <c:v>7.5</c:v>
                </c:pt>
                <c:pt idx="3628">
                  <c:v>7.2</c:v>
                </c:pt>
                <c:pt idx="3629">
                  <c:v>7.2</c:v>
                </c:pt>
                <c:pt idx="3630">
                  <c:v>6.5</c:v>
                </c:pt>
                <c:pt idx="3631">
                  <c:v>5.0999999999999996</c:v>
                </c:pt>
                <c:pt idx="3632">
                  <c:v>6.4</c:v>
                </c:pt>
                <c:pt idx="3633">
                  <c:v>6.8</c:v>
                </c:pt>
                <c:pt idx="3634">
                  <c:v>7.5</c:v>
                </c:pt>
                <c:pt idx="3635">
                  <c:v>6.9</c:v>
                </c:pt>
                <c:pt idx="3636">
                  <c:v>7</c:v>
                </c:pt>
                <c:pt idx="3637">
                  <c:v>6.3</c:v>
                </c:pt>
                <c:pt idx="3638">
                  <c:v>5.5</c:v>
                </c:pt>
                <c:pt idx="3639">
                  <c:v>6.6</c:v>
                </c:pt>
                <c:pt idx="3640">
                  <c:v>5.2</c:v>
                </c:pt>
                <c:pt idx="3641">
                  <c:v>8.3000000000000007</c:v>
                </c:pt>
                <c:pt idx="3642">
                  <c:v>7.2</c:v>
                </c:pt>
                <c:pt idx="3643">
                  <c:v>7.2</c:v>
                </c:pt>
                <c:pt idx="3644">
                  <c:v>6.5</c:v>
                </c:pt>
                <c:pt idx="3645">
                  <c:v>6.5</c:v>
                </c:pt>
                <c:pt idx="3646">
                  <c:v>7.8</c:v>
                </c:pt>
                <c:pt idx="3647">
                  <c:v>6.4</c:v>
                </c:pt>
                <c:pt idx="3648">
                  <c:v>8.1</c:v>
                </c:pt>
                <c:pt idx="3649">
                  <c:v>5.6</c:v>
                </c:pt>
                <c:pt idx="3650">
                  <c:v>5.6</c:v>
                </c:pt>
                <c:pt idx="3651">
                  <c:v>6.6</c:v>
                </c:pt>
                <c:pt idx="3652">
                  <c:v>7.7</c:v>
                </c:pt>
                <c:pt idx="3653">
                  <c:v>7.2</c:v>
                </c:pt>
                <c:pt idx="3654">
                  <c:v>6.5</c:v>
                </c:pt>
                <c:pt idx="3655">
                  <c:v>6.1</c:v>
                </c:pt>
                <c:pt idx="3656">
                  <c:v>5.7</c:v>
                </c:pt>
                <c:pt idx="3657">
                  <c:v>5.9</c:v>
                </c:pt>
                <c:pt idx="3658">
                  <c:v>7.7</c:v>
                </c:pt>
                <c:pt idx="3659">
                  <c:v>7.1</c:v>
                </c:pt>
                <c:pt idx="3660">
                  <c:v>7.6</c:v>
                </c:pt>
                <c:pt idx="3661">
                  <c:v>6.4</c:v>
                </c:pt>
                <c:pt idx="3662">
                  <c:v>7.4</c:v>
                </c:pt>
                <c:pt idx="3663">
                  <c:v>6.8</c:v>
                </c:pt>
                <c:pt idx="3664">
                  <c:v>6.5</c:v>
                </c:pt>
                <c:pt idx="3665">
                  <c:v>6</c:v>
                </c:pt>
                <c:pt idx="3666">
                  <c:v>7.3</c:v>
                </c:pt>
                <c:pt idx="3667">
                  <c:v>7.3</c:v>
                </c:pt>
                <c:pt idx="3668">
                  <c:v>6.5</c:v>
                </c:pt>
                <c:pt idx="3669">
                  <c:v>6</c:v>
                </c:pt>
                <c:pt idx="3670">
                  <c:v>5.3</c:v>
                </c:pt>
                <c:pt idx="3671">
                  <c:v>6.6</c:v>
                </c:pt>
                <c:pt idx="3672">
                  <c:v>7.1</c:v>
                </c:pt>
                <c:pt idx="3673">
                  <c:v>8.6999999999999993</c:v>
                </c:pt>
                <c:pt idx="3674">
                  <c:v>8.4</c:v>
                </c:pt>
                <c:pt idx="3675">
                  <c:v>6.2</c:v>
                </c:pt>
                <c:pt idx="3676">
                  <c:v>5.8</c:v>
                </c:pt>
                <c:pt idx="3677">
                  <c:v>5.7</c:v>
                </c:pt>
                <c:pt idx="3678">
                  <c:v>6.1</c:v>
                </c:pt>
                <c:pt idx="3679">
                  <c:v>6.4</c:v>
                </c:pt>
                <c:pt idx="3680">
                  <c:v>6.5</c:v>
                </c:pt>
                <c:pt idx="3681">
                  <c:v>4.5999999999999996</c:v>
                </c:pt>
                <c:pt idx="3682">
                  <c:v>6.8</c:v>
                </c:pt>
                <c:pt idx="3683">
                  <c:v>5.9</c:v>
                </c:pt>
                <c:pt idx="3684">
                  <c:v>7.7</c:v>
                </c:pt>
                <c:pt idx="3685">
                  <c:v>7.1</c:v>
                </c:pt>
                <c:pt idx="3686">
                  <c:v>6.2</c:v>
                </c:pt>
                <c:pt idx="3687">
                  <c:v>7.7</c:v>
                </c:pt>
                <c:pt idx="3688">
                  <c:v>7.5</c:v>
                </c:pt>
                <c:pt idx="3689">
                  <c:v>7.6</c:v>
                </c:pt>
                <c:pt idx="3690">
                  <c:v>6.9</c:v>
                </c:pt>
                <c:pt idx="3691">
                  <c:v>7.1</c:v>
                </c:pt>
                <c:pt idx="3692">
                  <c:v>6.3</c:v>
                </c:pt>
                <c:pt idx="3693">
                  <c:v>8.3000000000000007</c:v>
                </c:pt>
                <c:pt idx="3694">
                  <c:v>7.1</c:v>
                </c:pt>
                <c:pt idx="3695">
                  <c:v>4.7</c:v>
                </c:pt>
                <c:pt idx="3696">
                  <c:v>7.2</c:v>
                </c:pt>
                <c:pt idx="3697">
                  <c:v>5.0999999999999996</c:v>
                </c:pt>
                <c:pt idx="3698">
                  <c:v>6.9</c:v>
                </c:pt>
                <c:pt idx="3699">
                  <c:v>6.1</c:v>
                </c:pt>
                <c:pt idx="3700">
                  <c:v>7</c:v>
                </c:pt>
                <c:pt idx="3701">
                  <c:v>6.3</c:v>
                </c:pt>
                <c:pt idx="3702">
                  <c:v>6.1</c:v>
                </c:pt>
                <c:pt idx="3703">
                  <c:v>7.2</c:v>
                </c:pt>
                <c:pt idx="3704">
                  <c:v>7.8</c:v>
                </c:pt>
                <c:pt idx="3705">
                  <c:v>4.7</c:v>
                </c:pt>
                <c:pt idx="3706">
                  <c:v>6.7</c:v>
                </c:pt>
                <c:pt idx="3707">
                  <c:v>6.6</c:v>
                </c:pt>
                <c:pt idx="3708">
                  <c:v>6.9</c:v>
                </c:pt>
                <c:pt idx="3709">
                  <c:v>7.1</c:v>
                </c:pt>
                <c:pt idx="3710">
                  <c:v>6.7</c:v>
                </c:pt>
                <c:pt idx="3711">
                  <c:v>7.1</c:v>
                </c:pt>
                <c:pt idx="3712">
                  <c:v>7.6</c:v>
                </c:pt>
                <c:pt idx="3713">
                  <c:v>8.1</c:v>
                </c:pt>
                <c:pt idx="3714">
                  <c:v>5.5</c:v>
                </c:pt>
                <c:pt idx="3715">
                  <c:v>6.6</c:v>
                </c:pt>
                <c:pt idx="3716">
                  <c:v>4.8</c:v>
                </c:pt>
                <c:pt idx="3717">
                  <c:v>6.4</c:v>
                </c:pt>
                <c:pt idx="3718">
                  <c:v>7.3</c:v>
                </c:pt>
                <c:pt idx="3719">
                  <c:v>6.9</c:v>
                </c:pt>
                <c:pt idx="3720">
                  <c:v>7.2</c:v>
                </c:pt>
                <c:pt idx="3721">
                  <c:v>6.5</c:v>
                </c:pt>
                <c:pt idx="3722">
                  <c:v>6.6</c:v>
                </c:pt>
                <c:pt idx="3723">
                  <c:v>6.7</c:v>
                </c:pt>
                <c:pt idx="3724">
                  <c:v>7.3</c:v>
                </c:pt>
                <c:pt idx="3725">
                  <c:v>6.4</c:v>
                </c:pt>
                <c:pt idx="3726">
                  <c:v>7</c:v>
                </c:pt>
                <c:pt idx="3727">
                  <c:v>5.5</c:v>
                </c:pt>
                <c:pt idx="3728">
                  <c:v>6.7</c:v>
                </c:pt>
                <c:pt idx="3729">
                  <c:v>6.1</c:v>
                </c:pt>
                <c:pt idx="3730">
                  <c:v>3.9</c:v>
                </c:pt>
                <c:pt idx="3731">
                  <c:v>6.3</c:v>
                </c:pt>
                <c:pt idx="3732">
                  <c:v>7.5</c:v>
                </c:pt>
                <c:pt idx="3733">
                  <c:v>7</c:v>
                </c:pt>
                <c:pt idx="3734">
                  <c:v>6.7</c:v>
                </c:pt>
                <c:pt idx="3735">
                  <c:v>7.4</c:v>
                </c:pt>
                <c:pt idx="3736">
                  <c:v>8</c:v>
                </c:pt>
                <c:pt idx="3737">
                  <c:v>7.2</c:v>
                </c:pt>
                <c:pt idx="3738">
                  <c:v>6.4</c:v>
                </c:pt>
                <c:pt idx="3739">
                  <c:v>6.5</c:v>
                </c:pt>
                <c:pt idx="3740">
                  <c:v>6.9</c:v>
                </c:pt>
                <c:pt idx="3741">
                  <c:v>7.5</c:v>
                </c:pt>
                <c:pt idx="3742">
                  <c:v>7.7</c:v>
                </c:pt>
                <c:pt idx="3743">
                  <c:v>8.5</c:v>
                </c:pt>
                <c:pt idx="3744">
                  <c:v>7.7</c:v>
                </c:pt>
                <c:pt idx="3745">
                  <c:v>6.5</c:v>
                </c:pt>
                <c:pt idx="3746">
                  <c:v>7</c:v>
                </c:pt>
                <c:pt idx="3747">
                  <c:v>5.5</c:v>
                </c:pt>
                <c:pt idx="3748">
                  <c:v>6.3</c:v>
                </c:pt>
                <c:pt idx="3749">
                  <c:v>7.9</c:v>
                </c:pt>
                <c:pt idx="3750">
                  <c:v>7.3</c:v>
                </c:pt>
                <c:pt idx="3751">
                  <c:v>7.4</c:v>
                </c:pt>
                <c:pt idx="3752">
                  <c:v>7</c:v>
                </c:pt>
                <c:pt idx="3753">
                  <c:v>7.1</c:v>
                </c:pt>
                <c:pt idx="3754">
                  <c:v>7.5</c:v>
                </c:pt>
                <c:pt idx="3755">
                  <c:v>6.7</c:v>
                </c:pt>
                <c:pt idx="3756">
                  <c:v>6.7</c:v>
                </c:pt>
                <c:pt idx="3757">
                  <c:v>4.2</c:v>
                </c:pt>
                <c:pt idx="3758">
                  <c:v>7</c:v>
                </c:pt>
                <c:pt idx="3759">
                  <c:v>7</c:v>
                </c:pt>
                <c:pt idx="3760">
                  <c:v>6.8</c:v>
                </c:pt>
                <c:pt idx="3761">
                  <c:v>7.5</c:v>
                </c:pt>
                <c:pt idx="3762">
                  <c:v>5.3</c:v>
                </c:pt>
                <c:pt idx="3763">
                  <c:v>7.3</c:v>
                </c:pt>
                <c:pt idx="3764">
                  <c:v>5.6</c:v>
                </c:pt>
                <c:pt idx="3765">
                  <c:v>5.6</c:v>
                </c:pt>
                <c:pt idx="3766">
                  <c:v>6.6</c:v>
                </c:pt>
                <c:pt idx="3767">
                  <c:v>6.3</c:v>
                </c:pt>
                <c:pt idx="3768">
                  <c:v>7.5</c:v>
                </c:pt>
                <c:pt idx="3769">
                  <c:v>7.6</c:v>
                </c:pt>
                <c:pt idx="3770">
                  <c:v>4.0999999999999996</c:v>
                </c:pt>
                <c:pt idx="3771">
                  <c:v>7.8</c:v>
                </c:pt>
                <c:pt idx="3772">
                  <c:v>6.7</c:v>
                </c:pt>
                <c:pt idx="3773">
                  <c:v>7.3</c:v>
                </c:pt>
                <c:pt idx="3774">
                  <c:v>7.1</c:v>
                </c:pt>
                <c:pt idx="3775">
                  <c:v>6.6</c:v>
                </c:pt>
                <c:pt idx="3776">
                  <c:v>6.2</c:v>
                </c:pt>
                <c:pt idx="3777">
                  <c:v>6.1</c:v>
                </c:pt>
                <c:pt idx="3778">
                  <c:v>6.9</c:v>
                </c:pt>
                <c:pt idx="3779">
                  <c:v>7.5</c:v>
                </c:pt>
                <c:pt idx="3780">
                  <c:v>7.4</c:v>
                </c:pt>
                <c:pt idx="3781">
                  <c:v>7</c:v>
                </c:pt>
                <c:pt idx="3782">
                  <c:v>6.3</c:v>
                </c:pt>
                <c:pt idx="3783">
                  <c:v>6.9</c:v>
                </c:pt>
                <c:pt idx="3784">
                  <c:v>6.4</c:v>
                </c:pt>
                <c:pt idx="3785">
                  <c:v>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A8-492F-BEC5-E8A0BA5C2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92917"/>
        <c:axId val="1110002570"/>
      </c:scatterChart>
      <c:valAx>
        <c:axId val="13752929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0002570"/>
        <c:crosses val="autoZero"/>
        <c:crossBetween val="midCat"/>
      </c:valAx>
      <c:valAx>
        <c:axId val="1110002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529291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No_of_movies vs.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[1]Solution!$O$6</c:f>
              <c:strCache>
                <c:ptCount val="1"/>
                <c:pt idx="0">
                  <c:v>No_of_movies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00-4FC9-BF00-42A352E8A85F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00-4FC9-BF00-42A352E8A85F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000-4FC9-BF00-42A352E8A85F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000-4FC9-BF00-42A352E8A85F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000-4FC9-BF00-42A352E8A85F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000-4FC9-BF00-42A352E8A85F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00-4FC9-BF00-42A352E8A85F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000-4FC9-BF00-42A352E8A85F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000-4FC9-BF00-42A352E8A85F}"/>
              </c:ext>
            </c:extLst>
          </c:dPt>
          <c:dPt>
            <c:idx val="9"/>
            <c:invertIfNegative val="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000-4FC9-BF00-42A352E8A85F}"/>
              </c:ext>
            </c:extLst>
          </c:dPt>
          <c:dPt>
            <c:idx val="10"/>
            <c:invertIfNegative val="1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000-4FC9-BF00-42A352E8A85F}"/>
              </c:ext>
            </c:extLst>
          </c:dPt>
          <c:dPt>
            <c:idx val="11"/>
            <c:invertIfNegative val="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000-4FC9-BF00-42A352E8A85F}"/>
              </c:ext>
            </c:extLst>
          </c:dPt>
          <c:dPt>
            <c:idx val="12"/>
            <c:invertIfNegative val="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000-4FC9-BF00-42A352E8A85F}"/>
              </c:ext>
            </c:extLst>
          </c:dPt>
          <c:dPt>
            <c:idx val="13"/>
            <c:invertIfNegative val="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000-4FC9-BF00-42A352E8A85F}"/>
              </c:ext>
            </c:extLst>
          </c:dPt>
          <c:dPt>
            <c:idx val="14"/>
            <c:invertIfNegative val="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000-4FC9-BF00-42A352E8A85F}"/>
              </c:ext>
            </c:extLst>
          </c:dPt>
          <c:dPt>
            <c:idx val="15"/>
            <c:invertIfNegative val="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000-4FC9-BF00-42A352E8A85F}"/>
              </c:ext>
            </c:extLst>
          </c:dPt>
          <c:dPt>
            <c:idx val="16"/>
            <c:invertIfNegative val="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000-4FC9-BF00-42A352E8A85F}"/>
              </c:ext>
            </c:extLst>
          </c:dPt>
          <c:cat>
            <c:strRef>
              <c:f>[1]Solution!$N$7:$N$23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Drama</c:v>
                </c:pt>
                <c:pt idx="3">
                  <c:v>Animation</c:v>
                </c:pt>
                <c:pt idx="4">
                  <c:v>Comedy</c:v>
                </c:pt>
                <c:pt idx="5">
                  <c:v>Mystery</c:v>
                </c:pt>
                <c:pt idx="6">
                  <c:v>Crime</c:v>
                </c:pt>
                <c:pt idx="7">
                  <c:v>Biography</c:v>
                </c:pt>
                <c:pt idx="8">
                  <c:v>Fantasy</c:v>
                </c:pt>
                <c:pt idx="9">
                  <c:v>Documentary</c:v>
                </c:pt>
                <c:pt idx="10">
                  <c:v>Sci-Fi</c:v>
                </c:pt>
                <c:pt idx="11">
                  <c:v>Horror</c:v>
                </c:pt>
                <c:pt idx="12">
                  <c:v>Romance</c:v>
                </c:pt>
                <c:pt idx="13">
                  <c:v>Family</c:v>
                </c:pt>
                <c:pt idx="14">
                  <c:v>Western</c:v>
                </c:pt>
                <c:pt idx="15">
                  <c:v>Musical</c:v>
                </c:pt>
                <c:pt idx="16">
                  <c:v>Thriller</c:v>
                </c:pt>
              </c:strCache>
            </c:strRef>
          </c:cat>
          <c:val>
            <c:numRef>
              <c:f>[1]Solution!$O$7:$O$23</c:f>
              <c:numCache>
                <c:formatCode>General</c:formatCode>
                <c:ptCount val="17"/>
                <c:pt idx="0">
                  <c:v>935</c:v>
                </c:pt>
                <c:pt idx="1">
                  <c:v>766</c:v>
                </c:pt>
                <c:pt idx="2">
                  <c:v>1911</c:v>
                </c:pt>
                <c:pt idx="3">
                  <c:v>197</c:v>
                </c:pt>
                <c:pt idx="4">
                  <c:v>1492</c:v>
                </c:pt>
                <c:pt idx="5">
                  <c:v>377</c:v>
                </c:pt>
                <c:pt idx="6">
                  <c:v>702</c:v>
                </c:pt>
                <c:pt idx="7">
                  <c:v>242</c:v>
                </c:pt>
                <c:pt idx="8">
                  <c:v>496</c:v>
                </c:pt>
                <c:pt idx="9">
                  <c:v>67</c:v>
                </c:pt>
                <c:pt idx="10">
                  <c:v>484</c:v>
                </c:pt>
                <c:pt idx="11">
                  <c:v>379</c:v>
                </c:pt>
                <c:pt idx="12">
                  <c:v>866</c:v>
                </c:pt>
                <c:pt idx="13">
                  <c:v>441</c:v>
                </c:pt>
                <c:pt idx="14">
                  <c:v>58</c:v>
                </c:pt>
                <c:pt idx="15">
                  <c:v>102</c:v>
                </c:pt>
                <c:pt idx="16">
                  <c:v>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000-4FC9-BF00-42A352E8A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246011"/>
        <c:axId val="1252790483"/>
      </c:barChart>
      <c:catAx>
        <c:axId val="14452460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90483"/>
        <c:crosses val="autoZero"/>
        <c:auto val="1"/>
        <c:lblAlgn val="ctr"/>
        <c:lblOffset val="100"/>
        <c:noMultiLvlLbl val="1"/>
      </c:catAx>
      <c:valAx>
        <c:axId val="12527904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No_of_movies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460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[1]Solution!$T$60</c:f>
              <c:strCache>
                <c:ptCount val="1"/>
                <c:pt idx="0">
                  <c:v>Profits in Millions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[1]Solution!$S$61:$S$71</c:f>
              <c:strCache>
                <c:ptCount val="10"/>
                <c:pt idx="0">
                  <c:v>AvatarÂ</c:v>
                </c:pt>
                <c:pt idx="1">
                  <c:v>Jurassic WorldÂ</c:v>
                </c:pt>
                <c:pt idx="2">
                  <c:v>TitanicÂ</c:v>
                </c:pt>
                <c:pt idx="3">
                  <c:v>Star Wars: Episode IV - A New HopeÂ</c:v>
                </c:pt>
                <c:pt idx="4">
                  <c:v>E.T. the Extra-TerrestrialÂ</c:v>
                </c:pt>
                <c:pt idx="5">
                  <c:v>The Lion KingÂ</c:v>
                </c:pt>
                <c:pt idx="6">
                  <c:v>The Jungle BookÂ</c:v>
                </c:pt>
                <c:pt idx="7">
                  <c:v>Star Wars: Episode I - The Phantom MenaceÂ</c:v>
                </c:pt>
                <c:pt idx="8">
                  <c:v>The Dark KnightÂ</c:v>
                </c:pt>
                <c:pt idx="9">
                  <c:v>The Twilight Saga: Breaking Dawn - Part 2Â</c:v>
                </c:pt>
              </c:strCache>
            </c:strRef>
          </c:cat>
          <c:val>
            <c:numRef>
              <c:f>[1]Solution!$T$61:$T$71</c:f>
              <c:numCache>
                <c:formatCode>General</c:formatCode>
                <c:ptCount val="11"/>
                <c:pt idx="0">
                  <c:v>523505847</c:v>
                </c:pt>
                <c:pt idx="1">
                  <c:v>502177271</c:v>
                </c:pt>
                <c:pt idx="2">
                  <c:v>458672302</c:v>
                </c:pt>
                <c:pt idx="3">
                  <c:v>449935665</c:v>
                </c:pt>
                <c:pt idx="4">
                  <c:v>424449459</c:v>
                </c:pt>
                <c:pt idx="5">
                  <c:v>377783777</c:v>
                </c:pt>
                <c:pt idx="6">
                  <c:v>375290282</c:v>
                </c:pt>
                <c:pt idx="7">
                  <c:v>359544677</c:v>
                </c:pt>
                <c:pt idx="8">
                  <c:v>348316061</c:v>
                </c:pt>
                <c:pt idx="9">
                  <c:v>344597846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F39-40C9-A957-DB50A1438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925114"/>
        <c:axId val="532488617"/>
      </c:barChart>
      <c:catAx>
        <c:axId val="2098925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2488617"/>
        <c:crosses val="autoZero"/>
        <c:auto val="1"/>
        <c:lblAlgn val="ctr"/>
        <c:lblOffset val="100"/>
        <c:noMultiLvlLbl val="1"/>
      </c:catAx>
      <c:valAx>
        <c:axId val="532488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&quot;$&quot;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89251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IN" b="1">
                <a:solidFill>
                  <a:srgbClr val="757575"/>
                </a:solidFill>
                <a:latin typeface="+mn-lt"/>
              </a:rPr>
              <a:t>MOVIE GENRE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[1]Solution!$P$6</c:f>
              <c:strCache>
                <c:ptCount val="1"/>
                <c:pt idx="0">
                  <c:v>Mean_imdb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[1]Solution!$N$7:$N$23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Drama</c:v>
                </c:pt>
                <c:pt idx="3">
                  <c:v>Animation</c:v>
                </c:pt>
                <c:pt idx="4">
                  <c:v>Comedy</c:v>
                </c:pt>
                <c:pt idx="5">
                  <c:v>Mystery</c:v>
                </c:pt>
                <c:pt idx="6">
                  <c:v>Crime</c:v>
                </c:pt>
                <c:pt idx="7">
                  <c:v>Biography</c:v>
                </c:pt>
                <c:pt idx="8">
                  <c:v>Fantasy</c:v>
                </c:pt>
                <c:pt idx="9">
                  <c:v>Documentary</c:v>
                </c:pt>
                <c:pt idx="10">
                  <c:v>Sci-Fi</c:v>
                </c:pt>
                <c:pt idx="11">
                  <c:v>Horror</c:v>
                </c:pt>
                <c:pt idx="12">
                  <c:v>Romance</c:v>
                </c:pt>
                <c:pt idx="13">
                  <c:v>Family</c:v>
                </c:pt>
                <c:pt idx="14">
                  <c:v>Western</c:v>
                </c:pt>
                <c:pt idx="15">
                  <c:v>Musical</c:v>
                </c:pt>
                <c:pt idx="16">
                  <c:v>Thriller</c:v>
                </c:pt>
              </c:strCache>
            </c:strRef>
          </c:cat>
          <c:val>
            <c:numRef>
              <c:f>[1]Solution!$P$7:$P$23</c:f>
              <c:numCache>
                <c:formatCode>General</c:formatCode>
                <c:ptCount val="17"/>
                <c:pt idx="0">
                  <c:v>6.2859893048128423</c:v>
                </c:pt>
                <c:pt idx="1">
                  <c:v>6.4549608355091435</c:v>
                </c:pt>
                <c:pt idx="2">
                  <c:v>6.7891156462585176</c:v>
                </c:pt>
                <c:pt idx="3">
                  <c:v>6.7005076142131994</c:v>
                </c:pt>
                <c:pt idx="4">
                  <c:v>6.1833109919571152</c:v>
                </c:pt>
                <c:pt idx="5">
                  <c:v>6.469496021220154</c:v>
                </c:pt>
                <c:pt idx="6">
                  <c:v>6.5481481481481483</c:v>
                </c:pt>
                <c:pt idx="7">
                  <c:v>7.1400826446280972</c:v>
                </c:pt>
                <c:pt idx="8">
                  <c:v>6.2850806451612904</c:v>
                </c:pt>
                <c:pt idx="9">
                  <c:v>7.0119402985074641</c:v>
                </c:pt>
                <c:pt idx="10">
                  <c:v>6.3272727272727227</c:v>
                </c:pt>
                <c:pt idx="11">
                  <c:v>5.9039577836411574</c:v>
                </c:pt>
                <c:pt idx="12">
                  <c:v>6.4262124711316391</c:v>
                </c:pt>
                <c:pt idx="13">
                  <c:v>6.2000000000000037</c:v>
                </c:pt>
                <c:pt idx="14">
                  <c:v>6.7655172413793121</c:v>
                </c:pt>
                <c:pt idx="15">
                  <c:v>6.5509803921568643</c:v>
                </c:pt>
                <c:pt idx="16">
                  <c:v>6.3723091076357079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E-47F0-992D-119E16E101C2}"/>
            </c:ext>
          </c:extLst>
        </c:ser>
        <c:ser>
          <c:idx val="1"/>
          <c:order val="1"/>
          <c:tx>
            <c:strRef>
              <c:f>[1]Solution!$Q$6</c:f>
              <c:strCache>
                <c:ptCount val="1"/>
                <c:pt idx="0">
                  <c:v>Median_imdb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[1]Solution!$N$7:$N$23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Drama</c:v>
                </c:pt>
                <c:pt idx="3">
                  <c:v>Animation</c:v>
                </c:pt>
                <c:pt idx="4">
                  <c:v>Comedy</c:v>
                </c:pt>
                <c:pt idx="5">
                  <c:v>Mystery</c:v>
                </c:pt>
                <c:pt idx="6">
                  <c:v>Crime</c:v>
                </c:pt>
                <c:pt idx="7">
                  <c:v>Biography</c:v>
                </c:pt>
                <c:pt idx="8">
                  <c:v>Fantasy</c:v>
                </c:pt>
                <c:pt idx="9">
                  <c:v>Documentary</c:v>
                </c:pt>
                <c:pt idx="10">
                  <c:v>Sci-Fi</c:v>
                </c:pt>
                <c:pt idx="11">
                  <c:v>Horror</c:v>
                </c:pt>
                <c:pt idx="12">
                  <c:v>Romance</c:v>
                </c:pt>
                <c:pt idx="13">
                  <c:v>Family</c:v>
                </c:pt>
                <c:pt idx="14">
                  <c:v>Western</c:v>
                </c:pt>
                <c:pt idx="15">
                  <c:v>Musical</c:v>
                </c:pt>
                <c:pt idx="16">
                  <c:v>Thriller</c:v>
                </c:pt>
              </c:strCache>
            </c:strRef>
          </c:cat>
          <c:val>
            <c:numRef>
              <c:f>[1]Solution!$Q$7:$Q$23</c:f>
              <c:numCache>
                <c:formatCode>General</c:formatCode>
                <c:ptCount val="17"/>
                <c:pt idx="0">
                  <c:v>6.6</c:v>
                </c:pt>
                <c:pt idx="1">
                  <c:v>6.6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E-47F0-992D-119E16E101C2}"/>
            </c:ext>
          </c:extLst>
        </c:ser>
        <c:ser>
          <c:idx val="2"/>
          <c:order val="2"/>
          <c:tx>
            <c:strRef>
              <c:f>[1]Solution!$R$6</c:f>
              <c:strCache>
                <c:ptCount val="1"/>
                <c:pt idx="0">
                  <c:v>Mode_imdb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[1]Solution!$N$7:$N$23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Drama</c:v>
                </c:pt>
                <c:pt idx="3">
                  <c:v>Animation</c:v>
                </c:pt>
                <c:pt idx="4">
                  <c:v>Comedy</c:v>
                </c:pt>
                <c:pt idx="5">
                  <c:v>Mystery</c:v>
                </c:pt>
                <c:pt idx="6">
                  <c:v>Crime</c:v>
                </c:pt>
                <c:pt idx="7">
                  <c:v>Biography</c:v>
                </c:pt>
                <c:pt idx="8">
                  <c:v>Fantasy</c:v>
                </c:pt>
                <c:pt idx="9">
                  <c:v>Documentary</c:v>
                </c:pt>
                <c:pt idx="10">
                  <c:v>Sci-Fi</c:v>
                </c:pt>
                <c:pt idx="11">
                  <c:v>Horror</c:v>
                </c:pt>
                <c:pt idx="12">
                  <c:v>Romance</c:v>
                </c:pt>
                <c:pt idx="13">
                  <c:v>Family</c:v>
                </c:pt>
                <c:pt idx="14">
                  <c:v>Western</c:v>
                </c:pt>
                <c:pt idx="15">
                  <c:v>Musical</c:v>
                </c:pt>
                <c:pt idx="16">
                  <c:v>Thriller</c:v>
                </c:pt>
              </c:strCache>
            </c:strRef>
          </c:cat>
          <c:val>
            <c:numRef>
              <c:f>[1]Solution!$R$7:$R$23</c:f>
              <c:numCache>
                <c:formatCode>General</c:formatCode>
                <c:ptCount val="17"/>
                <c:pt idx="0">
                  <c:v>6.7</c:v>
                </c:pt>
                <c:pt idx="1">
                  <c:v>6.7</c:v>
                </c:pt>
                <c:pt idx="2">
                  <c:v>6.7</c:v>
                </c:pt>
                <c:pt idx="3">
                  <c:v>7.3</c:v>
                </c:pt>
                <c:pt idx="4">
                  <c:v>6.3</c:v>
                </c:pt>
                <c:pt idx="5">
                  <c:v>6.6</c:v>
                </c:pt>
                <c:pt idx="6">
                  <c:v>6.6</c:v>
                </c:pt>
                <c:pt idx="7">
                  <c:v>7</c:v>
                </c:pt>
                <c:pt idx="8">
                  <c:v>6.7</c:v>
                </c:pt>
                <c:pt idx="9">
                  <c:v>6.6</c:v>
                </c:pt>
                <c:pt idx="10">
                  <c:v>7</c:v>
                </c:pt>
                <c:pt idx="11">
                  <c:v>6.2</c:v>
                </c:pt>
                <c:pt idx="12">
                  <c:v>6.5</c:v>
                </c:pt>
                <c:pt idx="13">
                  <c:v>5.4</c:v>
                </c:pt>
                <c:pt idx="14">
                  <c:v>6.8</c:v>
                </c:pt>
                <c:pt idx="15">
                  <c:v>7.1</c:v>
                </c:pt>
                <c:pt idx="16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8E-47F0-992D-119E16E101C2}"/>
            </c:ext>
          </c:extLst>
        </c:ser>
        <c:ser>
          <c:idx val="3"/>
          <c:order val="3"/>
          <c:tx>
            <c:strRef>
              <c:f>[1]Solution!$S$6</c:f>
              <c:strCache>
                <c:ptCount val="1"/>
                <c:pt idx="0">
                  <c:v>Max_imdb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[1]Solution!$N$7:$N$23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Drama</c:v>
                </c:pt>
                <c:pt idx="3">
                  <c:v>Animation</c:v>
                </c:pt>
                <c:pt idx="4">
                  <c:v>Comedy</c:v>
                </c:pt>
                <c:pt idx="5">
                  <c:v>Mystery</c:v>
                </c:pt>
                <c:pt idx="6">
                  <c:v>Crime</c:v>
                </c:pt>
                <c:pt idx="7">
                  <c:v>Biography</c:v>
                </c:pt>
                <c:pt idx="8">
                  <c:v>Fantasy</c:v>
                </c:pt>
                <c:pt idx="9">
                  <c:v>Documentary</c:v>
                </c:pt>
                <c:pt idx="10">
                  <c:v>Sci-Fi</c:v>
                </c:pt>
                <c:pt idx="11">
                  <c:v>Horror</c:v>
                </c:pt>
                <c:pt idx="12">
                  <c:v>Romance</c:v>
                </c:pt>
                <c:pt idx="13">
                  <c:v>Family</c:v>
                </c:pt>
                <c:pt idx="14">
                  <c:v>Western</c:v>
                </c:pt>
                <c:pt idx="15">
                  <c:v>Musical</c:v>
                </c:pt>
                <c:pt idx="16">
                  <c:v>Thriller</c:v>
                </c:pt>
              </c:strCache>
            </c:strRef>
          </c:cat>
          <c:val>
            <c:numRef>
              <c:f>[1]Solution!$S$7:$S$23</c:f>
              <c:numCache>
                <c:formatCode>General</c:formatCode>
                <c:ptCount val="17"/>
                <c:pt idx="0">
                  <c:v>9</c:v>
                </c:pt>
                <c:pt idx="1">
                  <c:v>8.9</c:v>
                </c:pt>
                <c:pt idx="2">
                  <c:v>9.3000000000000007</c:v>
                </c:pt>
                <c:pt idx="3">
                  <c:v>8.6</c:v>
                </c:pt>
                <c:pt idx="4">
                  <c:v>8.8000000000000007</c:v>
                </c:pt>
                <c:pt idx="5">
                  <c:v>8.6</c:v>
                </c:pt>
                <c:pt idx="6">
                  <c:v>9.3000000000000007</c:v>
                </c:pt>
                <c:pt idx="7">
                  <c:v>8.9</c:v>
                </c:pt>
                <c:pt idx="8">
                  <c:v>8.9</c:v>
                </c:pt>
                <c:pt idx="9">
                  <c:v>8.5</c:v>
                </c:pt>
                <c:pt idx="10">
                  <c:v>8.8000000000000007</c:v>
                </c:pt>
                <c:pt idx="11">
                  <c:v>8.6</c:v>
                </c:pt>
                <c:pt idx="12">
                  <c:v>8.5</c:v>
                </c:pt>
                <c:pt idx="13">
                  <c:v>8.6</c:v>
                </c:pt>
                <c:pt idx="14">
                  <c:v>8.9</c:v>
                </c:pt>
                <c:pt idx="15">
                  <c:v>8.5</c:v>
                </c:pt>
                <c:pt idx="1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8E-47F0-992D-119E16E101C2}"/>
            </c:ext>
          </c:extLst>
        </c:ser>
        <c:ser>
          <c:idx val="4"/>
          <c:order val="4"/>
          <c:tx>
            <c:strRef>
              <c:f>[1]Solution!$T$6</c:f>
              <c:strCache>
                <c:ptCount val="1"/>
                <c:pt idx="0">
                  <c:v>Min_imdb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[1]Solution!$N$7:$N$23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Drama</c:v>
                </c:pt>
                <c:pt idx="3">
                  <c:v>Animation</c:v>
                </c:pt>
                <c:pt idx="4">
                  <c:v>Comedy</c:v>
                </c:pt>
                <c:pt idx="5">
                  <c:v>Mystery</c:v>
                </c:pt>
                <c:pt idx="6">
                  <c:v>Crime</c:v>
                </c:pt>
                <c:pt idx="7">
                  <c:v>Biography</c:v>
                </c:pt>
                <c:pt idx="8">
                  <c:v>Fantasy</c:v>
                </c:pt>
                <c:pt idx="9">
                  <c:v>Documentary</c:v>
                </c:pt>
                <c:pt idx="10">
                  <c:v>Sci-Fi</c:v>
                </c:pt>
                <c:pt idx="11">
                  <c:v>Horror</c:v>
                </c:pt>
                <c:pt idx="12">
                  <c:v>Romance</c:v>
                </c:pt>
                <c:pt idx="13">
                  <c:v>Family</c:v>
                </c:pt>
                <c:pt idx="14">
                  <c:v>Western</c:v>
                </c:pt>
                <c:pt idx="15">
                  <c:v>Musical</c:v>
                </c:pt>
                <c:pt idx="16">
                  <c:v>Thriller</c:v>
                </c:pt>
              </c:strCache>
            </c:strRef>
          </c:cat>
          <c:val>
            <c:numRef>
              <c:f>[1]Solution!$T$7:$T$23</c:f>
              <c:numCache>
                <c:formatCode>General</c:formatCode>
                <c:ptCount val="17"/>
                <c:pt idx="0">
                  <c:v>2.1</c:v>
                </c:pt>
                <c:pt idx="1">
                  <c:v>2.2999999999999998</c:v>
                </c:pt>
                <c:pt idx="2">
                  <c:v>2.1</c:v>
                </c:pt>
                <c:pt idx="3">
                  <c:v>2.8</c:v>
                </c:pt>
                <c:pt idx="4">
                  <c:v>1.9</c:v>
                </c:pt>
                <c:pt idx="5">
                  <c:v>3.1</c:v>
                </c:pt>
                <c:pt idx="6">
                  <c:v>2.4</c:v>
                </c:pt>
                <c:pt idx="7">
                  <c:v>4.5</c:v>
                </c:pt>
                <c:pt idx="8">
                  <c:v>2.2000000000000002</c:v>
                </c:pt>
                <c:pt idx="9">
                  <c:v>1.6</c:v>
                </c:pt>
                <c:pt idx="10">
                  <c:v>1.9</c:v>
                </c:pt>
                <c:pt idx="11">
                  <c:v>2.2999999999999998</c:v>
                </c:pt>
                <c:pt idx="12">
                  <c:v>2.1</c:v>
                </c:pt>
                <c:pt idx="13">
                  <c:v>1.9</c:v>
                </c:pt>
                <c:pt idx="14">
                  <c:v>4.0999999999999996</c:v>
                </c:pt>
                <c:pt idx="15">
                  <c:v>2.1</c:v>
                </c:pt>
                <c:pt idx="16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8E-47F0-992D-119E16E101C2}"/>
            </c:ext>
          </c:extLst>
        </c:ser>
        <c:ser>
          <c:idx val="5"/>
          <c:order val="5"/>
          <c:tx>
            <c:strRef>
              <c:f>[1]Solution!$U$6</c:f>
              <c:strCache>
                <c:ptCount val="1"/>
                <c:pt idx="0">
                  <c:v>StdDev_imdb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[1]Solution!$N$7:$N$23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Drama</c:v>
                </c:pt>
                <c:pt idx="3">
                  <c:v>Animation</c:v>
                </c:pt>
                <c:pt idx="4">
                  <c:v>Comedy</c:v>
                </c:pt>
                <c:pt idx="5">
                  <c:v>Mystery</c:v>
                </c:pt>
                <c:pt idx="6">
                  <c:v>Crime</c:v>
                </c:pt>
                <c:pt idx="7">
                  <c:v>Biography</c:v>
                </c:pt>
                <c:pt idx="8">
                  <c:v>Fantasy</c:v>
                </c:pt>
                <c:pt idx="9">
                  <c:v>Documentary</c:v>
                </c:pt>
                <c:pt idx="10">
                  <c:v>Sci-Fi</c:v>
                </c:pt>
                <c:pt idx="11">
                  <c:v>Horror</c:v>
                </c:pt>
                <c:pt idx="12">
                  <c:v>Romance</c:v>
                </c:pt>
                <c:pt idx="13">
                  <c:v>Family</c:v>
                </c:pt>
                <c:pt idx="14">
                  <c:v>Western</c:v>
                </c:pt>
                <c:pt idx="15">
                  <c:v>Musical</c:v>
                </c:pt>
                <c:pt idx="16">
                  <c:v>Thriller</c:v>
                </c:pt>
              </c:strCache>
            </c:strRef>
          </c:cat>
          <c:val>
            <c:numRef>
              <c:f>[1]Solution!$U$7:$U$23</c:f>
              <c:numCache>
                <c:formatCode>General</c:formatCode>
                <c:ptCount val="17"/>
                <c:pt idx="0">
                  <c:v>1.0575084196801947</c:v>
                </c:pt>
                <c:pt idx="1">
                  <c:v>1.1169263080208442</c:v>
                </c:pt>
                <c:pt idx="2">
                  <c:v>0.8910648977844785</c:v>
                </c:pt>
                <c:pt idx="3">
                  <c:v>0.99362752547446065</c:v>
                </c:pt>
                <c:pt idx="4">
                  <c:v>1.039919012124018</c:v>
                </c:pt>
                <c:pt idx="5">
                  <c:v>1.0073918349677511</c:v>
                </c:pt>
                <c:pt idx="6">
                  <c:v>0.98410519875407976</c:v>
                </c:pt>
                <c:pt idx="7">
                  <c:v>0.7100967099908756</c:v>
                </c:pt>
                <c:pt idx="8">
                  <c:v>1.1404142405055562</c:v>
                </c:pt>
                <c:pt idx="9">
                  <c:v>1.1999396939467326</c:v>
                </c:pt>
                <c:pt idx="10">
                  <c:v>1.1671841502435489</c:v>
                </c:pt>
                <c:pt idx="11">
                  <c:v>0.99102328512111548</c:v>
                </c:pt>
                <c:pt idx="12">
                  <c:v>0.96899624897434178</c:v>
                </c:pt>
                <c:pt idx="13">
                  <c:v>1.1695764579150019</c:v>
                </c:pt>
                <c:pt idx="14">
                  <c:v>0.99851674631923981</c:v>
                </c:pt>
                <c:pt idx="15">
                  <c:v>1.1435350001820657</c:v>
                </c:pt>
                <c:pt idx="16">
                  <c:v>0.96907832659447168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8E-47F0-992D-119E16E101C2}"/>
            </c:ext>
          </c:extLst>
        </c:ser>
        <c:ser>
          <c:idx val="6"/>
          <c:order val="6"/>
          <c:tx>
            <c:strRef>
              <c:f>[1]Solution!$V$6</c:f>
              <c:strCache>
                <c:ptCount val="1"/>
                <c:pt idx="0">
                  <c:v>Var_imdb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[1]Solution!$N$7:$N$23</c:f>
              <c:strCache>
                <c:ptCount val="17"/>
                <c:pt idx="0">
                  <c:v>Action</c:v>
                </c:pt>
                <c:pt idx="1">
                  <c:v>Adventure</c:v>
                </c:pt>
                <c:pt idx="2">
                  <c:v>Drama</c:v>
                </c:pt>
                <c:pt idx="3">
                  <c:v>Animation</c:v>
                </c:pt>
                <c:pt idx="4">
                  <c:v>Comedy</c:v>
                </c:pt>
                <c:pt idx="5">
                  <c:v>Mystery</c:v>
                </c:pt>
                <c:pt idx="6">
                  <c:v>Crime</c:v>
                </c:pt>
                <c:pt idx="7">
                  <c:v>Biography</c:v>
                </c:pt>
                <c:pt idx="8">
                  <c:v>Fantasy</c:v>
                </c:pt>
                <c:pt idx="9">
                  <c:v>Documentary</c:v>
                </c:pt>
                <c:pt idx="10">
                  <c:v>Sci-Fi</c:v>
                </c:pt>
                <c:pt idx="11">
                  <c:v>Horror</c:v>
                </c:pt>
                <c:pt idx="12">
                  <c:v>Romance</c:v>
                </c:pt>
                <c:pt idx="13">
                  <c:v>Family</c:v>
                </c:pt>
                <c:pt idx="14">
                  <c:v>Western</c:v>
                </c:pt>
                <c:pt idx="15">
                  <c:v>Musical</c:v>
                </c:pt>
                <c:pt idx="16">
                  <c:v>Thriller</c:v>
                </c:pt>
              </c:strCache>
            </c:strRef>
          </c:cat>
          <c:val>
            <c:numRef>
              <c:f>[1]Solution!$V$7:$V$23</c:f>
              <c:numCache>
                <c:formatCode>General</c:formatCode>
                <c:ptCount val="17"/>
                <c:pt idx="0">
                  <c:v>1.1183240576945026</c:v>
                </c:pt>
                <c:pt idx="1">
                  <c:v>1.1183240576945026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1.1183240576945026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8E-47F0-992D-119E16E10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694092"/>
        <c:axId val="649120739"/>
      </c:lineChart>
      <c:catAx>
        <c:axId val="524694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9120739"/>
        <c:crosses val="autoZero"/>
        <c:auto val="1"/>
        <c:lblAlgn val="ctr"/>
        <c:lblOffset val="100"/>
        <c:noMultiLvlLbl val="1"/>
      </c:catAx>
      <c:valAx>
        <c:axId val="649120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46940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24</xdr:row>
      <xdr:rowOff>0</xdr:rowOff>
    </xdr:from>
    <xdr:ext cx="7071360" cy="40386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5136023E-7566-4A9F-BA63-FABD67140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7010400" cy="36322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55BD91FC-C477-4144-9D72-29D043452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0</xdr:colOff>
      <xdr:row>0</xdr:row>
      <xdr:rowOff>0</xdr:rowOff>
    </xdr:from>
    <xdr:ext cx="5791200" cy="291084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DB6EA5A9-68C7-4FC4-A689-15B105AF8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14</xdr:col>
      <xdr:colOff>0</xdr:colOff>
      <xdr:row>19</xdr:row>
      <xdr:rowOff>0</xdr:rowOff>
    </xdr:from>
    <xdr:ext cx="5791199" cy="353568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64ED50B8-C0C9-41CD-B903-D11C43259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set/IMDB/Solu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ution"/>
    </sheetNames>
    <sheetDataSet>
      <sheetData sheetId="0">
        <row r="1">
          <cell r="I1" t="str">
            <v>imdb_score</v>
          </cell>
        </row>
        <row r="2">
          <cell r="B2">
            <v>178</v>
          </cell>
          <cell r="I2">
            <v>7.9</v>
          </cell>
        </row>
        <row r="3">
          <cell r="B3">
            <v>169</v>
          </cell>
          <cell r="I3">
            <v>7.1</v>
          </cell>
        </row>
        <row r="4">
          <cell r="B4">
            <v>148</v>
          </cell>
          <cell r="I4">
            <v>6.8</v>
          </cell>
        </row>
        <row r="5">
          <cell r="B5">
            <v>164</v>
          </cell>
          <cell r="I5">
            <v>8.5</v>
          </cell>
        </row>
        <row r="6">
          <cell r="B6">
            <v>132</v>
          </cell>
          <cell r="I6">
            <v>6.6</v>
          </cell>
          <cell r="O6" t="str">
            <v>No_of_movies</v>
          </cell>
          <cell r="P6" t="str">
            <v>Mean_imdb</v>
          </cell>
          <cell r="Q6" t="str">
            <v>Median_imdb</v>
          </cell>
          <cell r="R6" t="str">
            <v>Mode_imdb</v>
          </cell>
          <cell r="S6" t="str">
            <v>Max_imdb</v>
          </cell>
          <cell r="T6" t="str">
            <v>Min_imdb</v>
          </cell>
          <cell r="U6" t="str">
            <v>StdDev_imdb</v>
          </cell>
          <cell r="V6" t="str">
            <v>Var_imdb</v>
          </cell>
        </row>
        <row r="7">
          <cell r="B7">
            <v>156</v>
          </cell>
          <cell r="I7">
            <v>6.2</v>
          </cell>
          <cell r="N7" t="str">
            <v>Action</v>
          </cell>
          <cell r="O7">
            <v>935</v>
          </cell>
          <cell r="P7">
            <v>6.2859893048128423</v>
          </cell>
          <cell r="Q7">
            <v>6.6</v>
          </cell>
          <cell r="R7">
            <v>6.7</v>
          </cell>
          <cell r="S7">
            <v>9</v>
          </cell>
          <cell r="T7">
            <v>2.1</v>
          </cell>
          <cell r="U7">
            <v>1.0575084196801947</v>
          </cell>
          <cell r="V7">
            <v>1.1183240576945026</v>
          </cell>
        </row>
        <row r="8">
          <cell r="B8">
            <v>100</v>
          </cell>
          <cell r="I8">
            <v>7.8</v>
          </cell>
          <cell r="N8" t="str">
            <v>Adventure</v>
          </cell>
          <cell r="O8">
            <v>766</v>
          </cell>
          <cell r="P8">
            <v>6.4549608355091435</v>
          </cell>
          <cell r="Q8">
            <v>6.6</v>
          </cell>
          <cell r="R8">
            <v>6.7</v>
          </cell>
          <cell r="S8">
            <v>8.9</v>
          </cell>
          <cell r="T8">
            <v>2.2999999999999998</v>
          </cell>
          <cell r="U8">
            <v>1.1169263080208442</v>
          </cell>
          <cell r="V8">
            <v>1.1183240576945026</v>
          </cell>
        </row>
        <row r="9">
          <cell r="B9">
            <v>141</v>
          </cell>
          <cell r="I9">
            <v>7.5</v>
          </cell>
          <cell r="N9" t="str">
            <v>Drama</v>
          </cell>
          <cell r="O9">
            <v>1911</v>
          </cell>
          <cell r="P9">
            <v>6.7891156462585176</v>
          </cell>
          <cell r="Q9">
            <v>0</v>
          </cell>
          <cell r="R9">
            <v>6.7</v>
          </cell>
          <cell r="S9">
            <v>9.3000000000000007</v>
          </cell>
          <cell r="T9">
            <v>2.1</v>
          </cell>
          <cell r="U9">
            <v>0.8910648977844785</v>
          </cell>
          <cell r="V9" t="e">
            <v>#DIV/0!</v>
          </cell>
        </row>
        <row r="10">
          <cell r="B10">
            <v>153</v>
          </cell>
          <cell r="I10">
            <v>7.5</v>
          </cell>
          <cell r="N10" t="str">
            <v>Animation</v>
          </cell>
          <cell r="O10">
            <v>197</v>
          </cell>
          <cell r="P10">
            <v>6.7005076142131994</v>
          </cell>
          <cell r="Q10">
            <v>0</v>
          </cell>
          <cell r="R10">
            <v>7.3</v>
          </cell>
          <cell r="S10">
            <v>8.6</v>
          </cell>
          <cell r="T10">
            <v>2.8</v>
          </cell>
          <cell r="U10">
            <v>0.99362752547446065</v>
          </cell>
          <cell r="V10" t="e">
            <v>#DIV/0!</v>
          </cell>
        </row>
        <row r="11">
          <cell r="B11">
            <v>183</v>
          </cell>
          <cell r="I11">
            <v>6.9</v>
          </cell>
          <cell r="N11" t="str">
            <v>Comedy</v>
          </cell>
          <cell r="O11">
            <v>1492</v>
          </cell>
          <cell r="P11">
            <v>6.1833109919571152</v>
          </cell>
          <cell r="Q11">
            <v>0</v>
          </cell>
          <cell r="R11">
            <v>6.3</v>
          </cell>
          <cell r="S11">
            <v>8.8000000000000007</v>
          </cell>
          <cell r="T11">
            <v>1.9</v>
          </cell>
          <cell r="U11">
            <v>1.039919012124018</v>
          </cell>
          <cell r="V11" t="e">
            <v>#DIV/0!</v>
          </cell>
        </row>
        <row r="12">
          <cell r="B12">
            <v>169</v>
          </cell>
          <cell r="I12">
            <v>6.1</v>
          </cell>
          <cell r="N12" t="str">
            <v>Mystery</v>
          </cell>
          <cell r="O12">
            <v>377</v>
          </cell>
          <cell r="P12">
            <v>6.469496021220154</v>
          </cell>
          <cell r="Q12">
            <v>0</v>
          </cell>
          <cell r="R12">
            <v>6.6</v>
          </cell>
          <cell r="S12">
            <v>8.6</v>
          </cell>
          <cell r="T12">
            <v>3.1</v>
          </cell>
          <cell r="U12">
            <v>1.0073918349677511</v>
          </cell>
          <cell r="V12" t="e">
            <v>#DIV/0!</v>
          </cell>
        </row>
        <row r="13">
          <cell r="B13">
            <v>106</v>
          </cell>
          <cell r="I13">
            <v>6.7</v>
          </cell>
          <cell r="N13" t="str">
            <v>Crime</v>
          </cell>
          <cell r="O13">
            <v>702</v>
          </cell>
          <cell r="P13">
            <v>6.5481481481481483</v>
          </cell>
          <cell r="Q13">
            <v>0</v>
          </cell>
          <cell r="R13">
            <v>6.6</v>
          </cell>
          <cell r="S13">
            <v>9.3000000000000007</v>
          </cell>
          <cell r="T13">
            <v>2.4</v>
          </cell>
          <cell r="U13">
            <v>0.98410519875407976</v>
          </cell>
          <cell r="V13" t="e">
            <v>#DIV/0!</v>
          </cell>
        </row>
        <row r="14">
          <cell r="B14">
            <v>151</v>
          </cell>
          <cell r="I14">
            <v>7.3</v>
          </cell>
          <cell r="N14" t="str">
            <v>Biography</v>
          </cell>
          <cell r="O14">
            <v>242</v>
          </cell>
          <cell r="P14">
            <v>7.1400826446280972</v>
          </cell>
          <cell r="Q14">
            <v>0</v>
          </cell>
          <cell r="R14">
            <v>7</v>
          </cell>
          <cell r="S14">
            <v>8.9</v>
          </cell>
          <cell r="T14">
            <v>4.5</v>
          </cell>
          <cell r="U14">
            <v>0.7100967099908756</v>
          </cell>
          <cell r="V14" t="e">
            <v>#DIV/0!</v>
          </cell>
        </row>
        <row r="15">
          <cell r="B15">
            <v>150</v>
          </cell>
          <cell r="I15">
            <v>6.5</v>
          </cell>
          <cell r="N15" t="str">
            <v>Fantasy</v>
          </cell>
          <cell r="O15">
            <v>496</v>
          </cell>
          <cell r="P15">
            <v>6.2850806451612904</v>
          </cell>
          <cell r="Q15">
            <v>0</v>
          </cell>
          <cell r="R15">
            <v>6.7</v>
          </cell>
          <cell r="S15">
            <v>8.9</v>
          </cell>
          <cell r="T15">
            <v>2.2000000000000002</v>
          </cell>
          <cell r="U15">
            <v>1.1404142405055562</v>
          </cell>
          <cell r="V15" t="e">
            <v>#DIV/0!</v>
          </cell>
        </row>
        <row r="16">
          <cell r="B16">
            <v>143</v>
          </cell>
          <cell r="I16">
            <v>7.2</v>
          </cell>
          <cell r="N16" t="str">
            <v>Documentary</v>
          </cell>
          <cell r="O16">
            <v>67</v>
          </cell>
          <cell r="P16">
            <v>7.0119402985074641</v>
          </cell>
          <cell r="Q16">
            <v>0</v>
          </cell>
          <cell r="R16">
            <v>6.6</v>
          </cell>
          <cell r="S16">
            <v>8.5</v>
          </cell>
          <cell r="T16">
            <v>1.6</v>
          </cell>
          <cell r="U16">
            <v>1.1999396939467326</v>
          </cell>
          <cell r="V16" t="e">
            <v>#DIV/0!</v>
          </cell>
        </row>
        <row r="17">
          <cell r="B17">
            <v>150</v>
          </cell>
          <cell r="I17">
            <v>6.6</v>
          </cell>
          <cell r="N17" t="str">
            <v>Sci-Fi</v>
          </cell>
          <cell r="O17">
            <v>484</v>
          </cell>
          <cell r="P17">
            <v>6.3272727272727227</v>
          </cell>
          <cell r="Q17">
            <v>0</v>
          </cell>
          <cell r="R17">
            <v>7</v>
          </cell>
          <cell r="S17">
            <v>8.8000000000000007</v>
          </cell>
          <cell r="T17">
            <v>1.9</v>
          </cell>
          <cell r="U17">
            <v>1.1671841502435489</v>
          </cell>
          <cell r="V17" t="e">
            <v>#DIV/0!</v>
          </cell>
        </row>
        <row r="18">
          <cell r="B18">
            <v>173</v>
          </cell>
          <cell r="I18">
            <v>8.1</v>
          </cell>
          <cell r="N18" t="str">
            <v>Horror</v>
          </cell>
          <cell r="O18">
            <v>379</v>
          </cell>
          <cell r="P18">
            <v>5.9039577836411574</v>
          </cell>
          <cell r="Q18">
            <v>0</v>
          </cell>
          <cell r="R18">
            <v>6.2</v>
          </cell>
          <cell r="S18">
            <v>8.6</v>
          </cell>
          <cell r="T18">
            <v>2.2999999999999998</v>
          </cell>
          <cell r="U18">
            <v>0.99102328512111548</v>
          </cell>
          <cell r="V18" t="e">
            <v>#DIV/0!</v>
          </cell>
        </row>
        <row r="19">
          <cell r="B19">
            <v>136</v>
          </cell>
          <cell r="I19">
            <v>6.7</v>
          </cell>
          <cell r="N19" t="str">
            <v>Romance</v>
          </cell>
          <cell r="O19">
            <v>866</v>
          </cell>
          <cell r="P19">
            <v>6.4262124711316391</v>
          </cell>
          <cell r="Q19">
            <v>0</v>
          </cell>
          <cell r="R19">
            <v>6.5</v>
          </cell>
          <cell r="S19">
            <v>8.5</v>
          </cell>
          <cell r="T19">
            <v>2.1</v>
          </cell>
          <cell r="U19">
            <v>0.96899624897434178</v>
          </cell>
          <cell r="V19" t="e">
            <v>#DIV/0!</v>
          </cell>
        </row>
        <row r="20">
          <cell r="B20">
            <v>106</v>
          </cell>
          <cell r="I20">
            <v>6.8</v>
          </cell>
          <cell r="N20" t="str">
            <v>Family</v>
          </cell>
          <cell r="O20">
            <v>441</v>
          </cell>
          <cell r="P20">
            <v>6.2000000000000037</v>
          </cell>
          <cell r="Q20">
            <v>6.6</v>
          </cell>
          <cell r="R20">
            <v>5.4</v>
          </cell>
          <cell r="S20">
            <v>8.6</v>
          </cell>
          <cell r="T20">
            <v>1.9</v>
          </cell>
          <cell r="U20">
            <v>1.1695764579150019</v>
          </cell>
          <cell r="V20">
            <v>1.1183240576945026</v>
          </cell>
        </row>
        <row r="21">
          <cell r="B21">
            <v>164</v>
          </cell>
          <cell r="I21">
            <v>7.5</v>
          </cell>
          <cell r="N21" t="str">
            <v>Western</v>
          </cell>
          <cell r="O21">
            <v>58</v>
          </cell>
          <cell r="P21">
            <v>6.7655172413793121</v>
          </cell>
          <cell r="Q21">
            <v>0</v>
          </cell>
          <cell r="R21">
            <v>6.8</v>
          </cell>
          <cell r="S21">
            <v>8.9</v>
          </cell>
          <cell r="T21">
            <v>4.0999999999999996</v>
          </cell>
          <cell r="U21">
            <v>0.99851674631923981</v>
          </cell>
          <cell r="V21" t="e">
            <v>#DIV/0!</v>
          </cell>
        </row>
        <row r="22">
          <cell r="B22">
            <v>153</v>
          </cell>
          <cell r="I22">
            <v>7</v>
          </cell>
          <cell r="N22" t="str">
            <v>Musical</v>
          </cell>
          <cell r="O22">
            <v>102</v>
          </cell>
          <cell r="P22">
            <v>6.5509803921568643</v>
          </cell>
          <cell r="Q22">
            <v>0</v>
          </cell>
          <cell r="R22">
            <v>7.1</v>
          </cell>
          <cell r="S22">
            <v>8.5</v>
          </cell>
          <cell r="T22">
            <v>2.1</v>
          </cell>
          <cell r="U22">
            <v>1.1435350001820657</v>
          </cell>
          <cell r="V22" t="e">
            <v>#DIV/0!</v>
          </cell>
        </row>
        <row r="23">
          <cell r="B23">
            <v>156</v>
          </cell>
          <cell r="I23">
            <v>6.7</v>
          </cell>
          <cell r="N23" t="str">
            <v>Thriller</v>
          </cell>
          <cell r="O23">
            <v>1087</v>
          </cell>
          <cell r="P23">
            <v>6.3723091076357079</v>
          </cell>
          <cell r="Q23">
            <v>0</v>
          </cell>
          <cell r="R23">
            <v>6.5</v>
          </cell>
          <cell r="S23">
            <v>9</v>
          </cell>
          <cell r="T23">
            <v>2.7</v>
          </cell>
          <cell r="U23">
            <v>0.96907832659447168</v>
          </cell>
          <cell r="V23" t="e">
            <v>#DIV/0!</v>
          </cell>
        </row>
        <row r="24">
          <cell r="B24">
            <v>186</v>
          </cell>
          <cell r="I24">
            <v>7.9</v>
          </cell>
        </row>
        <row r="25">
          <cell r="B25">
            <v>113</v>
          </cell>
          <cell r="I25">
            <v>6.1</v>
          </cell>
        </row>
        <row r="26">
          <cell r="B26">
            <v>201</v>
          </cell>
          <cell r="I26">
            <v>7.2</v>
          </cell>
        </row>
        <row r="27">
          <cell r="B27">
            <v>194</v>
          </cell>
          <cell r="I27">
            <v>7.7</v>
          </cell>
        </row>
        <row r="28">
          <cell r="B28">
            <v>147</v>
          </cell>
          <cell r="I28">
            <v>8.1999999999999993</v>
          </cell>
        </row>
        <row r="29">
          <cell r="B29">
            <v>131</v>
          </cell>
          <cell r="I29">
            <v>5.9</v>
          </cell>
        </row>
        <row r="30">
          <cell r="B30">
            <v>124</v>
          </cell>
          <cell r="I30">
            <v>7</v>
          </cell>
        </row>
        <row r="31">
          <cell r="B31">
            <v>143</v>
          </cell>
          <cell r="I31">
            <v>7.8</v>
          </cell>
        </row>
        <row r="32">
          <cell r="B32">
            <v>135</v>
          </cell>
          <cell r="I32">
            <v>7.3</v>
          </cell>
        </row>
        <row r="33">
          <cell r="B33">
            <v>195</v>
          </cell>
          <cell r="I33">
            <v>7.2</v>
          </cell>
        </row>
        <row r="34">
          <cell r="B34">
            <v>108</v>
          </cell>
          <cell r="I34">
            <v>6.5</v>
          </cell>
        </row>
        <row r="35">
          <cell r="B35">
            <v>104</v>
          </cell>
          <cell r="I35">
            <v>6.8</v>
          </cell>
        </row>
        <row r="36">
          <cell r="B36">
            <v>104</v>
          </cell>
          <cell r="I36">
            <v>7.3</v>
          </cell>
        </row>
        <row r="37">
          <cell r="B37">
            <v>150</v>
          </cell>
          <cell r="I37">
            <v>6</v>
          </cell>
        </row>
        <row r="38">
          <cell r="B38">
            <v>165</v>
          </cell>
          <cell r="I38">
            <v>5.7</v>
          </cell>
        </row>
        <row r="39">
          <cell r="B39">
            <v>130</v>
          </cell>
          <cell r="I39">
            <v>6.4</v>
          </cell>
        </row>
        <row r="40">
          <cell r="B40">
            <v>142</v>
          </cell>
          <cell r="I40">
            <v>6.7</v>
          </cell>
        </row>
        <row r="41">
          <cell r="B41">
            <v>125</v>
          </cell>
          <cell r="I41">
            <v>6.8</v>
          </cell>
        </row>
        <row r="42">
          <cell r="B42">
            <v>106</v>
          </cell>
          <cell r="I42">
            <v>6.3</v>
          </cell>
        </row>
        <row r="43">
          <cell r="B43">
            <v>123</v>
          </cell>
          <cell r="I43">
            <v>5.6</v>
          </cell>
        </row>
        <row r="44">
          <cell r="B44">
            <v>103</v>
          </cell>
          <cell r="I44">
            <v>8.3000000000000007</v>
          </cell>
        </row>
        <row r="45">
          <cell r="B45">
            <v>118</v>
          </cell>
          <cell r="I45">
            <v>6.6</v>
          </cell>
        </row>
        <row r="46">
          <cell r="B46">
            <v>140</v>
          </cell>
          <cell r="I46">
            <v>7.2</v>
          </cell>
        </row>
        <row r="47">
          <cell r="B47">
            <v>123</v>
          </cell>
          <cell r="I47">
            <v>7</v>
          </cell>
        </row>
        <row r="48">
          <cell r="B48">
            <v>149</v>
          </cell>
          <cell r="I48">
            <v>8</v>
          </cell>
        </row>
        <row r="49">
          <cell r="B49">
            <v>132</v>
          </cell>
          <cell r="I49">
            <v>7.8</v>
          </cell>
        </row>
        <row r="50">
          <cell r="B50">
            <v>114</v>
          </cell>
          <cell r="I50">
            <v>6.3</v>
          </cell>
        </row>
        <row r="51">
          <cell r="B51">
            <v>143</v>
          </cell>
          <cell r="I51">
            <v>7.3</v>
          </cell>
        </row>
        <row r="52">
          <cell r="B52">
            <v>116</v>
          </cell>
          <cell r="I52">
            <v>6.6</v>
          </cell>
        </row>
        <row r="53">
          <cell r="B53">
            <v>131</v>
          </cell>
          <cell r="I53">
            <v>7</v>
          </cell>
        </row>
        <row r="54">
          <cell r="B54">
            <v>154</v>
          </cell>
          <cell r="I54">
            <v>6.3</v>
          </cell>
        </row>
        <row r="55">
          <cell r="B55">
            <v>122</v>
          </cell>
          <cell r="I55">
            <v>6.2</v>
          </cell>
        </row>
        <row r="56">
          <cell r="B56">
            <v>93</v>
          </cell>
          <cell r="I56">
            <v>7.2</v>
          </cell>
        </row>
        <row r="57">
          <cell r="B57">
            <v>122</v>
          </cell>
          <cell r="I57">
            <v>7.5</v>
          </cell>
        </row>
        <row r="58">
          <cell r="B58">
            <v>98</v>
          </cell>
          <cell r="I58">
            <v>8.4</v>
          </cell>
        </row>
        <row r="59">
          <cell r="B59">
            <v>91</v>
          </cell>
          <cell r="I59">
            <v>6.2</v>
          </cell>
        </row>
        <row r="60">
          <cell r="B60">
            <v>158</v>
          </cell>
          <cell r="I60">
            <v>5.8</v>
          </cell>
          <cell r="T60" t="str">
            <v>Profits in Millions</v>
          </cell>
        </row>
        <row r="61">
          <cell r="B61">
            <v>96</v>
          </cell>
          <cell r="I61">
            <v>6.8</v>
          </cell>
          <cell r="S61" t="str">
            <v>AvatarÂ</v>
          </cell>
          <cell r="T61">
            <v>523505847</v>
          </cell>
        </row>
        <row r="62">
          <cell r="B62">
            <v>127</v>
          </cell>
          <cell r="I62">
            <v>5.4</v>
          </cell>
          <cell r="S62" t="str">
            <v>Jurassic WorldÂ</v>
          </cell>
          <cell r="T62">
            <v>502177271</v>
          </cell>
        </row>
        <row r="63">
          <cell r="B63">
            <v>110</v>
          </cell>
          <cell r="I63">
            <v>6.6</v>
          </cell>
          <cell r="S63" t="str">
            <v>TitanicÂ</v>
          </cell>
          <cell r="T63">
            <v>458672302</v>
          </cell>
        </row>
        <row r="64">
          <cell r="B64">
            <v>150</v>
          </cell>
          <cell r="I64">
            <v>6.9</v>
          </cell>
          <cell r="S64" t="str">
            <v>Star Wars: Episode IV - A New HopeÂ</v>
          </cell>
          <cell r="T64">
            <v>449935665</v>
          </cell>
        </row>
        <row r="65">
          <cell r="B65">
            <v>144</v>
          </cell>
          <cell r="I65">
            <v>7.3</v>
          </cell>
          <cell r="S65" t="str">
            <v>E.T. the Extra-TerrestrialÂ</v>
          </cell>
          <cell r="T65">
            <v>424449459</v>
          </cell>
        </row>
        <row r="66">
          <cell r="B66">
            <v>152</v>
          </cell>
          <cell r="I66">
            <v>9</v>
          </cell>
          <cell r="S66" t="str">
            <v>The Lion KingÂ</v>
          </cell>
          <cell r="T66">
            <v>377783777</v>
          </cell>
        </row>
        <row r="67">
          <cell r="B67">
            <v>96</v>
          </cell>
          <cell r="I67">
            <v>8.3000000000000007</v>
          </cell>
          <cell r="S67" t="str">
            <v>The Jungle BookÂ</v>
          </cell>
          <cell r="T67">
            <v>375290282</v>
          </cell>
        </row>
        <row r="68">
          <cell r="B68">
            <v>94</v>
          </cell>
          <cell r="I68">
            <v>6.5</v>
          </cell>
          <cell r="S68" t="str">
            <v>Star Wars: Episode I - The Phantom MenaceÂ</v>
          </cell>
          <cell r="T68">
            <v>359544677</v>
          </cell>
        </row>
        <row r="69">
          <cell r="B69">
            <v>126</v>
          </cell>
          <cell r="I69">
            <v>7.9</v>
          </cell>
          <cell r="S69" t="str">
            <v>The Dark KnightÂ</v>
          </cell>
          <cell r="T69">
            <v>348316061</v>
          </cell>
        </row>
        <row r="70">
          <cell r="B70">
            <v>126</v>
          </cell>
          <cell r="I70">
            <v>7.5</v>
          </cell>
          <cell r="S70" t="str">
            <v>The Twilight Saga: Breaking Dawn - Part 2Â</v>
          </cell>
          <cell r="T70">
            <v>344597846</v>
          </cell>
        </row>
        <row r="71">
          <cell r="B71">
            <v>106</v>
          </cell>
          <cell r="I71">
            <v>4.8</v>
          </cell>
        </row>
        <row r="72">
          <cell r="B72">
            <v>112</v>
          </cell>
          <cell r="I72">
            <v>5.2</v>
          </cell>
        </row>
        <row r="73">
          <cell r="B73">
            <v>123</v>
          </cell>
          <cell r="I73">
            <v>6.9</v>
          </cell>
        </row>
        <row r="74">
          <cell r="B74">
            <v>96</v>
          </cell>
          <cell r="I74">
            <v>5.4</v>
          </cell>
        </row>
        <row r="75">
          <cell r="B75">
            <v>113</v>
          </cell>
          <cell r="I75">
            <v>7.9</v>
          </cell>
        </row>
        <row r="76">
          <cell r="B76">
            <v>176</v>
          </cell>
          <cell r="I76">
            <v>6.1</v>
          </cell>
        </row>
        <row r="77">
          <cell r="B77">
            <v>118</v>
          </cell>
          <cell r="I77">
            <v>5.8</v>
          </cell>
        </row>
        <row r="78">
          <cell r="B78">
            <v>95</v>
          </cell>
          <cell r="I78">
            <v>8.3000000000000007</v>
          </cell>
        </row>
        <row r="79">
          <cell r="B79">
            <v>106</v>
          </cell>
          <cell r="I79">
            <v>7.8</v>
          </cell>
        </row>
        <row r="80">
          <cell r="B80">
            <v>124</v>
          </cell>
          <cell r="I80">
            <v>7</v>
          </cell>
        </row>
        <row r="81">
          <cell r="B81">
            <v>132</v>
          </cell>
          <cell r="I81">
            <v>6.1</v>
          </cell>
        </row>
        <row r="82">
          <cell r="B82">
            <v>97</v>
          </cell>
          <cell r="I82">
            <v>7</v>
          </cell>
        </row>
        <row r="83">
          <cell r="B83">
            <v>130</v>
          </cell>
          <cell r="I83">
            <v>7.6</v>
          </cell>
        </row>
        <row r="84">
          <cell r="B84">
            <v>128</v>
          </cell>
          <cell r="I84">
            <v>6.3</v>
          </cell>
        </row>
        <row r="85">
          <cell r="B85">
            <v>136</v>
          </cell>
          <cell r="I85">
            <v>7.8</v>
          </cell>
        </row>
        <row r="86">
          <cell r="B86">
            <v>93</v>
          </cell>
          <cell r="I86">
            <v>6.4</v>
          </cell>
        </row>
        <row r="87">
          <cell r="B87">
            <v>130</v>
          </cell>
          <cell r="I87">
            <v>6.5</v>
          </cell>
        </row>
        <row r="88">
          <cell r="B88">
            <v>102</v>
          </cell>
          <cell r="I88">
            <v>7.9</v>
          </cell>
        </row>
        <row r="89">
          <cell r="B89">
            <v>101</v>
          </cell>
          <cell r="I89">
            <v>7.8</v>
          </cell>
        </row>
        <row r="90">
          <cell r="B90">
            <v>100</v>
          </cell>
          <cell r="I90">
            <v>6.6</v>
          </cell>
        </row>
        <row r="91">
          <cell r="B91">
            <v>120</v>
          </cell>
          <cell r="I91">
            <v>5.5</v>
          </cell>
        </row>
        <row r="92">
          <cell r="B92">
            <v>98</v>
          </cell>
          <cell r="I92">
            <v>8.1999999999999993</v>
          </cell>
        </row>
        <row r="93">
          <cell r="B93">
            <v>109</v>
          </cell>
          <cell r="I93">
            <v>6.4</v>
          </cell>
        </row>
        <row r="94">
          <cell r="B94">
            <v>121</v>
          </cell>
          <cell r="I94">
            <v>8.1</v>
          </cell>
        </row>
        <row r="95">
          <cell r="B95">
            <v>169</v>
          </cell>
          <cell r="I95">
            <v>8.6</v>
          </cell>
        </row>
        <row r="96">
          <cell r="B96">
            <v>148</v>
          </cell>
          <cell r="I96">
            <v>8.8000000000000007</v>
          </cell>
        </row>
        <row r="97">
          <cell r="B97">
            <v>182</v>
          </cell>
          <cell r="I97">
            <v>7.9</v>
          </cell>
        </row>
        <row r="98">
          <cell r="B98">
            <v>106</v>
          </cell>
          <cell r="I98">
            <v>6.7</v>
          </cell>
        </row>
        <row r="99">
          <cell r="B99">
            <v>166</v>
          </cell>
          <cell r="I99">
            <v>7.8</v>
          </cell>
        </row>
        <row r="100">
          <cell r="B100">
            <v>132</v>
          </cell>
          <cell r="I100">
            <v>7.8</v>
          </cell>
        </row>
        <row r="101">
          <cell r="B101">
            <v>137</v>
          </cell>
          <cell r="I101">
            <v>6.6</v>
          </cell>
        </row>
        <row r="102">
          <cell r="B102">
            <v>109</v>
          </cell>
          <cell r="I102">
            <v>6.1</v>
          </cell>
        </row>
        <row r="103">
          <cell r="B103">
            <v>98</v>
          </cell>
          <cell r="I103">
            <v>5.6</v>
          </cell>
        </row>
        <row r="104">
          <cell r="B104">
            <v>113</v>
          </cell>
          <cell r="I104">
            <v>6.4</v>
          </cell>
        </row>
        <row r="105">
          <cell r="B105">
            <v>93</v>
          </cell>
          <cell r="I105">
            <v>6.1</v>
          </cell>
        </row>
        <row r="106">
          <cell r="B106">
            <v>123</v>
          </cell>
          <cell r="I106">
            <v>7.3</v>
          </cell>
        </row>
        <row r="107">
          <cell r="B107">
            <v>126</v>
          </cell>
          <cell r="I107">
            <v>6.6</v>
          </cell>
        </row>
        <row r="108">
          <cell r="B108">
            <v>113</v>
          </cell>
          <cell r="I108">
            <v>6.3</v>
          </cell>
        </row>
        <row r="109">
          <cell r="B109">
            <v>184</v>
          </cell>
          <cell r="I109">
            <v>6.1</v>
          </cell>
        </row>
        <row r="110">
          <cell r="B110">
            <v>144</v>
          </cell>
          <cell r="I110">
            <v>7.1</v>
          </cell>
        </row>
        <row r="111">
          <cell r="B111">
            <v>206</v>
          </cell>
          <cell r="I111">
            <v>5.5</v>
          </cell>
        </row>
        <row r="112">
          <cell r="B112">
            <v>138</v>
          </cell>
          <cell r="I112">
            <v>7.5</v>
          </cell>
        </row>
        <row r="113">
          <cell r="B113">
            <v>157</v>
          </cell>
          <cell r="I113">
            <v>7.6</v>
          </cell>
        </row>
        <row r="114">
          <cell r="B114">
            <v>102</v>
          </cell>
          <cell r="I114">
            <v>6.4</v>
          </cell>
        </row>
        <row r="115">
          <cell r="B115">
            <v>104</v>
          </cell>
          <cell r="I115">
            <v>7.2</v>
          </cell>
        </row>
        <row r="116">
          <cell r="B116">
            <v>115</v>
          </cell>
          <cell r="I116">
            <v>6.7</v>
          </cell>
        </row>
        <row r="117">
          <cell r="B117">
            <v>111</v>
          </cell>
          <cell r="I117">
            <v>8</v>
          </cell>
        </row>
        <row r="118">
          <cell r="B118">
            <v>128</v>
          </cell>
          <cell r="I118">
            <v>8.3000000000000007</v>
          </cell>
        </row>
        <row r="119">
          <cell r="B119">
            <v>89</v>
          </cell>
          <cell r="I119">
            <v>6.7</v>
          </cell>
        </row>
        <row r="120">
          <cell r="B120">
            <v>105</v>
          </cell>
          <cell r="I120">
            <v>5.9</v>
          </cell>
        </row>
        <row r="121">
          <cell r="B121">
            <v>119</v>
          </cell>
          <cell r="I121">
            <v>6.7</v>
          </cell>
        </row>
        <row r="122">
          <cell r="B122">
            <v>129</v>
          </cell>
          <cell r="I122">
            <v>6.7</v>
          </cell>
        </row>
        <row r="123">
          <cell r="B123">
            <v>102</v>
          </cell>
          <cell r="I123">
            <v>7.6</v>
          </cell>
        </row>
        <row r="124">
          <cell r="B124">
            <v>138</v>
          </cell>
          <cell r="I124">
            <v>7.2</v>
          </cell>
        </row>
        <row r="125">
          <cell r="B125">
            <v>112</v>
          </cell>
          <cell r="I125">
            <v>7.1</v>
          </cell>
        </row>
        <row r="126">
          <cell r="B126">
            <v>120</v>
          </cell>
          <cell r="I126">
            <v>8.1</v>
          </cell>
        </row>
        <row r="127">
          <cell r="B127">
            <v>146</v>
          </cell>
          <cell r="I127">
            <v>6.7</v>
          </cell>
        </row>
        <row r="128">
          <cell r="B128">
            <v>115</v>
          </cell>
          <cell r="I128">
            <v>7</v>
          </cell>
        </row>
        <row r="129">
          <cell r="B129">
            <v>96</v>
          </cell>
          <cell r="I129">
            <v>6.9</v>
          </cell>
        </row>
        <row r="130">
          <cell r="B130">
            <v>88</v>
          </cell>
          <cell r="I130">
            <v>5.0999999999999996</v>
          </cell>
        </row>
        <row r="131">
          <cell r="B131">
            <v>99</v>
          </cell>
          <cell r="I131">
            <v>5.8</v>
          </cell>
        </row>
        <row r="132">
          <cell r="B132">
            <v>113</v>
          </cell>
          <cell r="I132">
            <v>6.2</v>
          </cell>
        </row>
        <row r="133">
          <cell r="B133">
            <v>131</v>
          </cell>
          <cell r="I133">
            <v>7.4</v>
          </cell>
        </row>
        <row r="134">
          <cell r="B134">
            <v>119</v>
          </cell>
          <cell r="I134">
            <v>5.8</v>
          </cell>
        </row>
        <row r="135">
          <cell r="B135">
            <v>91</v>
          </cell>
          <cell r="I135">
            <v>6.2</v>
          </cell>
        </row>
        <row r="136">
          <cell r="B136">
            <v>90</v>
          </cell>
          <cell r="I136">
            <v>7.3</v>
          </cell>
        </row>
        <row r="137">
          <cell r="B137">
            <v>103</v>
          </cell>
          <cell r="I137">
            <v>4.2</v>
          </cell>
        </row>
        <row r="138">
          <cell r="B138">
            <v>124</v>
          </cell>
          <cell r="I138">
            <v>6.9</v>
          </cell>
        </row>
        <row r="139">
          <cell r="B139">
            <v>131</v>
          </cell>
          <cell r="I139">
            <v>6.4</v>
          </cell>
        </row>
        <row r="140">
          <cell r="B140">
            <v>88</v>
          </cell>
          <cell r="I140">
            <v>5.4</v>
          </cell>
        </row>
        <row r="141">
          <cell r="B141">
            <v>85</v>
          </cell>
          <cell r="I141">
            <v>6.7</v>
          </cell>
        </row>
        <row r="142">
          <cell r="B142">
            <v>111</v>
          </cell>
          <cell r="I142">
            <v>5.8</v>
          </cell>
        </row>
        <row r="143">
          <cell r="B143">
            <v>92</v>
          </cell>
          <cell r="I143">
            <v>6.9</v>
          </cell>
        </row>
        <row r="144">
          <cell r="B144">
            <v>196</v>
          </cell>
          <cell r="I144">
            <v>7.2</v>
          </cell>
        </row>
        <row r="145">
          <cell r="B145">
            <v>93</v>
          </cell>
          <cell r="I145">
            <v>6.9</v>
          </cell>
        </row>
        <row r="146">
          <cell r="B146">
            <v>133</v>
          </cell>
          <cell r="I146">
            <v>6.1</v>
          </cell>
        </row>
        <row r="147">
          <cell r="B147">
            <v>116</v>
          </cell>
          <cell r="I147">
            <v>5.5</v>
          </cell>
        </row>
        <row r="148">
          <cell r="B148">
            <v>153</v>
          </cell>
          <cell r="I148">
            <v>6.6</v>
          </cell>
        </row>
        <row r="149">
          <cell r="B149">
            <v>88</v>
          </cell>
          <cell r="I149">
            <v>6.1</v>
          </cell>
        </row>
        <row r="150">
          <cell r="B150">
            <v>115</v>
          </cell>
          <cell r="I150">
            <v>6.3</v>
          </cell>
        </row>
        <row r="151">
          <cell r="B151">
            <v>95</v>
          </cell>
          <cell r="I151">
            <v>7.2</v>
          </cell>
        </row>
        <row r="152">
          <cell r="B152">
            <v>133</v>
          </cell>
          <cell r="I152">
            <v>7.4</v>
          </cell>
        </row>
        <row r="153">
          <cell r="B153">
            <v>97</v>
          </cell>
          <cell r="I153">
            <v>7.3</v>
          </cell>
        </row>
        <row r="154">
          <cell r="B154">
            <v>90</v>
          </cell>
          <cell r="I154">
            <v>6.1</v>
          </cell>
        </row>
        <row r="155">
          <cell r="B155">
            <v>154</v>
          </cell>
          <cell r="I155">
            <v>7.7</v>
          </cell>
        </row>
        <row r="156">
          <cell r="B156">
            <v>150</v>
          </cell>
          <cell r="I156">
            <v>6.1</v>
          </cell>
        </row>
        <row r="157">
          <cell r="B157">
            <v>127</v>
          </cell>
          <cell r="I157">
            <v>8</v>
          </cell>
        </row>
        <row r="158">
          <cell r="B158">
            <v>121</v>
          </cell>
          <cell r="I158">
            <v>7.3</v>
          </cell>
        </row>
        <row r="159">
          <cell r="B159">
            <v>102</v>
          </cell>
          <cell r="I159">
            <v>7.9</v>
          </cell>
        </row>
        <row r="160">
          <cell r="B160">
            <v>126</v>
          </cell>
          <cell r="I160">
            <v>5.5</v>
          </cell>
        </row>
        <row r="161">
          <cell r="B161">
            <v>121</v>
          </cell>
          <cell r="I161">
            <v>5</v>
          </cell>
        </row>
        <row r="162">
          <cell r="B162">
            <v>215</v>
          </cell>
          <cell r="I162">
            <v>7.7</v>
          </cell>
        </row>
        <row r="163">
          <cell r="B163">
            <v>127</v>
          </cell>
          <cell r="I163">
            <v>6.6</v>
          </cell>
        </row>
        <row r="164">
          <cell r="B164">
            <v>138</v>
          </cell>
          <cell r="I164">
            <v>5.7</v>
          </cell>
        </row>
        <row r="165">
          <cell r="B165">
            <v>122</v>
          </cell>
          <cell r="I165">
            <v>5.8</v>
          </cell>
        </row>
        <row r="166">
          <cell r="B166">
            <v>124</v>
          </cell>
          <cell r="I166">
            <v>6</v>
          </cell>
        </row>
        <row r="167">
          <cell r="B167">
            <v>106</v>
          </cell>
          <cell r="I167">
            <v>6.4</v>
          </cell>
        </row>
        <row r="168">
          <cell r="B168">
            <v>124</v>
          </cell>
          <cell r="I168">
            <v>6.9</v>
          </cell>
        </row>
        <row r="169">
          <cell r="B169">
            <v>128</v>
          </cell>
          <cell r="I169">
            <v>6.4</v>
          </cell>
        </row>
        <row r="170">
          <cell r="B170">
            <v>138</v>
          </cell>
          <cell r="I170">
            <v>7.4</v>
          </cell>
        </row>
        <row r="171">
          <cell r="B171">
            <v>115</v>
          </cell>
          <cell r="I171">
            <v>5.5</v>
          </cell>
        </row>
        <row r="172">
          <cell r="B172">
            <v>100</v>
          </cell>
          <cell r="I172">
            <v>5.9</v>
          </cell>
        </row>
        <row r="173">
          <cell r="B173">
            <v>135</v>
          </cell>
          <cell r="I173">
            <v>6.8</v>
          </cell>
        </row>
        <row r="174">
          <cell r="B174">
            <v>117</v>
          </cell>
          <cell r="I174">
            <v>6.8</v>
          </cell>
        </row>
        <row r="175">
          <cell r="B175">
            <v>156</v>
          </cell>
          <cell r="I175">
            <v>8.1</v>
          </cell>
        </row>
        <row r="176">
          <cell r="B176">
            <v>96</v>
          </cell>
          <cell r="I176">
            <v>6.5</v>
          </cell>
        </row>
        <row r="177">
          <cell r="B177">
            <v>107</v>
          </cell>
          <cell r="I177">
            <v>7.2</v>
          </cell>
        </row>
        <row r="178">
          <cell r="B178">
            <v>92</v>
          </cell>
          <cell r="I178">
            <v>6.7</v>
          </cell>
        </row>
        <row r="179">
          <cell r="B179">
            <v>115</v>
          </cell>
          <cell r="I179">
            <v>8.1</v>
          </cell>
        </row>
        <row r="180">
          <cell r="B180">
            <v>92</v>
          </cell>
          <cell r="I180">
            <v>7.6</v>
          </cell>
        </row>
        <row r="181">
          <cell r="B181">
            <v>117</v>
          </cell>
          <cell r="I181">
            <v>7.4</v>
          </cell>
        </row>
        <row r="182">
          <cell r="B182">
            <v>146</v>
          </cell>
          <cell r="I182">
            <v>7.6</v>
          </cell>
        </row>
        <row r="183">
          <cell r="B183">
            <v>94</v>
          </cell>
          <cell r="I183">
            <v>6.7</v>
          </cell>
        </row>
        <row r="184">
          <cell r="B184">
            <v>116</v>
          </cell>
          <cell r="I184">
            <v>6.5</v>
          </cell>
        </row>
        <row r="185">
          <cell r="B185">
            <v>147</v>
          </cell>
          <cell r="I185">
            <v>6.6</v>
          </cell>
        </row>
        <row r="186">
          <cell r="B186">
            <v>90</v>
          </cell>
          <cell r="I186">
            <v>6.7</v>
          </cell>
        </row>
        <row r="187">
          <cell r="B187">
            <v>101</v>
          </cell>
          <cell r="I187">
            <v>6.4</v>
          </cell>
        </row>
        <row r="188">
          <cell r="B188">
            <v>138</v>
          </cell>
          <cell r="I188">
            <v>5.8</v>
          </cell>
        </row>
        <row r="189">
          <cell r="B189">
            <v>107</v>
          </cell>
          <cell r="I189">
            <v>7.4</v>
          </cell>
        </row>
        <row r="190">
          <cell r="B190">
            <v>142</v>
          </cell>
          <cell r="I190">
            <v>7.8</v>
          </cell>
        </row>
        <row r="191">
          <cell r="B191">
            <v>165</v>
          </cell>
          <cell r="I191">
            <v>6.6</v>
          </cell>
        </row>
        <row r="192">
          <cell r="B192">
            <v>100</v>
          </cell>
          <cell r="I192">
            <v>4.9000000000000004</v>
          </cell>
        </row>
        <row r="193">
          <cell r="B193">
            <v>82</v>
          </cell>
          <cell r="I193">
            <v>6.5</v>
          </cell>
        </row>
        <row r="194">
          <cell r="B194">
            <v>98</v>
          </cell>
          <cell r="I194">
            <v>6.2</v>
          </cell>
        </row>
        <row r="195">
          <cell r="B195">
            <v>95</v>
          </cell>
          <cell r="I195">
            <v>7.3</v>
          </cell>
        </row>
        <row r="196">
          <cell r="B196">
            <v>159</v>
          </cell>
          <cell r="I196">
            <v>7.5</v>
          </cell>
        </row>
        <row r="197">
          <cell r="B197">
            <v>96</v>
          </cell>
          <cell r="I197">
            <v>5.6</v>
          </cell>
        </row>
        <row r="198">
          <cell r="B198">
            <v>143</v>
          </cell>
          <cell r="I198">
            <v>8.1</v>
          </cell>
        </row>
        <row r="199">
          <cell r="B199">
            <v>123</v>
          </cell>
          <cell r="I199">
            <v>6.7</v>
          </cell>
        </row>
        <row r="200">
          <cell r="B200">
            <v>174</v>
          </cell>
          <cell r="I200">
            <v>6.6</v>
          </cell>
        </row>
        <row r="201">
          <cell r="B201">
            <v>101</v>
          </cell>
          <cell r="I201">
            <v>6.4</v>
          </cell>
        </row>
        <row r="202">
          <cell r="B202">
            <v>134</v>
          </cell>
          <cell r="I202">
            <v>7.5</v>
          </cell>
        </row>
        <row r="203">
          <cell r="B203">
            <v>132</v>
          </cell>
          <cell r="I203">
            <v>7.3</v>
          </cell>
        </row>
        <row r="204">
          <cell r="B204">
            <v>129</v>
          </cell>
          <cell r="I204">
            <v>7.5</v>
          </cell>
        </row>
        <row r="205">
          <cell r="B205">
            <v>106</v>
          </cell>
          <cell r="I205">
            <v>5.8</v>
          </cell>
        </row>
        <row r="206">
          <cell r="B206">
            <v>113</v>
          </cell>
          <cell r="I206">
            <v>7.5</v>
          </cell>
        </row>
        <row r="207">
          <cell r="B207">
            <v>102</v>
          </cell>
          <cell r="I207">
            <v>6.6</v>
          </cell>
        </row>
        <row r="208">
          <cell r="B208">
            <v>135</v>
          </cell>
          <cell r="I208">
            <v>6.7</v>
          </cell>
        </row>
        <row r="209">
          <cell r="B209">
            <v>125</v>
          </cell>
          <cell r="I209">
            <v>3.7</v>
          </cell>
        </row>
        <row r="210">
          <cell r="B210">
            <v>110</v>
          </cell>
          <cell r="I210">
            <v>6</v>
          </cell>
        </row>
        <row r="211">
          <cell r="B211">
            <v>124</v>
          </cell>
          <cell r="I211">
            <v>6.4</v>
          </cell>
        </row>
        <row r="212">
          <cell r="B212">
            <v>123</v>
          </cell>
          <cell r="I212">
            <v>6.1</v>
          </cell>
        </row>
        <row r="213">
          <cell r="B213">
            <v>130</v>
          </cell>
          <cell r="I213">
            <v>6.4</v>
          </cell>
        </row>
        <row r="214">
          <cell r="B214">
            <v>92</v>
          </cell>
          <cell r="I214">
            <v>5.6</v>
          </cell>
        </row>
        <row r="215">
          <cell r="B215">
            <v>127</v>
          </cell>
          <cell r="I215">
            <v>8</v>
          </cell>
        </row>
        <row r="216">
          <cell r="B216">
            <v>123</v>
          </cell>
          <cell r="I216">
            <v>5.2</v>
          </cell>
        </row>
        <row r="217">
          <cell r="B217">
            <v>123</v>
          </cell>
          <cell r="I217">
            <v>7.1</v>
          </cell>
        </row>
        <row r="218">
          <cell r="B218">
            <v>107</v>
          </cell>
          <cell r="I218">
            <v>4.8</v>
          </cell>
        </row>
        <row r="219">
          <cell r="B219">
            <v>124</v>
          </cell>
          <cell r="I219">
            <v>7</v>
          </cell>
        </row>
        <row r="220">
          <cell r="B220">
            <v>77</v>
          </cell>
          <cell r="I220">
            <v>5.4</v>
          </cell>
        </row>
        <row r="221">
          <cell r="B221">
            <v>109</v>
          </cell>
          <cell r="I221">
            <v>6.6</v>
          </cell>
        </row>
        <row r="222">
          <cell r="B222">
            <v>134</v>
          </cell>
          <cell r="I222">
            <v>6.7</v>
          </cell>
        </row>
        <row r="223">
          <cell r="B223">
            <v>117</v>
          </cell>
          <cell r="I223">
            <v>6.2</v>
          </cell>
        </row>
        <row r="224">
          <cell r="B224">
            <v>135</v>
          </cell>
          <cell r="I224">
            <v>6.1</v>
          </cell>
        </row>
        <row r="225">
          <cell r="B225">
            <v>121</v>
          </cell>
          <cell r="I225">
            <v>5.3</v>
          </cell>
        </row>
        <row r="226">
          <cell r="B226">
            <v>117</v>
          </cell>
          <cell r="I226">
            <v>6.3</v>
          </cell>
        </row>
        <row r="227">
          <cell r="B227">
            <v>124</v>
          </cell>
          <cell r="I227">
            <v>7</v>
          </cell>
        </row>
        <row r="228">
          <cell r="B228">
            <v>140</v>
          </cell>
          <cell r="I228">
            <v>7.6</v>
          </cell>
        </row>
        <row r="229">
          <cell r="B229">
            <v>142</v>
          </cell>
          <cell r="I229">
            <v>6.7</v>
          </cell>
        </row>
        <row r="230">
          <cell r="B230">
            <v>92</v>
          </cell>
          <cell r="I230">
            <v>8.1</v>
          </cell>
        </row>
        <row r="231">
          <cell r="B231">
            <v>138</v>
          </cell>
          <cell r="I231">
            <v>6.7</v>
          </cell>
        </row>
        <row r="232">
          <cell r="B232">
            <v>136</v>
          </cell>
          <cell r="I232">
            <v>6.5</v>
          </cell>
        </row>
        <row r="233">
          <cell r="B233">
            <v>98</v>
          </cell>
          <cell r="I233">
            <v>7.3</v>
          </cell>
        </row>
        <row r="234">
          <cell r="B234">
            <v>153</v>
          </cell>
          <cell r="I234">
            <v>6</v>
          </cell>
        </row>
        <row r="235">
          <cell r="B235">
            <v>120</v>
          </cell>
          <cell r="I235">
            <v>6.1</v>
          </cell>
        </row>
        <row r="236">
          <cell r="B236">
            <v>101</v>
          </cell>
          <cell r="I236">
            <v>5.9</v>
          </cell>
        </row>
        <row r="237">
          <cell r="B237">
            <v>91</v>
          </cell>
          <cell r="I237">
            <v>7.8</v>
          </cell>
        </row>
        <row r="238">
          <cell r="B238">
            <v>108</v>
          </cell>
          <cell r="I238">
            <v>5.8</v>
          </cell>
        </row>
        <row r="239">
          <cell r="B239">
            <v>112</v>
          </cell>
          <cell r="I239">
            <v>6.3</v>
          </cell>
        </row>
        <row r="240">
          <cell r="B240">
            <v>100</v>
          </cell>
          <cell r="I240">
            <v>4.3</v>
          </cell>
        </row>
        <row r="241">
          <cell r="B241">
            <v>108</v>
          </cell>
          <cell r="I241">
            <v>6.4</v>
          </cell>
        </row>
        <row r="242">
          <cell r="B242">
            <v>114</v>
          </cell>
          <cell r="I242">
            <v>6.1</v>
          </cell>
        </row>
        <row r="243">
          <cell r="B243">
            <v>119</v>
          </cell>
          <cell r="I243">
            <v>6.5</v>
          </cell>
        </row>
        <row r="244">
          <cell r="B244">
            <v>142</v>
          </cell>
          <cell r="I244">
            <v>7.1</v>
          </cell>
        </row>
        <row r="245">
          <cell r="B245">
            <v>125</v>
          </cell>
          <cell r="I245">
            <v>6.4</v>
          </cell>
        </row>
        <row r="246">
          <cell r="B246">
            <v>126</v>
          </cell>
          <cell r="I246">
            <v>6.5</v>
          </cell>
        </row>
        <row r="247">
          <cell r="B247">
            <v>119</v>
          </cell>
          <cell r="I247">
            <v>6.3</v>
          </cell>
        </row>
        <row r="248">
          <cell r="B248">
            <v>170</v>
          </cell>
          <cell r="I248">
            <v>7.5</v>
          </cell>
        </row>
        <row r="249">
          <cell r="B249">
            <v>85</v>
          </cell>
          <cell r="I249">
            <v>4.9000000000000004</v>
          </cell>
        </row>
        <row r="250">
          <cell r="B250">
            <v>119</v>
          </cell>
          <cell r="I250">
            <v>5.8</v>
          </cell>
        </row>
        <row r="251">
          <cell r="B251">
            <v>102</v>
          </cell>
          <cell r="I251">
            <v>6.2</v>
          </cell>
        </row>
        <row r="252">
          <cell r="B252">
            <v>103</v>
          </cell>
          <cell r="I252">
            <v>5.5</v>
          </cell>
        </row>
        <row r="253">
          <cell r="B253">
            <v>76</v>
          </cell>
          <cell r="I253">
            <v>5.4</v>
          </cell>
        </row>
        <row r="254">
          <cell r="B254">
            <v>120</v>
          </cell>
          <cell r="I254">
            <v>5.8</v>
          </cell>
        </row>
        <row r="255">
          <cell r="B255">
            <v>127</v>
          </cell>
          <cell r="I255">
            <v>7.1</v>
          </cell>
        </row>
        <row r="256">
          <cell r="B256">
            <v>105</v>
          </cell>
          <cell r="I256">
            <v>5.4</v>
          </cell>
        </row>
        <row r="257">
          <cell r="B257">
            <v>121</v>
          </cell>
          <cell r="I257">
            <v>3.7</v>
          </cell>
        </row>
        <row r="258">
          <cell r="B258">
            <v>114</v>
          </cell>
          <cell r="I258">
            <v>6.7</v>
          </cell>
        </row>
        <row r="259">
          <cell r="B259">
            <v>129</v>
          </cell>
          <cell r="I259">
            <v>7.2</v>
          </cell>
        </row>
        <row r="260">
          <cell r="B260">
            <v>171</v>
          </cell>
          <cell r="I260">
            <v>8.8000000000000007</v>
          </cell>
        </row>
        <row r="261">
          <cell r="B261">
            <v>120</v>
          </cell>
          <cell r="I261">
            <v>5.8</v>
          </cell>
        </row>
        <row r="262">
          <cell r="B262">
            <v>165</v>
          </cell>
          <cell r="I262">
            <v>6.8</v>
          </cell>
        </row>
        <row r="263">
          <cell r="B263">
            <v>82</v>
          </cell>
          <cell r="I263">
            <v>3.8</v>
          </cell>
        </row>
        <row r="264">
          <cell r="B264">
            <v>115</v>
          </cell>
          <cell r="I264">
            <v>7.1</v>
          </cell>
        </row>
        <row r="265">
          <cell r="B265">
            <v>194</v>
          </cell>
          <cell r="I265">
            <v>7.2</v>
          </cell>
        </row>
        <row r="266">
          <cell r="B266">
            <v>84</v>
          </cell>
          <cell r="I266">
            <v>5.9</v>
          </cell>
        </row>
        <row r="267">
          <cell r="B267">
            <v>97</v>
          </cell>
          <cell r="I267">
            <v>7.1</v>
          </cell>
        </row>
        <row r="268">
          <cell r="B268">
            <v>151</v>
          </cell>
          <cell r="I268">
            <v>8.1</v>
          </cell>
        </row>
        <row r="269">
          <cell r="B269">
            <v>136</v>
          </cell>
          <cell r="I269">
            <v>6.9</v>
          </cell>
        </row>
        <row r="270">
          <cell r="B270">
            <v>104</v>
          </cell>
          <cell r="I270">
            <v>4.4000000000000004</v>
          </cell>
        </row>
        <row r="271">
          <cell r="B271">
            <v>127</v>
          </cell>
          <cell r="I271">
            <v>6.5</v>
          </cell>
        </row>
        <row r="272">
          <cell r="B272">
            <v>171</v>
          </cell>
          <cell r="I272">
            <v>8.5</v>
          </cell>
        </row>
        <row r="273">
          <cell r="B273">
            <v>145</v>
          </cell>
          <cell r="I273">
            <v>7.7</v>
          </cell>
        </row>
        <row r="274">
          <cell r="B274">
            <v>174</v>
          </cell>
          <cell r="I274">
            <v>7.4</v>
          </cell>
        </row>
        <row r="275">
          <cell r="B275">
            <v>144</v>
          </cell>
          <cell r="I275">
            <v>8</v>
          </cell>
        </row>
        <row r="276">
          <cell r="B276">
            <v>119</v>
          </cell>
          <cell r="I276">
            <v>5.7</v>
          </cell>
        </row>
        <row r="277">
          <cell r="B277">
            <v>153</v>
          </cell>
          <cell r="I277">
            <v>8.5</v>
          </cell>
        </row>
        <row r="278">
          <cell r="B278">
            <v>140</v>
          </cell>
          <cell r="I278">
            <v>7</v>
          </cell>
        </row>
        <row r="279">
          <cell r="B279">
            <v>176</v>
          </cell>
          <cell r="I279">
            <v>7.8</v>
          </cell>
        </row>
        <row r="280">
          <cell r="B280">
            <v>141</v>
          </cell>
          <cell r="I280">
            <v>7.2</v>
          </cell>
        </row>
        <row r="281">
          <cell r="B281">
            <v>106</v>
          </cell>
          <cell r="I281">
            <v>6.4</v>
          </cell>
        </row>
        <row r="282">
          <cell r="B282">
            <v>98</v>
          </cell>
          <cell r="I282">
            <v>5.5</v>
          </cell>
        </row>
        <row r="283">
          <cell r="B283">
            <v>116</v>
          </cell>
          <cell r="I283">
            <v>6.7</v>
          </cell>
        </row>
        <row r="284">
          <cell r="B284">
            <v>115</v>
          </cell>
          <cell r="I284">
            <v>6.1</v>
          </cell>
        </row>
        <row r="285">
          <cell r="B285">
            <v>165</v>
          </cell>
          <cell r="I285">
            <v>8.5</v>
          </cell>
        </row>
        <row r="286">
          <cell r="B286">
            <v>91</v>
          </cell>
          <cell r="I286">
            <v>6.9</v>
          </cell>
        </row>
        <row r="287">
          <cell r="B287">
            <v>78</v>
          </cell>
          <cell r="I287">
            <v>7.3</v>
          </cell>
        </row>
        <row r="288">
          <cell r="B288">
            <v>103</v>
          </cell>
          <cell r="I288">
            <v>6.7</v>
          </cell>
        </row>
        <row r="289">
          <cell r="B289">
            <v>131</v>
          </cell>
          <cell r="I289">
            <v>6.9</v>
          </cell>
        </row>
        <row r="290">
          <cell r="B290">
            <v>104</v>
          </cell>
          <cell r="I290">
            <v>5.0999999999999996</v>
          </cell>
        </row>
        <row r="291">
          <cell r="B291">
            <v>101</v>
          </cell>
          <cell r="I291">
            <v>6.8</v>
          </cell>
        </row>
        <row r="292">
          <cell r="B292">
            <v>102</v>
          </cell>
          <cell r="I292">
            <v>6.7</v>
          </cell>
        </row>
        <row r="293">
          <cell r="B293">
            <v>103</v>
          </cell>
          <cell r="I293">
            <v>6</v>
          </cell>
        </row>
        <row r="294">
          <cell r="B294">
            <v>121</v>
          </cell>
          <cell r="I294">
            <v>5.7</v>
          </cell>
        </row>
        <row r="295">
          <cell r="B295">
            <v>143</v>
          </cell>
          <cell r="I295">
            <v>8</v>
          </cell>
        </row>
        <row r="296">
          <cell r="B296">
            <v>240</v>
          </cell>
          <cell r="I296">
            <v>8.1999999999999993</v>
          </cell>
        </row>
        <row r="297">
          <cell r="B297">
            <v>121</v>
          </cell>
          <cell r="I297">
            <v>5.4</v>
          </cell>
        </row>
        <row r="298">
          <cell r="B298">
            <v>129</v>
          </cell>
          <cell r="I298">
            <v>7.2</v>
          </cell>
        </row>
        <row r="299">
          <cell r="B299">
            <v>172</v>
          </cell>
          <cell r="I299">
            <v>7.5</v>
          </cell>
        </row>
        <row r="300">
          <cell r="B300">
            <v>101</v>
          </cell>
          <cell r="I300">
            <v>7</v>
          </cell>
        </row>
        <row r="301">
          <cell r="B301">
            <v>87</v>
          </cell>
          <cell r="I301">
            <v>3.3</v>
          </cell>
        </row>
        <row r="302">
          <cell r="B302">
            <v>101</v>
          </cell>
          <cell r="I302">
            <v>6</v>
          </cell>
        </row>
        <row r="303">
          <cell r="B303">
            <v>95</v>
          </cell>
          <cell r="I303">
            <v>7.1</v>
          </cell>
        </row>
        <row r="304">
          <cell r="B304">
            <v>102</v>
          </cell>
          <cell r="I304">
            <v>5.4</v>
          </cell>
        </row>
        <row r="305">
          <cell r="B305">
            <v>131</v>
          </cell>
          <cell r="I305">
            <v>6.1</v>
          </cell>
        </row>
        <row r="306">
          <cell r="B306">
            <v>114</v>
          </cell>
          <cell r="I306">
            <v>5.3</v>
          </cell>
        </row>
        <row r="307">
          <cell r="B307">
            <v>94</v>
          </cell>
          <cell r="I307">
            <v>2.2000000000000002</v>
          </cell>
        </row>
        <row r="308">
          <cell r="B308">
            <v>122</v>
          </cell>
          <cell r="I308">
            <v>7</v>
          </cell>
        </row>
        <row r="309">
          <cell r="B309">
            <v>95</v>
          </cell>
          <cell r="I309">
            <v>3.8</v>
          </cell>
        </row>
        <row r="310">
          <cell r="B310">
            <v>115</v>
          </cell>
          <cell r="I310">
            <v>6.9</v>
          </cell>
        </row>
        <row r="311">
          <cell r="B311">
            <v>88</v>
          </cell>
          <cell r="I311">
            <v>7.2</v>
          </cell>
        </row>
        <row r="312">
          <cell r="B312">
            <v>110</v>
          </cell>
          <cell r="I312">
            <v>7.3</v>
          </cell>
        </row>
        <row r="313">
          <cell r="B313">
            <v>130</v>
          </cell>
          <cell r="I313">
            <v>6.3</v>
          </cell>
        </row>
        <row r="314">
          <cell r="B314">
            <v>216</v>
          </cell>
          <cell r="I314">
            <v>7.5</v>
          </cell>
        </row>
        <row r="315">
          <cell r="B315">
            <v>146</v>
          </cell>
          <cell r="I315">
            <v>7.6</v>
          </cell>
        </row>
        <row r="316">
          <cell r="B316">
            <v>85</v>
          </cell>
          <cell r="I316">
            <v>6.8</v>
          </cell>
        </row>
        <row r="317">
          <cell r="B317">
            <v>93</v>
          </cell>
          <cell r="I317">
            <v>5.2</v>
          </cell>
        </row>
        <row r="318">
          <cell r="B318">
            <v>152</v>
          </cell>
          <cell r="I318">
            <v>7.7</v>
          </cell>
        </row>
        <row r="319">
          <cell r="B319">
            <v>85</v>
          </cell>
          <cell r="I319">
            <v>6.2</v>
          </cell>
        </row>
        <row r="320">
          <cell r="B320">
            <v>126</v>
          </cell>
          <cell r="I320">
            <v>7.7</v>
          </cell>
        </row>
        <row r="321">
          <cell r="B321">
            <v>146</v>
          </cell>
          <cell r="I321">
            <v>4.3</v>
          </cell>
        </row>
        <row r="322">
          <cell r="B322">
            <v>89</v>
          </cell>
          <cell r="I322">
            <v>6.9</v>
          </cell>
        </row>
        <row r="323">
          <cell r="B323">
            <v>88</v>
          </cell>
          <cell r="I323">
            <v>6.6</v>
          </cell>
        </row>
        <row r="324">
          <cell r="B324">
            <v>105</v>
          </cell>
          <cell r="I324">
            <v>7</v>
          </cell>
        </row>
        <row r="325">
          <cell r="B325">
            <v>135</v>
          </cell>
          <cell r="I325">
            <v>6.7</v>
          </cell>
        </row>
        <row r="326">
          <cell r="B326">
            <v>100</v>
          </cell>
          <cell r="I326">
            <v>8.1999999999999993</v>
          </cell>
        </row>
        <row r="327">
          <cell r="B327">
            <v>192</v>
          </cell>
          <cell r="I327">
            <v>8.9</v>
          </cell>
        </row>
        <row r="328">
          <cell r="B328">
            <v>172</v>
          </cell>
          <cell r="I328">
            <v>8.6999999999999993</v>
          </cell>
        </row>
        <row r="329">
          <cell r="B329">
            <v>102</v>
          </cell>
          <cell r="I329">
            <v>5.5</v>
          </cell>
        </row>
        <row r="330">
          <cell r="B330">
            <v>100</v>
          </cell>
          <cell r="I330">
            <v>5.7</v>
          </cell>
        </row>
        <row r="331">
          <cell r="B331">
            <v>119</v>
          </cell>
          <cell r="I331">
            <v>6.3</v>
          </cell>
        </row>
        <row r="332">
          <cell r="B332">
            <v>92</v>
          </cell>
          <cell r="I332">
            <v>5.9</v>
          </cell>
        </row>
        <row r="333">
          <cell r="B333">
            <v>105</v>
          </cell>
          <cell r="I333">
            <v>7.6</v>
          </cell>
        </row>
        <row r="334">
          <cell r="B334">
            <v>107</v>
          </cell>
          <cell r="I334">
            <v>6.6</v>
          </cell>
        </row>
        <row r="335">
          <cell r="B335">
            <v>101</v>
          </cell>
          <cell r="I335">
            <v>5.3</v>
          </cell>
        </row>
        <row r="336">
          <cell r="B336">
            <v>137</v>
          </cell>
          <cell r="I336">
            <v>6</v>
          </cell>
        </row>
        <row r="337">
          <cell r="B337">
            <v>115</v>
          </cell>
          <cell r="I337">
            <v>8</v>
          </cell>
        </row>
        <row r="338">
          <cell r="B338">
            <v>124</v>
          </cell>
          <cell r="I338">
            <v>5.6</v>
          </cell>
        </row>
        <row r="339">
          <cell r="B339">
            <v>118</v>
          </cell>
          <cell r="I339">
            <v>5.9</v>
          </cell>
        </row>
        <row r="340">
          <cell r="B340">
            <v>98</v>
          </cell>
          <cell r="I340">
            <v>7.3</v>
          </cell>
        </row>
        <row r="341">
          <cell r="B341">
            <v>82</v>
          </cell>
          <cell r="I341">
            <v>7.9</v>
          </cell>
        </row>
        <row r="342">
          <cell r="B342">
            <v>98</v>
          </cell>
          <cell r="I342">
            <v>6.8</v>
          </cell>
        </row>
        <row r="343">
          <cell r="B343">
            <v>90</v>
          </cell>
          <cell r="I343">
            <v>6.6</v>
          </cell>
        </row>
        <row r="344">
          <cell r="B344">
            <v>130</v>
          </cell>
          <cell r="I344">
            <v>6.6</v>
          </cell>
        </row>
        <row r="345">
          <cell r="B345">
            <v>90</v>
          </cell>
          <cell r="I345">
            <v>7</v>
          </cell>
        </row>
        <row r="346">
          <cell r="B346">
            <v>94</v>
          </cell>
          <cell r="I346">
            <v>7</v>
          </cell>
        </row>
        <row r="347">
          <cell r="B347">
            <v>114</v>
          </cell>
          <cell r="I347">
            <v>7.3</v>
          </cell>
        </row>
        <row r="348">
          <cell r="B348">
            <v>94</v>
          </cell>
          <cell r="I348">
            <v>5.5</v>
          </cell>
        </row>
        <row r="349">
          <cell r="B349">
            <v>151</v>
          </cell>
          <cell r="I349">
            <v>8.5</v>
          </cell>
        </row>
        <row r="350">
          <cell r="B350">
            <v>88</v>
          </cell>
          <cell r="I350">
            <v>7.5</v>
          </cell>
        </row>
        <row r="351">
          <cell r="B351">
            <v>121</v>
          </cell>
          <cell r="I351">
            <v>7</v>
          </cell>
        </row>
        <row r="352">
          <cell r="B352">
            <v>158</v>
          </cell>
          <cell r="I352">
            <v>7.8</v>
          </cell>
        </row>
        <row r="353">
          <cell r="B353">
            <v>128</v>
          </cell>
          <cell r="I353">
            <v>7.6</v>
          </cell>
        </row>
        <row r="354">
          <cell r="B354">
            <v>128</v>
          </cell>
          <cell r="I354">
            <v>7.6</v>
          </cell>
        </row>
        <row r="355">
          <cell r="B355">
            <v>95</v>
          </cell>
          <cell r="I355">
            <v>6.8</v>
          </cell>
        </row>
        <row r="356">
          <cell r="B356">
            <v>92</v>
          </cell>
          <cell r="I356">
            <v>5</v>
          </cell>
        </row>
        <row r="357">
          <cell r="B357">
            <v>121</v>
          </cell>
          <cell r="I357">
            <v>7.1</v>
          </cell>
        </row>
        <row r="358">
          <cell r="B358">
            <v>113</v>
          </cell>
          <cell r="I358">
            <v>5.5</v>
          </cell>
        </row>
        <row r="359">
          <cell r="B359">
            <v>106</v>
          </cell>
          <cell r="I359">
            <v>5.6</v>
          </cell>
        </row>
        <row r="360">
          <cell r="B360">
            <v>146</v>
          </cell>
          <cell r="I360">
            <v>7.1</v>
          </cell>
        </row>
        <row r="361">
          <cell r="B361">
            <v>88</v>
          </cell>
          <cell r="I361">
            <v>4.9000000000000004</v>
          </cell>
        </row>
        <row r="362">
          <cell r="B362">
            <v>150</v>
          </cell>
          <cell r="I362">
            <v>7.4</v>
          </cell>
        </row>
        <row r="363">
          <cell r="B363">
            <v>119</v>
          </cell>
          <cell r="I363">
            <v>5.7</v>
          </cell>
        </row>
        <row r="364">
          <cell r="B364">
            <v>128</v>
          </cell>
          <cell r="I364">
            <v>6.4</v>
          </cell>
        </row>
        <row r="365">
          <cell r="B365">
            <v>106</v>
          </cell>
          <cell r="I365">
            <v>5.9</v>
          </cell>
        </row>
        <row r="366">
          <cell r="B366">
            <v>117</v>
          </cell>
          <cell r="I366">
            <v>5.5</v>
          </cell>
        </row>
        <row r="367">
          <cell r="B367">
            <v>129</v>
          </cell>
          <cell r="I367">
            <v>6.9</v>
          </cell>
        </row>
        <row r="368">
          <cell r="B368">
            <v>116</v>
          </cell>
          <cell r="I368">
            <v>6.2</v>
          </cell>
        </row>
        <row r="369">
          <cell r="B369">
            <v>114</v>
          </cell>
          <cell r="I369">
            <v>7</v>
          </cell>
        </row>
        <row r="370">
          <cell r="B370">
            <v>114</v>
          </cell>
          <cell r="I370">
            <v>5.6</v>
          </cell>
        </row>
        <row r="371">
          <cell r="B371">
            <v>96</v>
          </cell>
          <cell r="I371">
            <v>7</v>
          </cell>
        </row>
        <row r="372">
          <cell r="B372">
            <v>132</v>
          </cell>
          <cell r="I372">
            <v>6.8</v>
          </cell>
        </row>
        <row r="373">
          <cell r="B373">
            <v>104</v>
          </cell>
          <cell r="I373">
            <v>5.4</v>
          </cell>
        </row>
        <row r="374">
          <cell r="B374">
            <v>111</v>
          </cell>
          <cell r="I374">
            <v>6.1</v>
          </cell>
        </row>
        <row r="375">
          <cell r="B375">
            <v>138</v>
          </cell>
          <cell r="I375">
            <v>6.7</v>
          </cell>
        </row>
        <row r="376">
          <cell r="B376">
            <v>129</v>
          </cell>
          <cell r="I376">
            <v>6.9</v>
          </cell>
        </row>
        <row r="377">
          <cell r="B377">
            <v>144</v>
          </cell>
          <cell r="I377">
            <v>8</v>
          </cell>
        </row>
        <row r="378">
          <cell r="B378">
            <v>110</v>
          </cell>
          <cell r="I378">
            <v>4.4000000000000004</v>
          </cell>
        </row>
        <row r="379">
          <cell r="B379">
            <v>140</v>
          </cell>
          <cell r="I379">
            <v>7.3</v>
          </cell>
        </row>
        <row r="380">
          <cell r="B380">
            <v>113</v>
          </cell>
          <cell r="I380">
            <v>6.3</v>
          </cell>
        </row>
        <row r="381">
          <cell r="B381">
            <v>143</v>
          </cell>
          <cell r="I381">
            <v>7.7</v>
          </cell>
        </row>
        <row r="382">
          <cell r="B382">
            <v>108</v>
          </cell>
          <cell r="I382">
            <v>6.5</v>
          </cell>
        </row>
        <row r="383">
          <cell r="B383">
            <v>108</v>
          </cell>
          <cell r="I383">
            <v>7.8</v>
          </cell>
        </row>
        <row r="384">
          <cell r="B384">
            <v>124</v>
          </cell>
          <cell r="I384">
            <v>6.4</v>
          </cell>
        </row>
        <row r="385">
          <cell r="B385">
            <v>116</v>
          </cell>
          <cell r="I385">
            <v>7.8</v>
          </cell>
        </row>
        <row r="386">
          <cell r="B386">
            <v>110</v>
          </cell>
          <cell r="I386">
            <v>5.8</v>
          </cell>
        </row>
        <row r="387">
          <cell r="B387">
            <v>91</v>
          </cell>
          <cell r="I387">
            <v>7.1</v>
          </cell>
        </row>
        <row r="388">
          <cell r="B388">
            <v>107</v>
          </cell>
          <cell r="I388">
            <v>7.1</v>
          </cell>
        </row>
        <row r="389">
          <cell r="B389">
            <v>115</v>
          </cell>
          <cell r="I389">
            <v>6.8</v>
          </cell>
        </row>
        <row r="390">
          <cell r="B390">
            <v>100</v>
          </cell>
          <cell r="I390">
            <v>4.8</v>
          </cell>
        </row>
        <row r="391">
          <cell r="B391">
            <v>104</v>
          </cell>
          <cell r="I391">
            <v>6.2</v>
          </cell>
        </row>
        <row r="392">
          <cell r="B392">
            <v>138</v>
          </cell>
          <cell r="I392">
            <v>6.9</v>
          </cell>
        </row>
        <row r="393">
          <cell r="B393">
            <v>140</v>
          </cell>
          <cell r="I393">
            <v>7.3</v>
          </cell>
        </row>
        <row r="394">
          <cell r="B394">
            <v>120</v>
          </cell>
          <cell r="I394">
            <v>6.6</v>
          </cell>
        </row>
        <row r="395">
          <cell r="B395">
            <v>122</v>
          </cell>
          <cell r="I395">
            <v>6.9</v>
          </cell>
        </row>
        <row r="396">
          <cell r="B396">
            <v>83</v>
          </cell>
          <cell r="I396">
            <v>6.2</v>
          </cell>
        </row>
        <row r="397">
          <cell r="B397">
            <v>139</v>
          </cell>
          <cell r="I397">
            <v>6.7</v>
          </cell>
        </row>
        <row r="398">
          <cell r="B398">
            <v>131</v>
          </cell>
          <cell r="I398">
            <v>7.6</v>
          </cell>
        </row>
        <row r="399">
          <cell r="B399">
            <v>104</v>
          </cell>
          <cell r="I399">
            <v>6.7</v>
          </cell>
        </row>
        <row r="400">
          <cell r="B400">
            <v>130</v>
          </cell>
          <cell r="I400">
            <v>6.2</v>
          </cell>
        </row>
        <row r="401">
          <cell r="B401">
            <v>145</v>
          </cell>
          <cell r="I401">
            <v>7.3</v>
          </cell>
        </row>
        <row r="402">
          <cell r="B402">
            <v>104</v>
          </cell>
          <cell r="I402">
            <v>6</v>
          </cell>
        </row>
        <row r="403">
          <cell r="B403">
            <v>97</v>
          </cell>
          <cell r="I403">
            <v>7.1</v>
          </cell>
        </row>
        <row r="404">
          <cell r="B404">
            <v>178</v>
          </cell>
          <cell r="I404">
            <v>7.1</v>
          </cell>
        </row>
        <row r="405">
          <cell r="B405">
            <v>108</v>
          </cell>
          <cell r="I405">
            <v>5.5</v>
          </cell>
        </row>
        <row r="406">
          <cell r="B406">
            <v>106</v>
          </cell>
          <cell r="I406">
            <v>5.6</v>
          </cell>
        </row>
        <row r="407">
          <cell r="B407">
            <v>112</v>
          </cell>
          <cell r="I407">
            <v>7.5</v>
          </cell>
        </row>
        <row r="408">
          <cell r="B408">
            <v>135</v>
          </cell>
          <cell r="I408">
            <v>5.4</v>
          </cell>
        </row>
        <row r="409">
          <cell r="B409">
            <v>109</v>
          </cell>
          <cell r="I409">
            <v>4.3</v>
          </cell>
        </row>
        <row r="410">
          <cell r="B410">
            <v>86</v>
          </cell>
          <cell r="I410">
            <v>4.9000000000000004</v>
          </cell>
        </row>
        <row r="411">
          <cell r="B411">
            <v>95</v>
          </cell>
          <cell r="I411">
            <v>7.1</v>
          </cell>
        </row>
        <row r="412">
          <cell r="B412">
            <v>107</v>
          </cell>
          <cell r="I412">
            <v>6.4</v>
          </cell>
        </row>
        <row r="413">
          <cell r="B413">
            <v>82</v>
          </cell>
          <cell r="I413">
            <v>4.3</v>
          </cell>
        </row>
        <row r="414">
          <cell r="B414">
            <v>88</v>
          </cell>
          <cell r="I414">
            <v>6.1</v>
          </cell>
        </row>
        <row r="415">
          <cell r="B415">
            <v>120</v>
          </cell>
          <cell r="I415">
            <v>7</v>
          </cell>
        </row>
        <row r="416">
          <cell r="B416">
            <v>162</v>
          </cell>
          <cell r="I416">
            <v>7.7</v>
          </cell>
        </row>
        <row r="417">
          <cell r="B417">
            <v>123</v>
          </cell>
          <cell r="I417">
            <v>5.9</v>
          </cell>
        </row>
        <row r="418">
          <cell r="B418">
            <v>101</v>
          </cell>
          <cell r="I418">
            <v>6.7</v>
          </cell>
        </row>
        <row r="419">
          <cell r="B419">
            <v>113</v>
          </cell>
          <cell r="I419">
            <v>6.5</v>
          </cell>
        </row>
        <row r="420">
          <cell r="B420">
            <v>110</v>
          </cell>
          <cell r="I420">
            <v>7.1</v>
          </cell>
        </row>
        <row r="421">
          <cell r="B421">
            <v>142</v>
          </cell>
          <cell r="I421">
            <v>7.3</v>
          </cell>
        </row>
        <row r="422">
          <cell r="B422">
            <v>102</v>
          </cell>
          <cell r="I422">
            <v>6.5</v>
          </cell>
        </row>
        <row r="423">
          <cell r="B423">
            <v>126</v>
          </cell>
          <cell r="I423">
            <v>7</v>
          </cell>
        </row>
        <row r="424">
          <cell r="B424">
            <v>83</v>
          </cell>
          <cell r="I424">
            <v>6.8</v>
          </cell>
        </row>
        <row r="425">
          <cell r="B425">
            <v>85</v>
          </cell>
          <cell r="I425">
            <v>7.2</v>
          </cell>
        </row>
        <row r="426">
          <cell r="B426">
            <v>120</v>
          </cell>
          <cell r="I426">
            <v>6.1</v>
          </cell>
        </row>
        <row r="427">
          <cell r="B427">
            <v>116</v>
          </cell>
          <cell r="I427">
            <v>6.7</v>
          </cell>
        </row>
        <row r="428">
          <cell r="B428">
            <v>113</v>
          </cell>
          <cell r="I428">
            <v>6.4</v>
          </cell>
        </row>
        <row r="429">
          <cell r="B429">
            <v>87</v>
          </cell>
          <cell r="I429">
            <v>4.4000000000000004</v>
          </cell>
        </row>
        <row r="430">
          <cell r="B430">
            <v>101</v>
          </cell>
          <cell r="I430">
            <v>5.4</v>
          </cell>
        </row>
        <row r="431">
          <cell r="B431">
            <v>110</v>
          </cell>
          <cell r="I431">
            <v>6.5</v>
          </cell>
        </row>
        <row r="432">
          <cell r="B432">
            <v>128</v>
          </cell>
          <cell r="I432">
            <v>6.7</v>
          </cell>
        </row>
        <row r="433">
          <cell r="B433">
            <v>138</v>
          </cell>
          <cell r="I433">
            <v>8.1</v>
          </cell>
        </row>
        <row r="434">
          <cell r="B434">
            <v>88</v>
          </cell>
          <cell r="I434">
            <v>5.6</v>
          </cell>
        </row>
        <row r="435">
          <cell r="B435">
            <v>91</v>
          </cell>
          <cell r="I435">
            <v>6.3</v>
          </cell>
        </row>
        <row r="436">
          <cell r="B436">
            <v>138</v>
          </cell>
          <cell r="I436">
            <v>7.3</v>
          </cell>
        </row>
        <row r="437">
          <cell r="B437">
            <v>99</v>
          </cell>
          <cell r="I437">
            <v>6.1</v>
          </cell>
        </row>
        <row r="438">
          <cell r="B438">
            <v>117</v>
          </cell>
          <cell r="I438">
            <v>7.7</v>
          </cell>
        </row>
        <row r="439">
          <cell r="B439">
            <v>117</v>
          </cell>
          <cell r="I439">
            <v>6.4</v>
          </cell>
        </row>
        <row r="440">
          <cell r="B440">
            <v>123</v>
          </cell>
          <cell r="I440">
            <v>6.8</v>
          </cell>
        </row>
        <row r="441">
          <cell r="B441">
            <v>118</v>
          </cell>
          <cell r="I441">
            <v>6.6</v>
          </cell>
        </row>
        <row r="442">
          <cell r="B442">
            <v>154</v>
          </cell>
          <cell r="I442">
            <v>7.2</v>
          </cell>
        </row>
        <row r="443">
          <cell r="B443">
            <v>118</v>
          </cell>
          <cell r="I443">
            <v>6.9</v>
          </cell>
        </row>
        <row r="444">
          <cell r="B444">
            <v>90</v>
          </cell>
          <cell r="I444">
            <v>5.2</v>
          </cell>
        </row>
        <row r="445">
          <cell r="B445">
            <v>113</v>
          </cell>
          <cell r="I445">
            <v>4.9000000000000004</v>
          </cell>
        </row>
        <row r="446">
          <cell r="B446">
            <v>88</v>
          </cell>
          <cell r="I446">
            <v>6.3</v>
          </cell>
        </row>
        <row r="447">
          <cell r="B447">
            <v>93</v>
          </cell>
          <cell r="I447">
            <v>5.6</v>
          </cell>
        </row>
        <row r="448">
          <cell r="B448">
            <v>104</v>
          </cell>
          <cell r="I448">
            <v>5.5</v>
          </cell>
        </row>
        <row r="449">
          <cell r="B449">
            <v>135</v>
          </cell>
          <cell r="I449">
            <v>6.7</v>
          </cell>
        </row>
        <row r="450">
          <cell r="B450">
            <v>134</v>
          </cell>
          <cell r="I450">
            <v>7.6</v>
          </cell>
        </row>
        <row r="451">
          <cell r="B451">
            <v>98</v>
          </cell>
          <cell r="I451">
            <v>5.7</v>
          </cell>
        </row>
        <row r="452">
          <cell r="B452">
            <v>80</v>
          </cell>
          <cell r="I452">
            <v>4.5999999999999996</v>
          </cell>
        </row>
        <row r="453">
          <cell r="B453">
            <v>83</v>
          </cell>
          <cell r="I453">
            <v>7</v>
          </cell>
        </row>
        <row r="454">
          <cell r="B454">
            <v>102</v>
          </cell>
          <cell r="I454">
            <v>5.2</v>
          </cell>
        </row>
        <row r="455">
          <cell r="B455">
            <v>130</v>
          </cell>
          <cell r="I455">
            <v>5.0999999999999996</v>
          </cell>
        </row>
        <row r="456">
          <cell r="B456">
            <v>129</v>
          </cell>
          <cell r="I456">
            <v>6.6</v>
          </cell>
        </row>
        <row r="457">
          <cell r="B457">
            <v>89</v>
          </cell>
          <cell r="I457">
            <v>6.7</v>
          </cell>
        </row>
        <row r="458">
          <cell r="B458">
            <v>74</v>
          </cell>
          <cell r="I458">
            <v>7.3</v>
          </cell>
        </row>
        <row r="459">
          <cell r="B459">
            <v>96</v>
          </cell>
          <cell r="I459">
            <v>5.9</v>
          </cell>
        </row>
        <row r="460">
          <cell r="B460">
            <v>114</v>
          </cell>
          <cell r="I460">
            <v>5.6</v>
          </cell>
        </row>
        <row r="461">
          <cell r="B461">
            <v>99</v>
          </cell>
          <cell r="I461">
            <v>6.5</v>
          </cell>
        </row>
        <row r="462">
          <cell r="B462">
            <v>129</v>
          </cell>
          <cell r="I462">
            <v>5.9</v>
          </cell>
        </row>
        <row r="463">
          <cell r="B463">
            <v>113</v>
          </cell>
          <cell r="I463">
            <v>7</v>
          </cell>
        </row>
        <row r="464">
          <cell r="B464">
            <v>90</v>
          </cell>
          <cell r="I464">
            <v>5.3</v>
          </cell>
        </row>
        <row r="465">
          <cell r="B465">
            <v>118</v>
          </cell>
          <cell r="I465">
            <v>5.9</v>
          </cell>
        </row>
        <row r="466">
          <cell r="B466">
            <v>106</v>
          </cell>
          <cell r="I466">
            <v>6.3</v>
          </cell>
        </row>
        <row r="467">
          <cell r="B467">
            <v>89</v>
          </cell>
          <cell r="I467">
            <v>6.3</v>
          </cell>
        </row>
        <row r="468">
          <cell r="B468">
            <v>145</v>
          </cell>
          <cell r="I468">
            <v>7.3</v>
          </cell>
        </row>
        <row r="469">
          <cell r="B469">
            <v>114</v>
          </cell>
          <cell r="I469">
            <v>5.8</v>
          </cell>
        </row>
        <row r="470">
          <cell r="B470">
            <v>87</v>
          </cell>
          <cell r="I470">
            <v>5.2</v>
          </cell>
        </row>
        <row r="471">
          <cell r="B471">
            <v>119</v>
          </cell>
          <cell r="I471">
            <v>2.4</v>
          </cell>
        </row>
        <row r="472">
          <cell r="B472">
            <v>91</v>
          </cell>
          <cell r="I472">
            <v>5.7</v>
          </cell>
        </row>
        <row r="473">
          <cell r="B473">
            <v>118</v>
          </cell>
          <cell r="I473">
            <v>5.8</v>
          </cell>
        </row>
        <row r="474">
          <cell r="B474">
            <v>116</v>
          </cell>
          <cell r="I474">
            <v>5.6</v>
          </cell>
        </row>
        <row r="475">
          <cell r="B475">
            <v>177</v>
          </cell>
          <cell r="I475">
            <v>6</v>
          </cell>
        </row>
        <row r="476">
          <cell r="B476">
            <v>97</v>
          </cell>
          <cell r="I476">
            <v>5.8</v>
          </cell>
        </row>
        <row r="477">
          <cell r="B477">
            <v>106</v>
          </cell>
          <cell r="I477">
            <v>6</v>
          </cell>
        </row>
        <row r="478">
          <cell r="B478">
            <v>106</v>
          </cell>
          <cell r="I478">
            <v>5.7</v>
          </cell>
        </row>
        <row r="479">
          <cell r="B479">
            <v>94</v>
          </cell>
          <cell r="I479">
            <v>6</v>
          </cell>
        </row>
        <row r="480">
          <cell r="B480">
            <v>104</v>
          </cell>
          <cell r="I480">
            <v>7.8</v>
          </cell>
        </row>
        <row r="481">
          <cell r="B481">
            <v>102</v>
          </cell>
          <cell r="I481">
            <v>4.2</v>
          </cell>
        </row>
        <row r="482">
          <cell r="B482">
            <v>105</v>
          </cell>
          <cell r="I482">
            <v>5.6</v>
          </cell>
        </row>
        <row r="483">
          <cell r="B483">
            <v>135</v>
          </cell>
          <cell r="I483">
            <v>8.1999999999999993</v>
          </cell>
        </row>
        <row r="484">
          <cell r="B484">
            <v>73</v>
          </cell>
          <cell r="I484">
            <v>8.5</v>
          </cell>
        </row>
        <row r="485">
          <cell r="B485">
            <v>94</v>
          </cell>
          <cell r="I485">
            <v>5.8</v>
          </cell>
        </row>
        <row r="486">
          <cell r="B486">
            <v>95</v>
          </cell>
          <cell r="I486">
            <v>6.5</v>
          </cell>
        </row>
        <row r="487">
          <cell r="B487">
            <v>124</v>
          </cell>
          <cell r="I487">
            <v>7.2</v>
          </cell>
        </row>
        <row r="488">
          <cell r="B488">
            <v>136</v>
          </cell>
          <cell r="I488">
            <v>6.7</v>
          </cell>
        </row>
        <row r="489">
          <cell r="B489">
            <v>91</v>
          </cell>
          <cell r="I489">
            <v>3.4</v>
          </cell>
        </row>
        <row r="490">
          <cell r="B490">
            <v>107</v>
          </cell>
          <cell r="I490">
            <v>5.9</v>
          </cell>
        </row>
        <row r="491">
          <cell r="B491">
            <v>108</v>
          </cell>
          <cell r="I491">
            <v>7.8</v>
          </cell>
        </row>
        <row r="492">
          <cell r="B492">
            <v>99</v>
          </cell>
          <cell r="I492">
            <v>5.9</v>
          </cell>
        </row>
        <row r="493">
          <cell r="B493">
            <v>92</v>
          </cell>
          <cell r="I493">
            <v>4.0999999999999996</v>
          </cell>
        </row>
        <row r="494">
          <cell r="B494">
            <v>87</v>
          </cell>
          <cell r="I494">
            <v>6.8</v>
          </cell>
        </row>
        <row r="495">
          <cell r="B495">
            <v>110</v>
          </cell>
          <cell r="I495">
            <v>5.8</v>
          </cell>
        </row>
        <row r="496">
          <cell r="B496">
            <v>98</v>
          </cell>
          <cell r="I496">
            <v>7.5</v>
          </cell>
        </row>
        <row r="497">
          <cell r="B497">
            <v>154</v>
          </cell>
          <cell r="I497">
            <v>6.9</v>
          </cell>
        </row>
        <row r="498">
          <cell r="B498">
            <v>129</v>
          </cell>
          <cell r="I498">
            <v>6.5</v>
          </cell>
        </row>
        <row r="499">
          <cell r="B499">
            <v>86</v>
          </cell>
          <cell r="I499">
            <v>6.9</v>
          </cell>
        </row>
        <row r="500">
          <cell r="B500">
            <v>109</v>
          </cell>
          <cell r="I500">
            <v>7.9</v>
          </cell>
        </row>
        <row r="501">
          <cell r="B501">
            <v>104</v>
          </cell>
          <cell r="I501">
            <v>7.4</v>
          </cell>
        </row>
        <row r="502">
          <cell r="B502">
            <v>110</v>
          </cell>
          <cell r="I502">
            <v>6.7</v>
          </cell>
        </row>
        <row r="503">
          <cell r="B503">
            <v>136</v>
          </cell>
          <cell r="I503">
            <v>7.4</v>
          </cell>
        </row>
        <row r="504">
          <cell r="B504">
            <v>115</v>
          </cell>
          <cell r="I504">
            <v>6.9</v>
          </cell>
        </row>
        <row r="505">
          <cell r="B505">
            <v>99</v>
          </cell>
          <cell r="I505">
            <v>6.8</v>
          </cell>
        </row>
        <row r="506">
          <cell r="B506">
            <v>117</v>
          </cell>
          <cell r="I506">
            <v>6.7</v>
          </cell>
        </row>
        <row r="507">
          <cell r="B507">
            <v>125</v>
          </cell>
          <cell r="I507">
            <v>5.0999999999999996</v>
          </cell>
        </row>
        <row r="508">
          <cell r="B508">
            <v>110</v>
          </cell>
          <cell r="I508">
            <v>4.0999999999999996</v>
          </cell>
        </row>
        <row r="509">
          <cell r="B509">
            <v>125</v>
          </cell>
          <cell r="I509">
            <v>7.3</v>
          </cell>
        </row>
        <row r="510">
          <cell r="B510">
            <v>102</v>
          </cell>
          <cell r="I510">
            <v>6</v>
          </cell>
        </row>
        <row r="511">
          <cell r="B511">
            <v>128</v>
          </cell>
          <cell r="I511">
            <v>7.3</v>
          </cell>
        </row>
        <row r="512">
          <cell r="B512">
            <v>100</v>
          </cell>
          <cell r="I512">
            <v>5.4</v>
          </cell>
        </row>
        <row r="513">
          <cell r="B513">
            <v>124</v>
          </cell>
          <cell r="I513">
            <v>5.9</v>
          </cell>
        </row>
        <row r="514">
          <cell r="B514">
            <v>102</v>
          </cell>
          <cell r="I514">
            <v>7.1</v>
          </cell>
        </row>
        <row r="515">
          <cell r="B515">
            <v>90</v>
          </cell>
          <cell r="I515">
            <v>6</v>
          </cell>
        </row>
        <row r="516">
          <cell r="B516">
            <v>130</v>
          </cell>
          <cell r="I516">
            <v>6.5</v>
          </cell>
        </row>
        <row r="517">
          <cell r="B517">
            <v>118</v>
          </cell>
          <cell r="I517">
            <v>5.7</v>
          </cell>
        </row>
        <row r="518">
          <cell r="B518">
            <v>163</v>
          </cell>
          <cell r="I518">
            <v>7.6</v>
          </cell>
        </row>
        <row r="519">
          <cell r="B519">
            <v>142</v>
          </cell>
          <cell r="I519">
            <v>6.6</v>
          </cell>
        </row>
        <row r="520">
          <cell r="B520">
            <v>100</v>
          </cell>
          <cell r="I520">
            <v>5.4</v>
          </cell>
        </row>
        <row r="521">
          <cell r="B521">
            <v>116</v>
          </cell>
          <cell r="I521">
            <v>7.3</v>
          </cell>
        </row>
        <row r="522">
          <cell r="B522">
            <v>131</v>
          </cell>
          <cell r="I522">
            <v>6.5</v>
          </cell>
        </row>
        <row r="523">
          <cell r="B523">
            <v>91</v>
          </cell>
          <cell r="I523">
            <v>6.6</v>
          </cell>
        </row>
        <row r="524">
          <cell r="B524">
            <v>123</v>
          </cell>
          <cell r="I524">
            <v>6.6</v>
          </cell>
        </row>
        <row r="525">
          <cell r="B525">
            <v>134</v>
          </cell>
          <cell r="I525">
            <v>5.9</v>
          </cell>
        </row>
        <row r="526">
          <cell r="B526">
            <v>148</v>
          </cell>
          <cell r="I526">
            <v>6.7</v>
          </cell>
        </row>
        <row r="527">
          <cell r="B527">
            <v>110</v>
          </cell>
          <cell r="I527">
            <v>6.1</v>
          </cell>
        </row>
        <row r="528">
          <cell r="B528">
            <v>113</v>
          </cell>
          <cell r="I528">
            <v>6.6</v>
          </cell>
        </row>
        <row r="529">
          <cell r="B529">
            <v>94</v>
          </cell>
          <cell r="I529">
            <v>6.6</v>
          </cell>
        </row>
        <row r="530">
          <cell r="B530">
            <v>116</v>
          </cell>
          <cell r="I530">
            <v>5.3</v>
          </cell>
        </row>
        <row r="531">
          <cell r="B531">
            <v>99</v>
          </cell>
          <cell r="I531">
            <v>6</v>
          </cell>
        </row>
        <row r="532">
          <cell r="B532">
            <v>93</v>
          </cell>
          <cell r="I532">
            <v>4.7</v>
          </cell>
        </row>
        <row r="533">
          <cell r="B533">
            <v>113</v>
          </cell>
          <cell r="I533">
            <v>6.1</v>
          </cell>
        </row>
        <row r="534">
          <cell r="B534">
            <v>106</v>
          </cell>
          <cell r="I534">
            <v>7.2</v>
          </cell>
        </row>
        <row r="535">
          <cell r="B535">
            <v>91</v>
          </cell>
          <cell r="I535">
            <v>6.4</v>
          </cell>
        </row>
        <row r="536">
          <cell r="B536">
            <v>128</v>
          </cell>
          <cell r="I536">
            <v>6.1</v>
          </cell>
        </row>
        <row r="537">
          <cell r="B537">
            <v>98</v>
          </cell>
          <cell r="I537">
            <v>5.9</v>
          </cell>
        </row>
        <row r="538">
          <cell r="B538">
            <v>134</v>
          </cell>
          <cell r="I538">
            <v>6</v>
          </cell>
        </row>
        <row r="539">
          <cell r="B539">
            <v>97</v>
          </cell>
          <cell r="I539">
            <v>6.3</v>
          </cell>
        </row>
        <row r="540">
          <cell r="B540">
            <v>112</v>
          </cell>
          <cell r="I540">
            <v>5.6</v>
          </cell>
        </row>
        <row r="541">
          <cell r="B541">
            <v>153</v>
          </cell>
          <cell r="I541">
            <v>6.4</v>
          </cell>
        </row>
        <row r="542">
          <cell r="B542">
            <v>110</v>
          </cell>
          <cell r="I542">
            <v>7.1</v>
          </cell>
        </row>
        <row r="543">
          <cell r="B543">
            <v>122</v>
          </cell>
          <cell r="I543">
            <v>6.6</v>
          </cell>
        </row>
        <row r="544">
          <cell r="B544">
            <v>87</v>
          </cell>
          <cell r="I544">
            <v>4.5999999999999996</v>
          </cell>
        </row>
        <row r="545">
          <cell r="B545">
            <v>178</v>
          </cell>
          <cell r="I545">
            <v>8.4</v>
          </cell>
        </row>
        <row r="546">
          <cell r="B546">
            <v>125</v>
          </cell>
          <cell r="I546">
            <v>7.1</v>
          </cell>
        </row>
        <row r="547">
          <cell r="B547">
            <v>87</v>
          </cell>
          <cell r="I547">
            <v>7.4</v>
          </cell>
        </row>
        <row r="548">
          <cell r="B548">
            <v>152</v>
          </cell>
          <cell r="I548">
            <v>6.9</v>
          </cell>
        </row>
        <row r="549">
          <cell r="B549">
            <v>116</v>
          </cell>
          <cell r="I549">
            <v>4.5</v>
          </cell>
        </row>
        <row r="550">
          <cell r="B550">
            <v>109</v>
          </cell>
          <cell r="I550">
            <v>7.1</v>
          </cell>
        </row>
        <row r="551">
          <cell r="B551">
            <v>108</v>
          </cell>
          <cell r="I551">
            <v>6.5</v>
          </cell>
        </row>
        <row r="552">
          <cell r="B552">
            <v>85</v>
          </cell>
          <cell r="I552">
            <v>5.3</v>
          </cell>
        </row>
        <row r="553">
          <cell r="B553">
            <v>106</v>
          </cell>
          <cell r="I553">
            <v>6.7</v>
          </cell>
        </row>
        <row r="554">
          <cell r="B554">
            <v>93</v>
          </cell>
          <cell r="I554">
            <v>7.2</v>
          </cell>
        </row>
        <row r="555">
          <cell r="B555">
            <v>117</v>
          </cell>
          <cell r="I555">
            <v>7.2</v>
          </cell>
        </row>
        <row r="556">
          <cell r="B556">
            <v>116</v>
          </cell>
          <cell r="I556">
            <v>5.5</v>
          </cell>
        </row>
        <row r="557">
          <cell r="B557">
            <v>132</v>
          </cell>
          <cell r="I557">
            <v>5.8</v>
          </cell>
        </row>
        <row r="558">
          <cell r="B558">
            <v>92</v>
          </cell>
          <cell r="I558">
            <v>6</v>
          </cell>
        </row>
        <row r="559">
          <cell r="B559">
            <v>139</v>
          </cell>
          <cell r="I559">
            <v>6.6</v>
          </cell>
        </row>
        <row r="560">
          <cell r="B560">
            <v>153</v>
          </cell>
          <cell r="I560">
            <v>8.3000000000000007</v>
          </cell>
        </row>
        <row r="561">
          <cell r="B561">
            <v>142</v>
          </cell>
          <cell r="I561">
            <v>6.7</v>
          </cell>
        </row>
        <row r="562">
          <cell r="B562">
            <v>124</v>
          </cell>
          <cell r="I562">
            <v>7.1</v>
          </cell>
        </row>
        <row r="563">
          <cell r="B563">
            <v>117</v>
          </cell>
          <cell r="I563">
            <v>6</v>
          </cell>
        </row>
        <row r="564">
          <cell r="B564">
            <v>141</v>
          </cell>
          <cell r="I564">
            <v>6.9</v>
          </cell>
        </row>
        <row r="565">
          <cell r="B565">
            <v>110</v>
          </cell>
          <cell r="I565">
            <v>5.6</v>
          </cell>
        </row>
        <row r="566">
          <cell r="B566">
            <v>109</v>
          </cell>
          <cell r="I566">
            <v>5.6</v>
          </cell>
        </row>
        <row r="567">
          <cell r="B567">
            <v>88</v>
          </cell>
          <cell r="I567">
            <v>4.5</v>
          </cell>
        </row>
        <row r="568">
          <cell r="B568">
            <v>124</v>
          </cell>
          <cell r="I568">
            <v>7.1</v>
          </cell>
        </row>
        <row r="569">
          <cell r="B569">
            <v>119</v>
          </cell>
          <cell r="I569">
            <v>6.5</v>
          </cell>
        </row>
        <row r="570">
          <cell r="B570">
            <v>103</v>
          </cell>
          <cell r="I570">
            <v>6.4</v>
          </cell>
        </row>
        <row r="571">
          <cell r="B571">
            <v>116</v>
          </cell>
          <cell r="I571">
            <v>5.8</v>
          </cell>
        </row>
        <row r="572">
          <cell r="B572">
            <v>125</v>
          </cell>
          <cell r="I572">
            <v>8</v>
          </cell>
        </row>
        <row r="573">
          <cell r="B573">
            <v>125</v>
          </cell>
          <cell r="I573">
            <v>6.2</v>
          </cell>
        </row>
        <row r="574">
          <cell r="B574">
            <v>146</v>
          </cell>
          <cell r="I574">
            <v>7.2</v>
          </cell>
        </row>
        <row r="575">
          <cell r="B575">
            <v>118</v>
          </cell>
          <cell r="I575">
            <v>6.1</v>
          </cell>
        </row>
        <row r="576">
          <cell r="B576">
            <v>171</v>
          </cell>
          <cell r="I576">
            <v>7.6</v>
          </cell>
        </row>
        <row r="577">
          <cell r="B577">
            <v>136</v>
          </cell>
          <cell r="I577">
            <v>6.3</v>
          </cell>
        </row>
        <row r="578">
          <cell r="B578">
            <v>92</v>
          </cell>
          <cell r="I578">
            <v>6.3</v>
          </cell>
        </row>
        <row r="579">
          <cell r="B579">
            <v>116</v>
          </cell>
          <cell r="I579">
            <v>6.3</v>
          </cell>
        </row>
        <row r="580">
          <cell r="B580">
            <v>127</v>
          </cell>
          <cell r="I580">
            <v>7.7</v>
          </cell>
        </row>
        <row r="581">
          <cell r="B581">
            <v>136</v>
          </cell>
          <cell r="I581">
            <v>7</v>
          </cell>
        </row>
        <row r="582">
          <cell r="B582">
            <v>111</v>
          </cell>
          <cell r="I582">
            <v>5.3</v>
          </cell>
        </row>
        <row r="583">
          <cell r="B583">
            <v>116</v>
          </cell>
          <cell r="I583">
            <v>5.6</v>
          </cell>
        </row>
        <row r="584">
          <cell r="B584">
            <v>113</v>
          </cell>
          <cell r="I584">
            <v>5.2</v>
          </cell>
        </row>
        <row r="585">
          <cell r="B585">
            <v>97</v>
          </cell>
          <cell r="I585">
            <v>5.4</v>
          </cell>
        </row>
        <row r="586">
          <cell r="B586">
            <v>88</v>
          </cell>
          <cell r="I586">
            <v>6.4</v>
          </cell>
        </row>
        <row r="587">
          <cell r="B587">
            <v>136</v>
          </cell>
          <cell r="I587">
            <v>5.9</v>
          </cell>
        </row>
        <row r="588">
          <cell r="B588">
            <v>125</v>
          </cell>
          <cell r="I588">
            <v>6.3</v>
          </cell>
        </row>
        <row r="589">
          <cell r="B589">
            <v>116</v>
          </cell>
          <cell r="I589">
            <v>6.5</v>
          </cell>
        </row>
        <row r="590">
          <cell r="B590">
            <v>98</v>
          </cell>
          <cell r="I590">
            <v>3</v>
          </cell>
        </row>
        <row r="591">
          <cell r="B591">
            <v>91</v>
          </cell>
          <cell r="I591">
            <v>3.6</v>
          </cell>
        </row>
        <row r="592">
          <cell r="B592">
            <v>97</v>
          </cell>
          <cell r="I592">
            <v>5.8</v>
          </cell>
        </row>
        <row r="593">
          <cell r="B593">
            <v>95</v>
          </cell>
          <cell r="I593">
            <v>6.2</v>
          </cell>
        </row>
        <row r="594">
          <cell r="B594">
            <v>88</v>
          </cell>
          <cell r="I594">
            <v>5.6</v>
          </cell>
        </row>
        <row r="595">
          <cell r="B595">
            <v>133</v>
          </cell>
          <cell r="I595">
            <v>5.4</v>
          </cell>
        </row>
        <row r="596">
          <cell r="B596">
            <v>106</v>
          </cell>
          <cell r="I596">
            <v>6.1</v>
          </cell>
        </row>
        <row r="597">
          <cell r="B597">
            <v>116</v>
          </cell>
          <cell r="I597">
            <v>4.2</v>
          </cell>
        </row>
        <row r="598">
          <cell r="B598">
            <v>115</v>
          </cell>
          <cell r="I598">
            <v>6.7</v>
          </cell>
        </row>
        <row r="599">
          <cell r="B599">
            <v>99</v>
          </cell>
          <cell r="I599">
            <v>4.2</v>
          </cell>
        </row>
        <row r="600">
          <cell r="B600">
            <v>124</v>
          </cell>
          <cell r="I600">
            <v>6.4</v>
          </cell>
        </row>
        <row r="601">
          <cell r="B601">
            <v>124</v>
          </cell>
          <cell r="I601">
            <v>4.9000000000000004</v>
          </cell>
        </row>
        <row r="602">
          <cell r="B602">
            <v>124</v>
          </cell>
          <cell r="I602">
            <v>6.8</v>
          </cell>
        </row>
        <row r="603">
          <cell r="B603">
            <v>87</v>
          </cell>
          <cell r="I603">
            <v>7.7</v>
          </cell>
        </row>
        <row r="604">
          <cell r="B604">
            <v>105</v>
          </cell>
          <cell r="I604">
            <v>5.6</v>
          </cell>
        </row>
        <row r="605">
          <cell r="B605">
            <v>125</v>
          </cell>
          <cell r="I605">
            <v>6.4</v>
          </cell>
        </row>
        <row r="606">
          <cell r="B606">
            <v>141</v>
          </cell>
          <cell r="I606">
            <v>7.2</v>
          </cell>
        </row>
        <row r="607">
          <cell r="B607">
            <v>121</v>
          </cell>
          <cell r="I607">
            <v>6</v>
          </cell>
        </row>
        <row r="608">
          <cell r="B608">
            <v>111</v>
          </cell>
          <cell r="I608">
            <v>5.9</v>
          </cell>
        </row>
        <row r="609">
          <cell r="B609">
            <v>157</v>
          </cell>
          <cell r="I609">
            <v>7.9</v>
          </cell>
        </row>
        <row r="610">
          <cell r="B610">
            <v>128</v>
          </cell>
          <cell r="I610">
            <v>7.1</v>
          </cell>
        </row>
        <row r="611">
          <cell r="B611">
            <v>105</v>
          </cell>
          <cell r="I611">
            <v>5.9</v>
          </cell>
        </row>
        <row r="612">
          <cell r="B612">
            <v>113</v>
          </cell>
          <cell r="I612">
            <v>6.2</v>
          </cell>
        </row>
        <row r="613">
          <cell r="B613">
            <v>121</v>
          </cell>
          <cell r="I613">
            <v>7</v>
          </cell>
        </row>
        <row r="614">
          <cell r="B614">
            <v>102</v>
          </cell>
          <cell r="I614">
            <v>5.4</v>
          </cell>
        </row>
        <row r="615">
          <cell r="B615">
            <v>169</v>
          </cell>
          <cell r="I615">
            <v>8.6</v>
          </cell>
        </row>
        <row r="616">
          <cell r="B616">
            <v>132</v>
          </cell>
          <cell r="I616">
            <v>6.5</v>
          </cell>
        </row>
        <row r="617">
          <cell r="B617">
            <v>127</v>
          </cell>
          <cell r="I617">
            <v>6.4</v>
          </cell>
        </row>
        <row r="618">
          <cell r="B618">
            <v>103</v>
          </cell>
          <cell r="I618">
            <v>7.6</v>
          </cell>
        </row>
        <row r="619">
          <cell r="B619">
            <v>136</v>
          </cell>
          <cell r="I619">
            <v>5.5</v>
          </cell>
        </row>
        <row r="620">
          <cell r="B620">
            <v>150</v>
          </cell>
          <cell r="I620">
            <v>7.4</v>
          </cell>
        </row>
        <row r="621">
          <cell r="B621">
            <v>136</v>
          </cell>
          <cell r="I621">
            <v>8.6999999999999993</v>
          </cell>
        </row>
        <row r="622">
          <cell r="B622">
            <v>140</v>
          </cell>
          <cell r="I622">
            <v>7.6</v>
          </cell>
        </row>
        <row r="623">
          <cell r="B623">
            <v>104</v>
          </cell>
          <cell r="I623">
            <v>5.5</v>
          </cell>
        </row>
        <row r="624">
          <cell r="B624">
            <v>158</v>
          </cell>
          <cell r="I624">
            <v>7.6</v>
          </cell>
        </row>
        <row r="625">
          <cell r="B625">
            <v>119</v>
          </cell>
          <cell r="I625">
            <v>6.5</v>
          </cell>
        </row>
        <row r="626">
          <cell r="B626">
            <v>106</v>
          </cell>
          <cell r="I626">
            <v>6.9</v>
          </cell>
        </row>
        <row r="627">
          <cell r="B627">
            <v>136</v>
          </cell>
          <cell r="I627">
            <v>6.7</v>
          </cell>
        </row>
        <row r="628">
          <cell r="B628">
            <v>95</v>
          </cell>
          <cell r="I628">
            <v>6.6</v>
          </cell>
        </row>
        <row r="629">
          <cell r="B629">
            <v>137</v>
          </cell>
          <cell r="I629">
            <v>7.2</v>
          </cell>
        </row>
        <row r="630">
          <cell r="B630">
            <v>130</v>
          </cell>
          <cell r="I630">
            <v>6.4</v>
          </cell>
        </row>
        <row r="631">
          <cell r="B631">
            <v>124</v>
          </cell>
          <cell r="I631">
            <v>6.4</v>
          </cell>
        </row>
        <row r="632">
          <cell r="B632">
            <v>108</v>
          </cell>
          <cell r="I632">
            <v>6</v>
          </cell>
        </row>
        <row r="633">
          <cell r="B633">
            <v>104</v>
          </cell>
          <cell r="I633">
            <v>6.1</v>
          </cell>
        </row>
        <row r="634">
          <cell r="B634">
            <v>129</v>
          </cell>
          <cell r="I634">
            <v>6</v>
          </cell>
        </row>
        <row r="635">
          <cell r="B635">
            <v>117</v>
          </cell>
          <cell r="I635">
            <v>6.4</v>
          </cell>
        </row>
        <row r="636">
          <cell r="B636">
            <v>99</v>
          </cell>
          <cell r="I636">
            <v>6.4</v>
          </cell>
        </row>
        <row r="637">
          <cell r="B637">
            <v>159</v>
          </cell>
          <cell r="I637">
            <v>7.3</v>
          </cell>
        </row>
        <row r="638">
          <cell r="B638">
            <v>118</v>
          </cell>
          <cell r="I638">
            <v>5.2</v>
          </cell>
        </row>
        <row r="639">
          <cell r="B639">
            <v>105</v>
          </cell>
          <cell r="I639">
            <v>6.6</v>
          </cell>
        </row>
        <row r="640">
          <cell r="B640">
            <v>103</v>
          </cell>
          <cell r="I640">
            <v>6.3</v>
          </cell>
        </row>
        <row r="641">
          <cell r="B641">
            <v>122</v>
          </cell>
          <cell r="I641">
            <v>5.9</v>
          </cell>
        </row>
        <row r="642">
          <cell r="B642">
            <v>143</v>
          </cell>
          <cell r="I642">
            <v>6.7</v>
          </cell>
        </row>
        <row r="643">
          <cell r="B643">
            <v>96</v>
          </cell>
          <cell r="I643">
            <v>5.4</v>
          </cell>
        </row>
        <row r="644">
          <cell r="B644">
            <v>111</v>
          </cell>
          <cell r="I644">
            <v>6.4</v>
          </cell>
        </row>
        <row r="645">
          <cell r="B645">
            <v>121</v>
          </cell>
          <cell r="I645">
            <v>6.7</v>
          </cell>
        </row>
        <row r="646">
          <cell r="B646">
            <v>135</v>
          </cell>
          <cell r="I646">
            <v>6.2</v>
          </cell>
        </row>
        <row r="647">
          <cell r="B647">
            <v>101</v>
          </cell>
          <cell r="I647">
            <v>6.1</v>
          </cell>
        </row>
        <row r="648">
          <cell r="B648">
            <v>151</v>
          </cell>
          <cell r="I648">
            <v>8.8000000000000007</v>
          </cell>
        </row>
        <row r="649">
          <cell r="B649">
            <v>131</v>
          </cell>
          <cell r="I649">
            <v>7.1</v>
          </cell>
        </row>
        <row r="650">
          <cell r="B650">
            <v>100</v>
          </cell>
          <cell r="I650">
            <v>5.7</v>
          </cell>
        </row>
        <row r="651">
          <cell r="B651">
            <v>105</v>
          </cell>
          <cell r="I651">
            <v>5</v>
          </cell>
        </row>
        <row r="652">
          <cell r="B652">
            <v>92</v>
          </cell>
          <cell r="I652">
            <v>5.0999999999999996</v>
          </cell>
        </row>
        <row r="653">
          <cell r="B653">
            <v>130</v>
          </cell>
          <cell r="I653">
            <v>6.9</v>
          </cell>
        </row>
        <row r="654">
          <cell r="B654">
            <v>100</v>
          </cell>
          <cell r="I654">
            <v>4.8</v>
          </cell>
        </row>
        <row r="655">
          <cell r="B655">
            <v>102</v>
          </cell>
          <cell r="I655">
            <v>6.5</v>
          </cell>
        </row>
        <row r="656">
          <cell r="B656">
            <v>133</v>
          </cell>
          <cell r="I656">
            <v>5.0999999999999996</v>
          </cell>
        </row>
        <row r="657">
          <cell r="B657">
            <v>121</v>
          </cell>
          <cell r="I657">
            <v>7.1</v>
          </cell>
        </row>
        <row r="658">
          <cell r="B658">
            <v>147</v>
          </cell>
          <cell r="I658">
            <v>7.5</v>
          </cell>
        </row>
        <row r="659">
          <cell r="B659">
            <v>94</v>
          </cell>
          <cell r="I659">
            <v>6.2</v>
          </cell>
        </row>
        <row r="660">
          <cell r="B660">
            <v>94</v>
          </cell>
          <cell r="I660">
            <v>6.3</v>
          </cell>
        </row>
        <row r="661">
          <cell r="B661">
            <v>127</v>
          </cell>
          <cell r="I661">
            <v>8.1</v>
          </cell>
        </row>
        <row r="662">
          <cell r="B662">
            <v>212</v>
          </cell>
          <cell r="I662">
            <v>6.6</v>
          </cell>
        </row>
        <row r="663">
          <cell r="B663">
            <v>141</v>
          </cell>
          <cell r="I663">
            <v>6.9</v>
          </cell>
        </row>
        <row r="664">
          <cell r="B664">
            <v>103</v>
          </cell>
          <cell r="I664">
            <v>6.1</v>
          </cell>
        </row>
        <row r="665">
          <cell r="B665">
            <v>98</v>
          </cell>
          <cell r="I665">
            <v>4.3</v>
          </cell>
        </row>
        <row r="666">
          <cell r="B666">
            <v>116</v>
          </cell>
          <cell r="I666">
            <v>6.6</v>
          </cell>
        </row>
        <row r="667">
          <cell r="B667">
            <v>114</v>
          </cell>
          <cell r="I667">
            <v>6.8</v>
          </cell>
        </row>
        <row r="668">
          <cell r="B668">
            <v>87</v>
          </cell>
          <cell r="I668">
            <v>3.8</v>
          </cell>
        </row>
        <row r="669">
          <cell r="B669">
            <v>125</v>
          </cell>
          <cell r="I669">
            <v>5.9</v>
          </cell>
        </row>
        <row r="670">
          <cell r="B670">
            <v>187</v>
          </cell>
          <cell r="I670">
            <v>7.9</v>
          </cell>
        </row>
        <row r="671">
          <cell r="B671">
            <v>93</v>
          </cell>
          <cell r="I671">
            <v>6.3</v>
          </cell>
        </row>
        <row r="672">
          <cell r="B672">
            <v>95</v>
          </cell>
          <cell r="I672">
            <v>5.5</v>
          </cell>
        </row>
        <row r="673">
          <cell r="B673">
            <v>117</v>
          </cell>
          <cell r="I673">
            <v>7.7</v>
          </cell>
        </row>
        <row r="674">
          <cell r="B674">
            <v>106</v>
          </cell>
          <cell r="I674">
            <v>6.3</v>
          </cell>
        </row>
        <row r="675">
          <cell r="B675">
            <v>115</v>
          </cell>
          <cell r="I675">
            <v>7.1</v>
          </cell>
        </row>
        <row r="676">
          <cell r="B676">
            <v>189</v>
          </cell>
          <cell r="I676">
            <v>8.5</v>
          </cell>
        </row>
        <row r="677">
          <cell r="B677">
            <v>81</v>
          </cell>
          <cell r="I677">
            <v>5.8</v>
          </cell>
        </row>
        <row r="678">
          <cell r="B678">
            <v>149</v>
          </cell>
          <cell r="I678">
            <v>8.1</v>
          </cell>
        </row>
        <row r="679">
          <cell r="B679">
            <v>119</v>
          </cell>
          <cell r="I679">
            <v>7.9</v>
          </cell>
        </row>
        <row r="680">
          <cell r="B680">
            <v>130</v>
          </cell>
          <cell r="I680">
            <v>7.2</v>
          </cell>
        </row>
        <row r="681">
          <cell r="B681">
            <v>116</v>
          </cell>
          <cell r="I681">
            <v>6.3</v>
          </cell>
        </row>
        <row r="682">
          <cell r="B682">
            <v>103</v>
          </cell>
          <cell r="I682">
            <v>8.1</v>
          </cell>
        </row>
        <row r="683">
          <cell r="B683">
            <v>99</v>
          </cell>
          <cell r="I683">
            <v>7</v>
          </cell>
        </row>
        <row r="684">
          <cell r="B684">
            <v>92</v>
          </cell>
          <cell r="I684">
            <v>5.5</v>
          </cell>
        </row>
        <row r="685">
          <cell r="B685">
            <v>109</v>
          </cell>
          <cell r="I685">
            <v>6.7</v>
          </cell>
        </row>
        <row r="686">
          <cell r="B686">
            <v>87</v>
          </cell>
          <cell r="I686">
            <v>5.2</v>
          </cell>
        </row>
        <row r="687">
          <cell r="B687">
            <v>111</v>
          </cell>
          <cell r="I687">
            <v>7</v>
          </cell>
        </row>
        <row r="688">
          <cell r="B688">
            <v>101</v>
          </cell>
          <cell r="I688">
            <v>6.1</v>
          </cell>
        </row>
        <row r="689">
          <cell r="B689">
            <v>83</v>
          </cell>
          <cell r="I689">
            <v>6.6</v>
          </cell>
        </row>
        <row r="690">
          <cell r="B690">
            <v>113</v>
          </cell>
          <cell r="I690">
            <v>5.5</v>
          </cell>
        </row>
        <row r="691">
          <cell r="B691">
            <v>107</v>
          </cell>
          <cell r="I691">
            <v>5.9</v>
          </cell>
        </row>
        <row r="692">
          <cell r="B692">
            <v>94</v>
          </cell>
          <cell r="I692">
            <v>5.4</v>
          </cell>
        </row>
        <row r="693">
          <cell r="B693">
            <v>132</v>
          </cell>
          <cell r="I693">
            <v>6.4</v>
          </cell>
        </row>
        <row r="694">
          <cell r="B694">
            <v>140</v>
          </cell>
          <cell r="I694">
            <v>5.7</v>
          </cell>
        </row>
        <row r="695">
          <cell r="B695">
            <v>125</v>
          </cell>
          <cell r="I695">
            <v>6.7</v>
          </cell>
        </row>
        <row r="696">
          <cell r="B696">
            <v>111</v>
          </cell>
          <cell r="I696">
            <v>7.1</v>
          </cell>
        </row>
        <row r="697">
          <cell r="B697">
            <v>156</v>
          </cell>
          <cell r="I697">
            <v>6.8</v>
          </cell>
        </row>
        <row r="698">
          <cell r="B698">
            <v>170</v>
          </cell>
          <cell r="I698">
            <v>6.5</v>
          </cell>
        </row>
        <row r="699">
          <cell r="B699">
            <v>120</v>
          </cell>
          <cell r="I699">
            <v>7.6</v>
          </cell>
        </row>
        <row r="700">
          <cell r="B700">
            <v>100</v>
          </cell>
          <cell r="I700">
            <v>5.5</v>
          </cell>
        </row>
        <row r="701">
          <cell r="B701">
            <v>115</v>
          </cell>
          <cell r="I701">
            <v>6.5</v>
          </cell>
        </row>
        <row r="702">
          <cell r="B702">
            <v>130</v>
          </cell>
          <cell r="I702">
            <v>7</v>
          </cell>
        </row>
        <row r="703">
          <cell r="B703">
            <v>105</v>
          </cell>
          <cell r="I703">
            <v>5.8</v>
          </cell>
        </row>
        <row r="704">
          <cell r="B704">
            <v>111</v>
          </cell>
          <cell r="I704">
            <v>7.3</v>
          </cell>
        </row>
        <row r="705">
          <cell r="B705">
            <v>106</v>
          </cell>
          <cell r="I705">
            <v>6.6</v>
          </cell>
        </row>
        <row r="706">
          <cell r="B706">
            <v>89</v>
          </cell>
          <cell r="I706">
            <v>4.4000000000000004</v>
          </cell>
        </row>
        <row r="707">
          <cell r="B707">
            <v>100</v>
          </cell>
          <cell r="I707">
            <v>7.7</v>
          </cell>
        </row>
        <row r="708">
          <cell r="B708">
            <v>91</v>
          </cell>
          <cell r="I708">
            <v>5</v>
          </cell>
        </row>
        <row r="709">
          <cell r="B709">
            <v>146</v>
          </cell>
          <cell r="I709">
            <v>7.7</v>
          </cell>
        </row>
        <row r="710">
          <cell r="B710">
            <v>98</v>
          </cell>
          <cell r="I710">
            <v>4.4000000000000004</v>
          </cell>
        </row>
        <row r="711">
          <cell r="B711">
            <v>101</v>
          </cell>
          <cell r="I711">
            <v>6.1</v>
          </cell>
        </row>
        <row r="712">
          <cell r="B712">
            <v>94</v>
          </cell>
          <cell r="I712">
            <v>5.4</v>
          </cell>
        </row>
        <row r="713">
          <cell r="B713">
            <v>132</v>
          </cell>
          <cell r="I713">
            <v>6.8</v>
          </cell>
        </row>
        <row r="714">
          <cell r="B714">
            <v>115</v>
          </cell>
          <cell r="I714">
            <v>6.5</v>
          </cell>
        </row>
        <row r="715">
          <cell r="B715">
            <v>92</v>
          </cell>
          <cell r="I715">
            <v>7</v>
          </cell>
        </row>
        <row r="716">
          <cell r="B716">
            <v>124</v>
          </cell>
          <cell r="I716">
            <v>6.3</v>
          </cell>
        </row>
        <row r="717">
          <cell r="B717">
            <v>119</v>
          </cell>
          <cell r="I717">
            <v>6.3</v>
          </cell>
        </row>
        <row r="718">
          <cell r="B718">
            <v>124</v>
          </cell>
          <cell r="I718">
            <v>6.1</v>
          </cell>
        </row>
        <row r="719">
          <cell r="B719">
            <v>93</v>
          </cell>
          <cell r="I719">
            <v>6.1</v>
          </cell>
        </row>
        <row r="720">
          <cell r="B720">
            <v>98</v>
          </cell>
          <cell r="I720">
            <v>5.3</v>
          </cell>
        </row>
        <row r="721">
          <cell r="B721">
            <v>92</v>
          </cell>
          <cell r="I721">
            <v>5.4</v>
          </cell>
        </row>
        <row r="722">
          <cell r="B722">
            <v>105</v>
          </cell>
          <cell r="I722">
            <v>6.2</v>
          </cell>
        </row>
        <row r="723">
          <cell r="B723">
            <v>124</v>
          </cell>
          <cell r="I723">
            <v>6.6</v>
          </cell>
        </row>
        <row r="724">
          <cell r="B724">
            <v>99</v>
          </cell>
          <cell r="I724">
            <v>5.9</v>
          </cell>
        </row>
        <row r="725">
          <cell r="B725">
            <v>116</v>
          </cell>
          <cell r="I725">
            <v>6.3</v>
          </cell>
        </row>
        <row r="726">
          <cell r="B726">
            <v>124</v>
          </cell>
          <cell r="I726">
            <v>7.2</v>
          </cell>
        </row>
        <row r="727">
          <cell r="B727">
            <v>96</v>
          </cell>
          <cell r="I727">
            <v>6.8</v>
          </cell>
        </row>
        <row r="728">
          <cell r="B728">
            <v>104</v>
          </cell>
          <cell r="I728">
            <v>6.1</v>
          </cell>
        </row>
        <row r="729">
          <cell r="B729">
            <v>100</v>
          </cell>
          <cell r="I729">
            <v>7.8</v>
          </cell>
        </row>
        <row r="730">
          <cell r="B730">
            <v>115</v>
          </cell>
          <cell r="I730">
            <v>5</v>
          </cell>
        </row>
        <row r="731">
          <cell r="B731">
            <v>101</v>
          </cell>
          <cell r="I731">
            <v>6.2</v>
          </cell>
        </row>
        <row r="732">
          <cell r="B732">
            <v>113</v>
          </cell>
          <cell r="I732">
            <v>6.7</v>
          </cell>
        </row>
        <row r="733">
          <cell r="B733">
            <v>100</v>
          </cell>
          <cell r="I733">
            <v>4.9000000000000004</v>
          </cell>
        </row>
        <row r="734">
          <cell r="B734">
            <v>134</v>
          </cell>
          <cell r="I734">
            <v>7.4</v>
          </cell>
        </row>
        <row r="735">
          <cell r="B735">
            <v>125</v>
          </cell>
          <cell r="I735">
            <v>6.2</v>
          </cell>
        </row>
        <row r="736">
          <cell r="B736">
            <v>94</v>
          </cell>
          <cell r="I736">
            <v>4.9000000000000004</v>
          </cell>
        </row>
        <row r="737">
          <cell r="B737">
            <v>107</v>
          </cell>
          <cell r="I737">
            <v>6.1</v>
          </cell>
        </row>
        <row r="738">
          <cell r="B738">
            <v>91</v>
          </cell>
          <cell r="I738">
            <v>6.1</v>
          </cell>
        </row>
        <row r="739">
          <cell r="B739">
            <v>116</v>
          </cell>
          <cell r="I739">
            <v>6.4</v>
          </cell>
        </row>
        <row r="740">
          <cell r="B740">
            <v>100</v>
          </cell>
          <cell r="I740">
            <v>6.3</v>
          </cell>
        </row>
        <row r="741">
          <cell r="B741">
            <v>117</v>
          </cell>
          <cell r="I741">
            <v>6.6</v>
          </cell>
        </row>
        <row r="742">
          <cell r="B742">
            <v>110</v>
          </cell>
          <cell r="I742">
            <v>5.7</v>
          </cell>
        </row>
        <row r="743">
          <cell r="B743">
            <v>96</v>
          </cell>
          <cell r="I743">
            <v>5.9</v>
          </cell>
        </row>
        <row r="744">
          <cell r="B744">
            <v>101</v>
          </cell>
          <cell r="I744">
            <v>6</v>
          </cell>
        </row>
        <row r="745">
          <cell r="B745">
            <v>111</v>
          </cell>
          <cell r="I745">
            <v>6.1</v>
          </cell>
        </row>
        <row r="746">
          <cell r="B746">
            <v>117</v>
          </cell>
          <cell r="I746">
            <v>6.7</v>
          </cell>
        </row>
        <row r="747">
          <cell r="B747">
            <v>126</v>
          </cell>
          <cell r="I747">
            <v>6.7</v>
          </cell>
        </row>
        <row r="748">
          <cell r="B748">
            <v>152</v>
          </cell>
          <cell r="I748">
            <v>7.9</v>
          </cell>
        </row>
        <row r="749">
          <cell r="B749">
            <v>101</v>
          </cell>
          <cell r="I749">
            <v>4.3</v>
          </cell>
        </row>
        <row r="750">
          <cell r="B750">
            <v>87</v>
          </cell>
          <cell r="I750">
            <v>5.7</v>
          </cell>
        </row>
        <row r="751">
          <cell r="B751">
            <v>85</v>
          </cell>
          <cell r="I751">
            <v>6.7</v>
          </cell>
        </row>
        <row r="752">
          <cell r="B752">
            <v>130</v>
          </cell>
          <cell r="I752">
            <v>6.7</v>
          </cell>
        </row>
        <row r="753">
          <cell r="B753">
            <v>104</v>
          </cell>
          <cell r="I753">
            <v>6.1</v>
          </cell>
        </row>
        <row r="754">
          <cell r="B754">
            <v>121</v>
          </cell>
          <cell r="I754">
            <v>5.6</v>
          </cell>
        </row>
        <row r="755">
          <cell r="B755">
            <v>140</v>
          </cell>
          <cell r="I755">
            <v>6.6</v>
          </cell>
        </row>
        <row r="756">
          <cell r="B756">
            <v>131</v>
          </cell>
          <cell r="I756">
            <v>6.9</v>
          </cell>
        </row>
        <row r="757">
          <cell r="B757">
            <v>91</v>
          </cell>
          <cell r="I757">
            <v>4.8</v>
          </cell>
        </row>
        <row r="758">
          <cell r="B758">
            <v>118</v>
          </cell>
          <cell r="I758">
            <v>6.2</v>
          </cell>
        </row>
        <row r="759">
          <cell r="B759">
            <v>130</v>
          </cell>
          <cell r="I759">
            <v>6</v>
          </cell>
        </row>
        <row r="760">
          <cell r="B760">
            <v>90</v>
          </cell>
          <cell r="I760">
            <v>4.9000000000000004</v>
          </cell>
        </row>
        <row r="761">
          <cell r="B761">
            <v>103</v>
          </cell>
          <cell r="I761">
            <v>5.6</v>
          </cell>
        </row>
        <row r="762">
          <cell r="B762">
            <v>122</v>
          </cell>
          <cell r="I762">
            <v>6.1</v>
          </cell>
        </row>
        <row r="763">
          <cell r="B763">
            <v>106</v>
          </cell>
          <cell r="I763">
            <v>6.1</v>
          </cell>
        </row>
        <row r="764">
          <cell r="B764">
            <v>103</v>
          </cell>
          <cell r="I764">
            <v>4.8</v>
          </cell>
        </row>
        <row r="765">
          <cell r="B765">
            <v>107</v>
          </cell>
          <cell r="I765">
            <v>5.5</v>
          </cell>
        </row>
        <row r="766">
          <cell r="B766">
            <v>156</v>
          </cell>
          <cell r="I766">
            <v>3.8</v>
          </cell>
        </row>
        <row r="767">
          <cell r="B767">
            <v>127</v>
          </cell>
          <cell r="I767">
            <v>6.5</v>
          </cell>
        </row>
        <row r="768">
          <cell r="B768">
            <v>132</v>
          </cell>
          <cell r="I768">
            <v>6.7</v>
          </cell>
        </row>
        <row r="769">
          <cell r="B769">
            <v>108</v>
          </cell>
          <cell r="I769">
            <v>8.1</v>
          </cell>
        </row>
        <row r="770">
          <cell r="B770">
            <v>114</v>
          </cell>
          <cell r="I770">
            <v>4.9000000000000004</v>
          </cell>
        </row>
        <row r="771">
          <cell r="B771">
            <v>133</v>
          </cell>
          <cell r="I771">
            <v>7.3</v>
          </cell>
        </row>
        <row r="772">
          <cell r="B772">
            <v>103</v>
          </cell>
          <cell r="I772">
            <v>6.4</v>
          </cell>
        </row>
        <row r="773">
          <cell r="B773">
            <v>95</v>
          </cell>
          <cell r="I773">
            <v>6.7</v>
          </cell>
        </row>
        <row r="774">
          <cell r="B774">
            <v>90</v>
          </cell>
          <cell r="I774">
            <v>3.6</v>
          </cell>
        </row>
        <row r="775">
          <cell r="B775">
            <v>87</v>
          </cell>
          <cell r="I775">
            <v>5.7</v>
          </cell>
        </row>
        <row r="776">
          <cell r="B776">
            <v>114</v>
          </cell>
          <cell r="I776">
            <v>6</v>
          </cell>
        </row>
        <row r="777">
          <cell r="B777">
            <v>103</v>
          </cell>
          <cell r="I777">
            <v>4.7</v>
          </cell>
        </row>
        <row r="778">
          <cell r="B778">
            <v>125</v>
          </cell>
          <cell r="I778">
            <v>6.3</v>
          </cell>
        </row>
        <row r="779">
          <cell r="B779">
            <v>97</v>
          </cell>
          <cell r="I779">
            <v>5.9</v>
          </cell>
        </row>
        <row r="780">
          <cell r="B780">
            <v>125</v>
          </cell>
          <cell r="I780">
            <v>5.9</v>
          </cell>
        </row>
        <row r="781">
          <cell r="B781">
            <v>136</v>
          </cell>
          <cell r="I781">
            <v>7.5</v>
          </cell>
        </row>
        <row r="782">
          <cell r="B782">
            <v>116</v>
          </cell>
          <cell r="I782">
            <v>5.6</v>
          </cell>
        </row>
        <row r="783">
          <cell r="B783">
            <v>103</v>
          </cell>
          <cell r="I783">
            <v>6.4</v>
          </cell>
        </row>
        <row r="784">
          <cell r="B784">
            <v>97</v>
          </cell>
          <cell r="I784">
            <v>6.3</v>
          </cell>
        </row>
        <row r="785">
          <cell r="B785">
            <v>96</v>
          </cell>
          <cell r="I785">
            <v>4.3</v>
          </cell>
        </row>
        <row r="786">
          <cell r="B786">
            <v>131</v>
          </cell>
          <cell r="I786">
            <v>5.9</v>
          </cell>
        </row>
        <row r="787">
          <cell r="B787">
            <v>95</v>
          </cell>
          <cell r="I787">
            <v>5.5</v>
          </cell>
        </row>
        <row r="788">
          <cell r="B788">
            <v>86</v>
          </cell>
          <cell r="I788">
            <v>6.2</v>
          </cell>
        </row>
        <row r="789">
          <cell r="B789">
            <v>142</v>
          </cell>
          <cell r="I789">
            <v>8.8000000000000007</v>
          </cell>
        </row>
        <row r="790">
          <cell r="B790">
            <v>92</v>
          </cell>
          <cell r="I790">
            <v>5.2</v>
          </cell>
        </row>
        <row r="791">
          <cell r="B791">
            <v>108</v>
          </cell>
          <cell r="I791">
            <v>7</v>
          </cell>
        </row>
        <row r="792">
          <cell r="B792">
            <v>84</v>
          </cell>
          <cell r="I792">
            <v>6.6</v>
          </cell>
        </row>
        <row r="793">
          <cell r="B793">
            <v>188</v>
          </cell>
          <cell r="I793">
            <v>7.3</v>
          </cell>
        </row>
        <row r="794">
          <cell r="B794">
            <v>95</v>
          </cell>
          <cell r="I794">
            <v>5.6</v>
          </cell>
        </row>
        <row r="795">
          <cell r="B795">
            <v>118</v>
          </cell>
          <cell r="I795">
            <v>6.6</v>
          </cell>
        </row>
        <row r="796">
          <cell r="B796">
            <v>92</v>
          </cell>
          <cell r="I796">
            <v>5.4</v>
          </cell>
        </row>
        <row r="797">
          <cell r="B797">
            <v>74</v>
          </cell>
          <cell r="I797">
            <v>6.3</v>
          </cell>
        </row>
        <row r="798">
          <cell r="B798">
            <v>134</v>
          </cell>
          <cell r="I798">
            <v>7.9</v>
          </cell>
        </row>
        <row r="799">
          <cell r="B799">
            <v>101</v>
          </cell>
          <cell r="I799">
            <v>6.3</v>
          </cell>
        </row>
        <row r="800">
          <cell r="B800">
            <v>100</v>
          </cell>
          <cell r="I800">
            <v>6</v>
          </cell>
        </row>
        <row r="801">
          <cell r="B801">
            <v>132</v>
          </cell>
          <cell r="I801">
            <v>7.2</v>
          </cell>
        </row>
        <row r="802">
          <cell r="B802">
            <v>105</v>
          </cell>
          <cell r="I802">
            <v>5.0999999999999996</v>
          </cell>
        </row>
        <row r="803">
          <cell r="B803">
            <v>123</v>
          </cell>
          <cell r="I803">
            <v>7.3</v>
          </cell>
        </row>
        <row r="804">
          <cell r="B804">
            <v>117</v>
          </cell>
          <cell r="I804">
            <v>8</v>
          </cell>
        </row>
        <row r="805">
          <cell r="B805">
            <v>98</v>
          </cell>
          <cell r="I805">
            <v>6.2</v>
          </cell>
        </row>
        <row r="806">
          <cell r="B806">
            <v>128</v>
          </cell>
          <cell r="I806">
            <v>6</v>
          </cell>
        </row>
        <row r="807">
          <cell r="B807">
            <v>114</v>
          </cell>
          <cell r="I807">
            <v>6.7</v>
          </cell>
        </row>
        <row r="808">
          <cell r="B808">
            <v>111</v>
          </cell>
          <cell r="I808">
            <v>8.1</v>
          </cell>
        </row>
        <row r="809">
          <cell r="B809">
            <v>85</v>
          </cell>
          <cell r="I809">
            <v>6.4</v>
          </cell>
        </row>
        <row r="810">
          <cell r="B810">
            <v>137</v>
          </cell>
          <cell r="I810">
            <v>8</v>
          </cell>
        </row>
        <row r="811">
          <cell r="B811">
            <v>97</v>
          </cell>
          <cell r="I811">
            <v>6.3</v>
          </cell>
        </row>
        <row r="812">
          <cell r="B812">
            <v>104</v>
          </cell>
          <cell r="I812">
            <v>6.4</v>
          </cell>
        </row>
        <row r="813">
          <cell r="B813">
            <v>110</v>
          </cell>
          <cell r="I813">
            <v>6.6</v>
          </cell>
        </row>
        <row r="814">
          <cell r="B814">
            <v>133</v>
          </cell>
          <cell r="I814">
            <v>6.4</v>
          </cell>
        </row>
        <row r="815">
          <cell r="B815">
            <v>94</v>
          </cell>
          <cell r="I815">
            <v>6</v>
          </cell>
        </row>
        <row r="816">
          <cell r="B816">
            <v>104</v>
          </cell>
          <cell r="I816">
            <v>6.6</v>
          </cell>
        </row>
        <row r="817">
          <cell r="B817">
            <v>91</v>
          </cell>
          <cell r="I817">
            <v>5.9</v>
          </cell>
        </row>
        <row r="818">
          <cell r="B818">
            <v>145</v>
          </cell>
          <cell r="I818">
            <v>6.4</v>
          </cell>
        </row>
        <row r="819">
          <cell r="B819">
            <v>135</v>
          </cell>
          <cell r="I819">
            <v>6.3</v>
          </cell>
        </row>
        <row r="820">
          <cell r="B820">
            <v>122</v>
          </cell>
          <cell r="I820">
            <v>7.3</v>
          </cell>
        </row>
        <row r="821">
          <cell r="B821">
            <v>110</v>
          </cell>
          <cell r="I821">
            <v>6.8</v>
          </cell>
        </row>
        <row r="822">
          <cell r="B822">
            <v>95</v>
          </cell>
          <cell r="I822">
            <v>7.2</v>
          </cell>
        </row>
        <row r="823">
          <cell r="B823">
            <v>102</v>
          </cell>
          <cell r="I823">
            <v>5.7</v>
          </cell>
        </row>
        <row r="824">
          <cell r="B824">
            <v>94</v>
          </cell>
          <cell r="I824">
            <v>6</v>
          </cell>
        </row>
        <row r="825">
          <cell r="B825">
            <v>126</v>
          </cell>
          <cell r="I825">
            <v>6.5</v>
          </cell>
        </row>
        <row r="826">
          <cell r="B826">
            <v>118</v>
          </cell>
          <cell r="I826">
            <v>5.8</v>
          </cell>
        </row>
        <row r="827">
          <cell r="B827">
            <v>99</v>
          </cell>
          <cell r="I827">
            <v>5.8</v>
          </cell>
        </row>
        <row r="828">
          <cell r="B828">
            <v>88</v>
          </cell>
          <cell r="I828">
            <v>6.7</v>
          </cell>
        </row>
        <row r="829">
          <cell r="B829">
            <v>141</v>
          </cell>
          <cell r="I829">
            <v>7.8</v>
          </cell>
        </row>
        <row r="830">
          <cell r="B830">
            <v>107</v>
          </cell>
          <cell r="I830">
            <v>5.6</v>
          </cell>
        </row>
        <row r="831">
          <cell r="B831">
            <v>116</v>
          </cell>
          <cell r="I831">
            <v>5.8</v>
          </cell>
        </row>
        <row r="832">
          <cell r="B832">
            <v>143</v>
          </cell>
          <cell r="I832">
            <v>7.4</v>
          </cell>
        </row>
        <row r="833">
          <cell r="B833">
            <v>114</v>
          </cell>
          <cell r="I833">
            <v>6.9</v>
          </cell>
        </row>
        <row r="834">
          <cell r="B834">
            <v>93</v>
          </cell>
          <cell r="I834">
            <v>5.5</v>
          </cell>
        </row>
        <row r="835">
          <cell r="B835">
            <v>280</v>
          </cell>
          <cell r="I835">
            <v>6.3</v>
          </cell>
        </row>
        <row r="836">
          <cell r="B836">
            <v>100</v>
          </cell>
          <cell r="I836">
            <v>4.7</v>
          </cell>
        </row>
        <row r="837">
          <cell r="B837">
            <v>107</v>
          </cell>
          <cell r="I837">
            <v>5.6</v>
          </cell>
        </row>
        <row r="838">
          <cell r="B838">
            <v>119</v>
          </cell>
          <cell r="I838">
            <v>6.4</v>
          </cell>
        </row>
        <row r="839">
          <cell r="B839">
            <v>95</v>
          </cell>
          <cell r="I839">
            <v>4.2</v>
          </cell>
        </row>
        <row r="840">
          <cell r="B840">
            <v>119</v>
          </cell>
          <cell r="I840">
            <v>6.4</v>
          </cell>
        </row>
        <row r="841">
          <cell r="B841">
            <v>133</v>
          </cell>
          <cell r="I841">
            <v>7.7</v>
          </cell>
        </row>
        <row r="842">
          <cell r="B842">
            <v>117</v>
          </cell>
          <cell r="I842">
            <v>6.7</v>
          </cell>
        </row>
        <row r="843">
          <cell r="B843">
            <v>123</v>
          </cell>
          <cell r="I843">
            <v>7.7</v>
          </cell>
        </row>
        <row r="844">
          <cell r="B844">
            <v>92</v>
          </cell>
          <cell r="I844">
            <v>5.7</v>
          </cell>
        </row>
        <row r="845">
          <cell r="B845">
            <v>170</v>
          </cell>
          <cell r="I845">
            <v>7.6</v>
          </cell>
        </row>
        <row r="846">
          <cell r="B846">
            <v>123</v>
          </cell>
          <cell r="I846">
            <v>6.4</v>
          </cell>
        </row>
        <row r="847">
          <cell r="B847">
            <v>110</v>
          </cell>
          <cell r="I847">
            <v>5.6</v>
          </cell>
        </row>
        <row r="848">
          <cell r="B848">
            <v>116</v>
          </cell>
          <cell r="I848">
            <v>6.8</v>
          </cell>
        </row>
        <row r="849">
          <cell r="B849">
            <v>121</v>
          </cell>
          <cell r="I849">
            <v>2.4</v>
          </cell>
        </row>
        <row r="850">
          <cell r="B850">
            <v>128</v>
          </cell>
          <cell r="I850">
            <v>6.2</v>
          </cell>
        </row>
        <row r="851">
          <cell r="B851">
            <v>99</v>
          </cell>
          <cell r="I851">
            <v>5.9</v>
          </cell>
        </row>
        <row r="852">
          <cell r="B852">
            <v>94</v>
          </cell>
          <cell r="I852">
            <v>7.1</v>
          </cell>
        </row>
        <row r="853">
          <cell r="B853">
            <v>127</v>
          </cell>
          <cell r="I853">
            <v>7.6</v>
          </cell>
        </row>
        <row r="854">
          <cell r="B854">
            <v>89</v>
          </cell>
          <cell r="I854">
            <v>5.5</v>
          </cell>
        </row>
        <row r="855">
          <cell r="B855">
            <v>123</v>
          </cell>
          <cell r="I855">
            <v>7</v>
          </cell>
        </row>
        <row r="856">
          <cell r="B856">
            <v>135</v>
          </cell>
          <cell r="I856">
            <v>7.1</v>
          </cell>
        </row>
        <row r="857">
          <cell r="B857">
            <v>118</v>
          </cell>
          <cell r="I857">
            <v>7.4</v>
          </cell>
        </row>
        <row r="858">
          <cell r="B858">
            <v>189</v>
          </cell>
          <cell r="I858">
            <v>7.6</v>
          </cell>
        </row>
        <row r="859">
          <cell r="B859">
            <v>172</v>
          </cell>
          <cell r="I859">
            <v>5.9</v>
          </cell>
        </row>
        <row r="860">
          <cell r="B860">
            <v>124</v>
          </cell>
          <cell r="I860">
            <v>5.9</v>
          </cell>
        </row>
        <row r="861">
          <cell r="B861">
            <v>141</v>
          </cell>
          <cell r="I861">
            <v>8</v>
          </cell>
        </row>
        <row r="862">
          <cell r="B862">
            <v>157</v>
          </cell>
          <cell r="I862">
            <v>7.4</v>
          </cell>
        </row>
        <row r="863">
          <cell r="B863">
            <v>106</v>
          </cell>
          <cell r="I863">
            <v>5.8</v>
          </cell>
        </row>
        <row r="864">
          <cell r="B864">
            <v>108</v>
          </cell>
          <cell r="I864">
            <v>6.3</v>
          </cell>
        </row>
        <row r="865">
          <cell r="B865">
            <v>125</v>
          </cell>
          <cell r="I865">
            <v>5.7</v>
          </cell>
        </row>
        <row r="866">
          <cell r="B866">
            <v>107</v>
          </cell>
          <cell r="I866">
            <v>5.0999999999999996</v>
          </cell>
        </row>
        <row r="867">
          <cell r="B867">
            <v>215</v>
          </cell>
          <cell r="I867">
            <v>7.6</v>
          </cell>
        </row>
        <row r="868">
          <cell r="B868">
            <v>118</v>
          </cell>
          <cell r="I868">
            <v>6.4</v>
          </cell>
        </row>
        <row r="869">
          <cell r="B869">
            <v>118</v>
          </cell>
          <cell r="I869">
            <v>7.4</v>
          </cell>
        </row>
        <row r="870">
          <cell r="B870">
            <v>178</v>
          </cell>
          <cell r="I870">
            <v>8.1999999999999993</v>
          </cell>
        </row>
        <row r="871">
          <cell r="B871">
            <v>92</v>
          </cell>
          <cell r="I871">
            <v>6.5</v>
          </cell>
        </row>
        <row r="872">
          <cell r="B872">
            <v>104</v>
          </cell>
          <cell r="I872">
            <v>5.5</v>
          </cell>
        </row>
        <row r="873">
          <cell r="B873">
            <v>116</v>
          </cell>
          <cell r="I873">
            <v>6.5</v>
          </cell>
        </row>
        <row r="874">
          <cell r="B874">
            <v>90</v>
          </cell>
          <cell r="I874">
            <v>5.6</v>
          </cell>
        </row>
        <row r="875">
          <cell r="B875">
            <v>130</v>
          </cell>
          <cell r="I875">
            <v>4.5999999999999996</v>
          </cell>
        </row>
        <row r="876">
          <cell r="B876">
            <v>90</v>
          </cell>
          <cell r="I876">
            <v>7.9</v>
          </cell>
        </row>
        <row r="877">
          <cell r="B877">
            <v>106</v>
          </cell>
          <cell r="I877">
            <v>7.1</v>
          </cell>
        </row>
        <row r="878">
          <cell r="B878">
            <v>155</v>
          </cell>
          <cell r="I878">
            <v>6.9</v>
          </cell>
        </row>
        <row r="879">
          <cell r="B879">
            <v>139</v>
          </cell>
          <cell r="I879">
            <v>7.3</v>
          </cell>
        </row>
        <row r="880">
          <cell r="B880">
            <v>112</v>
          </cell>
          <cell r="I880">
            <v>7</v>
          </cell>
        </row>
        <row r="881">
          <cell r="B881">
            <v>139</v>
          </cell>
          <cell r="I881">
            <v>7.7</v>
          </cell>
        </row>
        <row r="882">
          <cell r="B882">
            <v>115</v>
          </cell>
          <cell r="I882">
            <v>6.7</v>
          </cell>
        </row>
        <row r="883">
          <cell r="B883">
            <v>143</v>
          </cell>
          <cell r="I883">
            <v>6.3</v>
          </cell>
        </row>
        <row r="884">
          <cell r="B884">
            <v>96</v>
          </cell>
          <cell r="I884">
            <v>5.8</v>
          </cell>
        </row>
        <row r="885">
          <cell r="B885">
            <v>112</v>
          </cell>
          <cell r="I885">
            <v>7.1</v>
          </cell>
        </row>
        <row r="886">
          <cell r="B886">
            <v>131</v>
          </cell>
          <cell r="I886">
            <v>7.3</v>
          </cell>
        </row>
        <row r="887">
          <cell r="B887">
            <v>116</v>
          </cell>
          <cell r="I887">
            <v>6.4</v>
          </cell>
        </row>
        <row r="888">
          <cell r="B888">
            <v>112</v>
          </cell>
          <cell r="I888">
            <v>7.1</v>
          </cell>
        </row>
        <row r="889">
          <cell r="B889">
            <v>123</v>
          </cell>
          <cell r="I889">
            <v>7.6</v>
          </cell>
        </row>
        <row r="890">
          <cell r="B890">
            <v>104</v>
          </cell>
          <cell r="I890">
            <v>6.8</v>
          </cell>
        </row>
        <row r="891">
          <cell r="B891">
            <v>107</v>
          </cell>
          <cell r="I891">
            <v>6.6</v>
          </cell>
        </row>
        <row r="892">
          <cell r="B892">
            <v>124</v>
          </cell>
          <cell r="I892">
            <v>6.7</v>
          </cell>
        </row>
        <row r="893">
          <cell r="B893">
            <v>96</v>
          </cell>
          <cell r="I893">
            <v>6.1</v>
          </cell>
        </row>
        <row r="894">
          <cell r="B894">
            <v>125</v>
          </cell>
          <cell r="I894">
            <v>6</v>
          </cell>
        </row>
        <row r="895">
          <cell r="B895">
            <v>129</v>
          </cell>
          <cell r="I895">
            <v>7.6</v>
          </cell>
        </row>
        <row r="896">
          <cell r="B896">
            <v>90</v>
          </cell>
          <cell r="I896">
            <v>7.1</v>
          </cell>
        </row>
        <row r="897">
          <cell r="B897">
            <v>109</v>
          </cell>
          <cell r="I897">
            <v>5</v>
          </cell>
        </row>
        <row r="898">
          <cell r="B898">
            <v>121</v>
          </cell>
          <cell r="I898">
            <v>6.2</v>
          </cell>
        </row>
        <row r="899">
          <cell r="B899">
            <v>95</v>
          </cell>
          <cell r="I899">
            <v>5.6</v>
          </cell>
        </row>
        <row r="900">
          <cell r="B900">
            <v>118</v>
          </cell>
          <cell r="I900">
            <v>7.4</v>
          </cell>
        </row>
        <row r="901">
          <cell r="B901">
            <v>80</v>
          </cell>
          <cell r="I901">
            <v>5</v>
          </cell>
        </row>
        <row r="902">
          <cell r="B902">
            <v>99</v>
          </cell>
          <cell r="I902">
            <v>5.2</v>
          </cell>
        </row>
        <row r="903">
          <cell r="B903">
            <v>133</v>
          </cell>
          <cell r="I903">
            <v>7.6</v>
          </cell>
        </row>
        <row r="904">
          <cell r="B904">
            <v>127</v>
          </cell>
          <cell r="I904">
            <v>6.6</v>
          </cell>
        </row>
        <row r="905">
          <cell r="B905">
            <v>106</v>
          </cell>
          <cell r="I905">
            <v>7</v>
          </cell>
        </row>
        <row r="906">
          <cell r="B906">
            <v>98</v>
          </cell>
          <cell r="I906">
            <v>5.7</v>
          </cell>
        </row>
        <row r="907">
          <cell r="B907">
            <v>132</v>
          </cell>
          <cell r="I907">
            <v>8.1999999999999993</v>
          </cell>
        </row>
        <row r="908">
          <cell r="B908">
            <v>114</v>
          </cell>
          <cell r="I908">
            <v>6.2</v>
          </cell>
        </row>
        <row r="909">
          <cell r="B909">
            <v>78</v>
          </cell>
          <cell r="I909">
            <v>6.6</v>
          </cell>
        </row>
        <row r="910">
          <cell r="B910">
            <v>101</v>
          </cell>
          <cell r="I910">
            <v>4.7</v>
          </cell>
        </row>
        <row r="911">
          <cell r="B911">
            <v>113</v>
          </cell>
          <cell r="I911">
            <v>6.3</v>
          </cell>
        </row>
        <row r="912">
          <cell r="B912">
            <v>98</v>
          </cell>
          <cell r="I912">
            <v>6.1</v>
          </cell>
        </row>
        <row r="913">
          <cell r="B913">
            <v>124</v>
          </cell>
          <cell r="I913">
            <v>6.7</v>
          </cell>
        </row>
        <row r="914">
          <cell r="B914">
            <v>109</v>
          </cell>
          <cell r="I914">
            <v>6.1</v>
          </cell>
        </row>
        <row r="915">
          <cell r="B915">
            <v>128</v>
          </cell>
          <cell r="I915">
            <v>7</v>
          </cell>
        </row>
        <row r="916">
          <cell r="B916">
            <v>144</v>
          </cell>
          <cell r="I916">
            <v>7.4</v>
          </cell>
        </row>
        <row r="917">
          <cell r="B917">
            <v>95</v>
          </cell>
          <cell r="I917">
            <v>7.3</v>
          </cell>
        </row>
        <row r="918">
          <cell r="B918">
            <v>105</v>
          </cell>
          <cell r="I918">
            <v>5.8</v>
          </cell>
        </row>
        <row r="919">
          <cell r="B919">
            <v>121</v>
          </cell>
          <cell r="I919">
            <v>6.7</v>
          </cell>
        </row>
        <row r="920">
          <cell r="B920">
            <v>125</v>
          </cell>
          <cell r="I920">
            <v>5.8</v>
          </cell>
        </row>
        <row r="921">
          <cell r="B921">
            <v>129</v>
          </cell>
          <cell r="I921">
            <v>7.8</v>
          </cell>
        </row>
        <row r="922">
          <cell r="B922">
            <v>132</v>
          </cell>
          <cell r="I922">
            <v>6.6</v>
          </cell>
        </row>
        <row r="923">
          <cell r="B923">
            <v>118</v>
          </cell>
          <cell r="I923">
            <v>6.5</v>
          </cell>
        </row>
        <row r="924">
          <cell r="B924">
            <v>113</v>
          </cell>
          <cell r="I924">
            <v>6.7</v>
          </cell>
        </row>
        <row r="925">
          <cell r="B925">
            <v>140</v>
          </cell>
          <cell r="I925">
            <v>7.3</v>
          </cell>
        </row>
        <row r="926">
          <cell r="B926">
            <v>89</v>
          </cell>
          <cell r="I926">
            <v>5.8</v>
          </cell>
        </row>
        <row r="927">
          <cell r="B927">
            <v>104</v>
          </cell>
          <cell r="I927">
            <v>5.5</v>
          </cell>
        </row>
        <row r="928">
          <cell r="B928">
            <v>106</v>
          </cell>
          <cell r="I928">
            <v>6.3</v>
          </cell>
        </row>
        <row r="929">
          <cell r="B929">
            <v>141</v>
          </cell>
          <cell r="I929">
            <v>7.4</v>
          </cell>
        </row>
        <row r="930">
          <cell r="B930">
            <v>124</v>
          </cell>
          <cell r="I930">
            <v>5.9</v>
          </cell>
        </row>
        <row r="931">
          <cell r="B931">
            <v>98</v>
          </cell>
          <cell r="I931">
            <v>6.2</v>
          </cell>
        </row>
        <row r="932">
          <cell r="B932">
            <v>108</v>
          </cell>
          <cell r="I932">
            <v>5.9</v>
          </cell>
        </row>
        <row r="933">
          <cell r="B933">
            <v>114</v>
          </cell>
          <cell r="I933">
            <v>6.5</v>
          </cell>
        </row>
        <row r="934">
          <cell r="B934">
            <v>101</v>
          </cell>
          <cell r="I934">
            <v>4.4000000000000004</v>
          </cell>
        </row>
        <row r="935">
          <cell r="B935">
            <v>93</v>
          </cell>
          <cell r="I935">
            <v>3.5</v>
          </cell>
        </row>
        <row r="936">
          <cell r="B936">
            <v>119</v>
          </cell>
          <cell r="I936">
            <v>6.6</v>
          </cell>
        </row>
        <row r="937">
          <cell r="B937">
            <v>119</v>
          </cell>
          <cell r="I937">
            <v>6</v>
          </cell>
        </row>
        <row r="938">
          <cell r="B938">
            <v>99</v>
          </cell>
          <cell r="I938">
            <v>6.4</v>
          </cell>
        </row>
        <row r="939">
          <cell r="B939">
            <v>137</v>
          </cell>
          <cell r="I939">
            <v>6.5</v>
          </cell>
        </row>
        <row r="940">
          <cell r="B940">
            <v>117</v>
          </cell>
          <cell r="I940">
            <v>4.3</v>
          </cell>
        </row>
        <row r="941">
          <cell r="B941">
            <v>87</v>
          </cell>
          <cell r="I941">
            <v>4.2</v>
          </cell>
        </row>
        <row r="942">
          <cell r="B942">
            <v>129</v>
          </cell>
          <cell r="I942">
            <v>6.5</v>
          </cell>
        </row>
        <row r="943">
          <cell r="B943">
            <v>115</v>
          </cell>
          <cell r="I943">
            <v>6.1</v>
          </cell>
        </row>
        <row r="944">
          <cell r="B944">
            <v>132</v>
          </cell>
          <cell r="I944">
            <v>6.3</v>
          </cell>
        </row>
        <row r="945">
          <cell r="B945">
            <v>131</v>
          </cell>
          <cell r="I945">
            <v>6.2</v>
          </cell>
        </row>
        <row r="946">
          <cell r="B946">
            <v>95</v>
          </cell>
          <cell r="I946">
            <v>5.9</v>
          </cell>
        </row>
        <row r="947">
          <cell r="B947">
            <v>125</v>
          </cell>
          <cell r="I947">
            <v>5.9</v>
          </cell>
        </row>
        <row r="948">
          <cell r="B948">
            <v>98</v>
          </cell>
          <cell r="I948">
            <v>6.5</v>
          </cell>
        </row>
        <row r="949">
          <cell r="B949">
            <v>110</v>
          </cell>
          <cell r="I949">
            <v>6.4</v>
          </cell>
        </row>
        <row r="950">
          <cell r="B950">
            <v>118</v>
          </cell>
          <cell r="I950">
            <v>6.5</v>
          </cell>
        </row>
        <row r="951">
          <cell r="B951">
            <v>101</v>
          </cell>
          <cell r="I951">
            <v>5.7</v>
          </cell>
        </row>
        <row r="952">
          <cell r="B952">
            <v>90</v>
          </cell>
          <cell r="I952">
            <v>8</v>
          </cell>
        </row>
        <row r="953">
          <cell r="B953">
            <v>119</v>
          </cell>
          <cell r="I953">
            <v>7.3</v>
          </cell>
        </row>
        <row r="954">
          <cell r="B954">
            <v>139</v>
          </cell>
          <cell r="I954">
            <v>6.7</v>
          </cell>
        </row>
        <row r="955">
          <cell r="B955">
            <v>130</v>
          </cell>
          <cell r="I955">
            <v>7.5</v>
          </cell>
        </row>
        <row r="956">
          <cell r="B956">
            <v>100</v>
          </cell>
          <cell r="I956">
            <v>5.4</v>
          </cell>
        </row>
        <row r="957">
          <cell r="B957">
            <v>114</v>
          </cell>
          <cell r="I957">
            <v>6.6</v>
          </cell>
        </row>
        <row r="958">
          <cell r="B958">
            <v>96</v>
          </cell>
          <cell r="I958">
            <v>7.7</v>
          </cell>
        </row>
        <row r="959">
          <cell r="B959">
            <v>110</v>
          </cell>
          <cell r="I959">
            <v>5.8</v>
          </cell>
        </row>
        <row r="960">
          <cell r="B960">
            <v>158</v>
          </cell>
          <cell r="I960">
            <v>6.4</v>
          </cell>
        </row>
        <row r="961">
          <cell r="B961">
            <v>102</v>
          </cell>
          <cell r="I961">
            <v>5.6</v>
          </cell>
        </row>
        <row r="962">
          <cell r="B962">
            <v>84</v>
          </cell>
          <cell r="I962">
            <v>6</v>
          </cell>
        </row>
        <row r="963">
          <cell r="B963">
            <v>115</v>
          </cell>
          <cell r="I963">
            <v>6.2</v>
          </cell>
        </row>
        <row r="964">
          <cell r="B964">
            <v>99</v>
          </cell>
          <cell r="I964">
            <v>5.9</v>
          </cell>
        </row>
        <row r="965">
          <cell r="B965">
            <v>135</v>
          </cell>
          <cell r="I965">
            <v>5.0999999999999996</v>
          </cell>
        </row>
        <row r="966">
          <cell r="B966">
            <v>108</v>
          </cell>
          <cell r="I966">
            <v>6.8</v>
          </cell>
        </row>
        <row r="967">
          <cell r="B967">
            <v>127</v>
          </cell>
          <cell r="I967">
            <v>6</v>
          </cell>
        </row>
        <row r="968">
          <cell r="B968">
            <v>107</v>
          </cell>
          <cell r="I968">
            <v>5.0999999999999996</v>
          </cell>
        </row>
        <row r="969">
          <cell r="B969">
            <v>95</v>
          </cell>
          <cell r="I969">
            <v>5.8</v>
          </cell>
        </row>
        <row r="970">
          <cell r="B970">
            <v>124</v>
          </cell>
          <cell r="I970">
            <v>6.2</v>
          </cell>
        </row>
        <row r="971">
          <cell r="B971">
            <v>109</v>
          </cell>
          <cell r="I971">
            <v>6.4</v>
          </cell>
        </row>
        <row r="972">
          <cell r="B972">
            <v>102</v>
          </cell>
          <cell r="I972">
            <v>4.8</v>
          </cell>
        </row>
        <row r="973">
          <cell r="B973">
            <v>88</v>
          </cell>
          <cell r="I973">
            <v>4.9000000000000004</v>
          </cell>
        </row>
        <row r="974">
          <cell r="B974">
            <v>87</v>
          </cell>
          <cell r="I974">
            <v>5.6</v>
          </cell>
        </row>
        <row r="975">
          <cell r="B975">
            <v>104</v>
          </cell>
          <cell r="I975">
            <v>5.5</v>
          </cell>
        </row>
        <row r="976">
          <cell r="B976">
            <v>96</v>
          </cell>
          <cell r="I976">
            <v>3.7</v>
          </cell>
        </row>
        <row r="977">
          <cell r="B977">
            <v>85</v>
          </cell>
          <cell r="I977">
            <v>5.9</v>
          </cell>
        </row>
        <row r="978">
          <cell r="B978">
            <v>104</v>
          </cell>
          <cell r="I978">
            <v>6.3</v>
          </cell>
        </row>
        <row r="979">
          <cell r="B979">
            <v>190</v>
          </cell>
          <cell r="I979">
            <v>7.6</v>
          </cell>
        </row>
        <row r="980">
          <cell r="B980">
            <v>127</v>
          </cell>
          <cell r="I980">
            <v>8.3000000000000007</v>
          </cell>
        </row>
        <row r="981">
          <cell r="B981">
            <v>120</v>
          </cell>
          <cell r="I981">
            <v>6.9</v>
          </cell>
        </row>
        <row r="982">
          <cell r="B982">
            <v>118</v>
          </cell>
          <cell r="I982">
            <v>6.7</v>
          </cell>
        </row>
        <row r="983">
          <cell r="B983">
            <v>112</v>
          </cell>
          <cell r="I983">
            <v>6.8</v>
          </cell>
        </row>
        <row r="984">
          <cell r="B984">
            <v>114</v>
          </cell>
          <cell r="I984">
            <v>7.1</v>
          </cell>
        </row>
        <row r="985">
          <cell r="B985">
            <v>137</v>
          </cell>
          <cell r="I985">
            <v>6.4</v>
          </cell>
        </row>
        <row r="986">
          <cell r="B986">
            <v>112</v>
          </cell>
          <cell r="I986">
            <v>6.4</v>
          </cell>
        </row>
        <row r="987">
          <cell r="B987">
            <v>120</v>
          </cell>
          <cell r="I987">
            <v>7.4</v>
          </cell>
        </row>
        <row r="988">
          <cell r="B988">
            <v>123</v>
          </cell>
          <cell r="I988">
            <v>6.4</v>
          </cell>
        </row>
        <row r="989">
          <cell r="B989">
            <v>93</v>
          </cell>
          <cell r="I989">
            <v>6</v>
          </cell>
        </row>
        <row r="990">
          <cell r="B990">
            <v>123</v>
          </cell>
          <cell r="I990">
            <v>6.5</v>
          </cell>
        </row>
        <row r="991">
          <cell r="B991">
            <v>122</v>
          </cell>
          <cell r="I991">
            <v>7.8</v>
          </cell>
        </row>
        <row r="992">
          <cell r="B992">
            <v>115</v>
          </cell>
          <cell r="I992">
            <v>6</v>
          </cell>
        </row>
        <row r="993">
          <cell r="B993">
            <v>123</v>
          </cell>
          <cell r="I993">
            <v>7</v>
          </cell>
        </row>
        <row r="994">
          <cell r="B994">
            <v>96</v>
          </cell>
          <cell r="I994">
            <v>6</v>
          </cell>
        </row>
        <row r="995">
          <cell r="B995">
            <v>105</v>
          </cell>
          <cell r="I995">
            <v>6.1</v>
          </cell>
        </row>
        <row r="996">
          <cell r="B996">
            <v>113</v>
          </cell>
          <cell r="I996">
            <v>6.8</v>
          </cell>
        </row>
        <row r="997">
          <cell r="B997">
            <v>132</v>
          </cell>
          <cell r="I997">
            <v>6.4</v>
          </cell>
        </row>
        <row r="998">
          <cell r="B998">
            <v>75</v>
          </cell>
          <cell r="I998">
            <v>4.5</v>
          </cell>
        </row>
        <row r="999">
          <cell r="B999">
            <v>108</v>
          </cell>
          <cell r="I999">
            <v>5.8</v>
          </cell>
        </row>
        <row r="1000">
          <cell r="B1000">
            <v>105</v>
          </cell>
          <cell r="I1000">
            <v>6.3</v>
          </cell>
        </row>
        <row r="1001">
          <cell r="B1001">
            <v>102</v>
          </cell>
          <cell r="I1001">
            <v>5.7</v>
          </cell>
        </row>
        <row r="1002">
          <cell r="B1002">
            <v>118</v>
          </cell>
          <cell r="I1002">
            <v>7.2</v>
          </cell>
        </row>
        <row r="1003">
          <cell r="B1003">
            <v>111</v>
          </cell>
          <cell r="I1003">
            <v>7.6</v>
          </cell>
        </row>
        <row r="1004">
          <cell r="B1004">
            <v>81</v>
          </cell>
          <cell r="I1004">
            <v>4.7</v>
          </cell>
        </row>
        <row r="1005">
          <cell r="B1005">
            <v>116</v>
          </cell>
          <cell r="I1005">
            <v>6.6</v>
          </cell>
        </row>
        <row r="1006">
          <cell r="B1006">
            <v>86</v>
          </cell>
          <cell r="I1006">
            <v>6.8</v>
          </cell>
        </row>
        <row r="1007">
          <cell r="B1007">
            <v>127</v>
          </cell>
          <cell r="I1007">
            <v>7.3</v>
          </cell>
        </row>
        <row r="1008">
          <cell r="B1008">
            <v>91</v>
          </cell>
          <cell r="I1008">
            <v>4.8</v>
          </cell>
        </row>
        <row r="1009">
          <cell r="B1009">
            <v>98</v>
          </cell>
          <cell r="I1009">
            <v>6.3</v>
          </cell>
        </row>
        <row r="1010">
          <cell r="B1010">
            <v>84</v>
          </cell>
          <cell r="I1010">
            <v>5.5</v>
          </cell>
        </row>
        <row r="1011">
          <cell r="B1011">
            <v>109</v>
          </cell>
          <cell r="I1011">
            <v>6.2</v>
          </cell>
        </row>
        <row r="1012">
          <cell r="B1012">
            <v>93</v>
          </cell>
          <cell r="I1012">
            <v>5.8</v>
          </cell>
        </row>
        <row r="1013">
          <cell r="B1013">
            <v>113</v>
          </cell>
          <cell r="I1013">
            <v>5.7</v>
          </cell>
        </row>
        <row r="1014">
          <cell r="B1014">
            <v>141</v>
          </cell>
          <cell r="I1014">
            <v>6.5</v>
          </cell>
        </row>
        <row r="1015">
          <cell r="B1015">
            <v>119</v>
          </cell>
          <cell r="I1015">
            <v>6.7</v>
          </cell>
        </row>
        <row r="1016">
          <cell r="B1016">
            <v>97</v>
          </cell>
          <cell r="I1016">
            <v>7.4</v>
          </cell>
        </row>
        <row r="1017">
          <cell r="B1017">
            <v>117</v>
          </cell>
          <cell r="I1017">
            <v>6.9</v>
          </cell>
        </row>
        <row r="1018">
          <cell r="B1018">
            <v>101</v>
          </cell>
          <cell r="I1018">
            <v>5.5</v>
          </cell>
        </row>
        <row r="1019">
          <cell r="B1019">
            <v>153</v>
          </cell>
          <cell r="I1019">
            <v>8.1</v>
          </cell>
        </row>
        <row r="1020">
          <cell r="B1020">
            <v>122</v>
          </cell>
          <cell r="I1020">
            <v>7.7</v>
          </cell>
        </row>
        <row r="1021">
          <cell r="B1021">
            <v>102</v>
          </cell>
          <cell r="I1021">
            <v>7.3</v>
          </cell>
        </row>
        <row r="1022">
          <cell r="B1022">
            <v>83</v>
          </cell>
          <cell r="I1022">
            <v>5.2</v>
          </cell>
        </row>
        <row r="1023">
          <cell r="B1023">
            <v>103</v>
          </cell>
          <cell r="I1023">
            <v>7.1</v>
          </cell>
        </row>
        <row r="1024">
          <cell r="B1024">
            <v>110</v>
          </cell>
          <cell r="I1024">
            <v>7.1</v>
          </cell>
        </row>
        <row r="1025">
          <cell r="B1025">
            <v>136</v>
          </cell>
          <cell r="I1025">
            <v>7.2</v>
          </cell>
        </row>
        <row r="1026">
          <cell r="B1026">
            <v>91</v>
          </cell>
          <cell r="I1026">
            <v>6.5</v>
          </cell>
        </row>
        <row r="1027">
          <cell r="B1027">
            <v>89</v>
          </cell>
          <cell r="I1027">
            <v>4.5999999999999996</v>
          </cell>
        </row>
        <row r="1028">
          <cell r="B1028">
            <v>107</v>
          </cell>
          <cell r="I1028">
            <v>5.6</v>
          </cell>
        </row>
        <row r="1029">
          <cell r="B1029">
            <v>129</v>
          </cell>
          <cell r="I1029">
            <v>7.7</v>
          </cell>
        </row>
        <row r="1030">
          <cell r="B1030">
            <v>95</v>
          </cell>
          <cell r="I1030">
            <v>7.2</v>
          </cell>
        </row>
        <row r="1031">
          <cell r="B1031">
            <v>122</v>
          </cell>
          <cell r="I1031">
            <v>6.8</v>
          </cell>
        </row>
        <row r="1032">
          <cell r="B1032">
            <v>110</v>
          </cell>
          <cell r="I1032">
            <v>5.4</v>
          </cell>
        </row>
        <row r="1033">
          <cell r="B1033">
            <v>135</v>
          </cell>
          <cell r="I1033">
            <v>6.3</v>
          </cell>
        </row>
        <row r="1034">
          <cell r="B1034">
            <v>95</v>
          </cell>
          <cell r="I1034">
            <v>5.6</v>
          </cell>
        </row>
        <row r="1035">
          <cell r="B1035">
            <v>109</v>
          </cell>
          <cell r="I1035">
            <v>6.8</v>
          </cell>
        </row>
        <row r="1036">
          <cell r="B1036">
            <v>93</v>
          </cell>
          <cell r="I1036">
            <v>4.3</v>
          </cell>
        </row>
        <row r="1037">
          <cell r="B1037">
            <v>94</v>
          </cell>
          <cell r="I1037">
            <v>6.3</v>
          </cell>
        </row>
        <row r="1038">
          <cell r="B1038">
            <v>117</v>
          </cell>
          <cell r="I1038">
            <v>6.5</v>
          </cell>
        </row>
        <row r="1039">
          <cell r="B1039">
            <v>112</v>
          </cell>
          <cell r="I1039">
            <v>6.4</v>
          </cell>
        </row>
        <row r="1040">
          <cell r="B1040">
            <v>111</v>
          </cell>
          <cell r="I1040">
            <v>6.3</v>
          </cell>
        </row>
        <row r="1041">
          <cell r="B1041">
            <v>96</v>
          </cell>
          <cell r="I1041">
            <v>5.9</v>
          </cell>
        </row>
        <row r="1042">
          <cell r="B1042">
            <v>141</v>
          </cell>
          <cell r="I1042">
            <v>6.5</v>
          </cell>
        </row>
        <row r="1043">
          <cell r="B1043">
            <v>94</v>
          </cell>
          <cell r="I1043">
            <v>6.5</v>
          </cell>
        </row>
        <row r="1044">
          <cell r="B1044">
            <v>87</v>
          </cell>
          <cell r="I1044">
            <v>6.1</v>
          </cell>
        </row>
        <row r="1045">
          <cell r="B1045">
            <v>88</v>
          </cell>
          <cell r="I1045">
            <v>5.9</v>
          </cell>
        </row>
        <row r="1046">
          <cell r="B1046">
            <v>177</v>
          </cell>
          <cell r="I1046">
            <v>6.6</v>
          </cell>
        </row>
        <row r="1047">
          <cell r="B1047">
            <v>133</v>
          </cell>
          <cell r="I1047">
            <v>7.4</v>
          </cell>
        </row>
        <row r="1048">
          <cell r="B1048">
            <v>119</v>
          </cell>
          <cell r="I1048">
            <v>7.3</v>
          </cell>
        </row>
        <row r="1049">
          <cell r="B1049">
            <v>102</v>
          </cell>
          <cell r="I1049">
            <v>6.6</v>
          </cell>
        </row>
        <row r="1050">
          <cell r="B1050">
            <v>101</v>
          </cell>
          <cell r="I1050">
            <v>5.6</v>
          </cell>
        </row>
        <row r="1051">
          <cell r="B1051">
            <v>91</v>
          </cell>
          <cell r="I1051">
            <v>5.3</v>
          </cell>
        </row>
        <row r="1052">
          <cell r="B1052">
            <v>117</v>
          </cell>
          <cell r="I1052">
            <v>6</v>
          </cell>
        </row>
        <row r="1053">
          <cell r="B1053">
            <v>86</v>
          </cell>
          <cell r="I1053">
            <v>5.4</v>
          </cell>
        </row>
        <row r="1054">
          <cell r="B1054">
            <v>124</v>
          </cell>
          <cell r="I1054">
            <v>6.8</v>
          </cell>
        </row>
        <row r="1055">
          <cell r="B1055">
            <v>134</v>
          </cell>
          <cell r="I1055">
            <v>6.4</v>
          </cell>
        </row>
        <row r="1056">
          <cell r="B1056">
            <v>100</v>
          </cell>
          <cell r="I1056">
            <v>4.9000000000000004</v>
          </cell>
        </row>
        <row r="1057">
          <cell r="B1057">
            <v>220</v>
          </cell>
          <cell r="I1057">
            <v>5.8</v>
          </cell>
        </row>
        <row r="1058">
          <cell r="B1058">
            <v>212</v>
          </cell>
          <cell r="I1058">
            <v>7.1</v>
          </cell>
        </row>
        <row r="1059">
          <cell r="B1059">
            <v>128</v>
          </cell>
          <cell r="I1059">
            <v>7.2</v>
          </cell>
        </row>
        <row r="1060">
          <cell r="B1060">
            <v>106</v>
          </cell>
          <cell r="I1060">
            <v>6</v>
          </cell>
        </row>
        <row r="1061">
          <cell r="B1061">
            <v>160</v>
          </cell>
          <cell r="I1061">
            <v>6</v>
          </cell>
        </row>
        <row r="1062">
          <cell r="B1062">
            <v>114</v>
          </cell>
          <cell r="I1062">
            <v>7</v>
          </cell>
        </row>
        <row r="1063">
          <cell r="B1063">
            <v>99</v>
          </cell>
          <cell r="I1063">
            <v>5.4</v>
          </cell>
        </row>
        <row r="1064">
          <cell r="B1064">
            <v>74</v>
          </cell>
          <cell r="I1064">
            <v>6.5</v>
          </cell>
        </row>
        <row r="1065">
          <cell r="B1065">
            <v>139</v>
          </cell>
          <cell r="I1065">
            <v>6.4</v>
          </cell>
        </row>
        <row r="1066">
          <cell r="B1066">
            <v>103</v>
          </cell>
          <cell r="I1066">
            <v>4.9000000000000004</v>
          </cell>
        </row>
        <row r="1067">
          <cell r="B1067">
            <v>101</v>
          </cell>
          <cell r="I1067">
            <v>6.3</v>
          </cell>
        </row>
        <row r="1068">
          <cell r="B1068">
            <v>130</v>
          </cell>
          <cell r="I1068">
            <v>7.7</v>
          </cell>
        </row>
        <row r="1069">
          <cell r="B1069">
            <v>130</v>
          </cell>
          <cell r="I1069">
            <v>7.8</v>
          </cell>
        </row>
        <row r="1070">
          <cell r="B1070">
            <v>110</v>
          </cell>
          <cell r="I1070">
            <v>5.5</v>
          </cell>
        </row>
        <row r="1071">
          <cell r="B1071">
            <v>147</v>
          </cell>
          <cell r="I1071">
            <v>7.5</v>
          </cell>
        </row>
        <row r="1072">
          <cell r="B1072">
            <v>96</v>
          </cell>
          <cell r="I1072">
            <v>6.4</v>
          </cell>
        </row>
        <row r="1073">
          <cell r="B1073">
            <v>118</v>
          </cell>
          <cell r="I1073">
            <v>5.6</v>
          </cell>
        </row>
        <row r="1074">
          <cell r="B1074">
            <v>88</v>
          </cell>
          <cell r="I1074">
            <v>7.5</v>
          </cell>
        </row>
        <row r="1075">
          <cell r="B1075">
            <v>325</v>
          </cell>
          <cell r="I1075">
            <v>6.8</v>
          </cell>
        </row>
        <row r="1076">
          <cell r="B1076">
            <v>102</v>
          </cell>
          <cell r="I1076">
            <v>6.8</v>
          </cell>
        </row>
        <row r="1077">
          <cell r="B1077">
            <v>110</v>
          </cell>
          <cell r="I1077">
            <v>6</v>
          </cell>
        </row>
        <row r="1078">
          <cell r="B1078">
            <v>136</v>
          </cell>
          <cell r="I1078">
            <v>7.3</v>
          </cell>
        </row>
        <row r="1079">
          <cell r="B1079">
            <v>103</v>
          </cell>
          <cell r="I1079">
            <v>6</v>
          </cell>
        </row>
        <row r="1080">
          <cell r="B1080">
            <v>103</v>
          </cell>
          <cell r="I1080">
            <v>7</v>
          </cell>
        </row>
        <row r="1081">
          <cell r="B1081">
            <v>90</v>
          </cell>
          <cell r="I1081">
            <v>5.0999999999999996</v>
          </cell>
        </row>
        <row r="1082">
          <cell r="B1082">
            <v>154</v>
          </cell>
          <cell r="I1082">
            <v>6.8</v>
          </cell>
        </row>
        <row r="1083">
          <cell r="B1083">
            <v>99</v>
          </cell>
          <cell r="I1083">
            <v>6.5</v>
          </cell>
        </row>
        <row r="1084">
          <cell r="B1084">
            <v>93</v>
          </cell>
          <cell r="I1084">
            <v>6.6</v>
          </cell>
        </row>
        <row r="1085">
          <cell r="B1085">
            <v>109</v>
          </cell>
          <cell r="I1085">
            <v>7.2</v>
          </cell>
        </row>
        <row r="1086">
          <cell r="B1086">
            <v>124</v>
          </cell>
          <cell r="I1086">
            <v>7</v>
          </cell>
        </row>
        <row r="1087">
          <cell r="B1087">
            <v>84</v>
          </cell>
          <cell r="I1087">
            <v>7</v>
          </cell>
        </row>
        <row r="1088">
          <cell r="B1088">
            <v>90</v>
          </cell>
          <cell r="I1088">
            <v>5.9</v>
          </cell>
        </row>
        <row r="1089">
          <cell r="B1089">
            <v>117</v>
          </cell>
          <cell r="I1089">
            <v>5.4</v>
          </cell>
        </row>
        <row r="1090">
          <cell r="B1090">
            <v>123</v>
          </cell>
          <cell r="I1090">
            <v>6.6</v>
          </cell>
        </row>
        <row r="1091">
          <cell r="B1091">
            <v>251</v>
          </cell>
          <cell r="I1091">
            <v>7</v>
          </cell>
        </row>
        <row r="1092">
          <cell r="B1092">
            <v>105</v>
          </cell>
          <cell r="I1092">
            <v>6.5</v>
          </cell>
        </row>
        <row r="1093">
          <cell r="B1093">
            <v>115</v>
          </cell>
          <cell r="I1093">
            <v>6.3</v>
          </cell>
        </row>
        <row r="1094">
          <cell r="B1094">
            <v>122</v>
          </cell>
          <cell r="I1094">
            <v>6.5</v>
          </cell>
        </row>
        <row r="1095">
          <cell r="B1095">
            <v>119</v>
          </cell>
          <cell r="I1095">
            <v>6.5</v>
          </cell>
        </row>
        <row r="1096">
          <cell r="B1096">
            <v>81</v>
          </cell>
          <cell r="I1096">
            <v>5.8</v>
          </cell>
        </row>
        <row r="1097">
          <cell r="B1097">
            <v>133</v>
          </cell>
          <cell r="I1097">
            <v>6.6</v>
          </cell>
        </row>
        <row r="1098">
          <cell r="B1098">
            <v>100</v>
          </cell>
          <cell r="I1098">
            <v>5.4</v>
          </cell>
        </row>
        <row r="1099">
          <cell r="B1099">
            <v>120</v>
          </cell>
          <cell r="I1099">
            <v>6.1</v>
          </cell>
        </row>
        <row r="1100">
          <cell r="B1100">
            <v>104</v>
          </cell>
          <cell r="I1100">
            <v>4</v>
          </cell>
        </row>
        <row r="1101">
          <cell r="B1101">
            <v>122</v>
          </cell>
          <cell r="I1101">
            <v>7.6</v>
          </cell>
        </row>
        <row r="1102">
          <cell r="B1102">
            <v>80</v>
          </cell>
          <cell r="I1102">
            <v>7.9</v>
          </cell>
        </row>
        <row r="1103">
          <cell r="B1103">
            <v>91</v>
          </cell>
          <cell r="I1103">
            <v>5.3</v>
          </cell>
        </row>
        <row r="1104">
          <cell r="B1104">
            <v>112</v>
          </cell>
          <cell r="I1104">
            <v>6.6</v>
          </cell>
        </row>
        <row r="1105">
          <cell r="B1105">
            <v>100</v>
          </cell>
          <cell r="I1105">
            <v>6.3</v>
          </cell>
        </row>
        <row r="1106">
          <cell r="B1106">
            <v>105</v>
          </cell>
          <cell r="I1106">
            <v>7.2</v>
          </cell>
        </row>
        <row r="1107">
          <cell r="B1107">
            <v>110</v>
          </cell>
          <cell r="I1107">
            <v>7</v>
          </cell>
        </row>
        <row r="1108">
          <cell r="B1108">
            <v>144</v>
          </cell>
          <cell r="I1108">
            <v>6.9</v>
          </cell>
        </row>
        <row r="1109">
          <cell r="B1109">
            <v>108</v>
          </cell>
          <cell r="I1109">
            <v>5.2</v>
          </cell>
        </row>
        <row r="1110">
          <cell r="B1110">
            <v>107</v>
          </cell>
          <cell r="I1110">
            <v>8.1</v>
          </cell>
        </row>
        <row r="1111">
          <cell r="B1111">
            <v>102</v>
          </cell>
          <cell r="I1111">
            <v>6.6</v>
          </cell>
        </row>
        <row r="1112">
          <cell r="B1112">
            <v>100</v>
          </cell>
          <cell r="I1112">
            <v>6.2</v>
          </cell>
        </row>
        <row r="1113">
          <cell r="B1113">
            <v>126</v>
          </cell>
          <cell r="I1113">
            <v>7.2</v>
          </cell>
        </row>
        <row r="1114">
          <cell r="B1114">
            <v>138</v>
          </cell>
          <cell r="I1114">
            <v>7.3</v>
          </cell>
        </row>
        <row r="1115">
          <cell r="B1115">
            <v>108</v>
          </cell>
          <cell r="I1115">
            <v>6.7</v>
          </cell>
        </row>
        <row r="1116">
          <cell r="B1116">
            <v>105</v>
          </cell>
          <cell r="I1116">
            <v>6.4</v>
          </cell>
        </row>
        <row r="1117">
          <cell r="B1117">
            <v>108</v>
          </cell>
          <cell r="I1117">
            <v>7.8</v>
          </cell>
        </row>
        <row r="1118">
          <cell r="B1118">
            <v>89</v>
          </cell>
          <cell r="I1118">
            <v>6.4</v>
          </cell>
        </row>
        <row r="1119">
          <cell r="B1119">
            <v>129</v>
          </cell>
          <cell r="I1119">
            <v>4.0999999999999996</v>
          </cell>
        </row>
        <row r="1120">
          <cell r="B1120">
            <v>84</v>
          </cell>
          <cell r="I1120">
            <v>4.0999999999999996</v>
          </cell>
        </row>
        <row r="1121">
          <cell r="B1121">
            <v>149</v>
          </cell>
          <cell r="I1121">
            <v>7.4</v>
          </cell>
        </row>
        <row r="1122">
          <cell r="B1122">
            <v>94</v>
          </cell>
          <cell r="I1122">
            <v>5.8</v>
          </cell>
        </row>
        <row r="1123">
          <cell r="B1123">
            <v>121</v>
          </cell>
          <cell r="I1123">
            <v>7.6</v>
          </cell>
        </row>
        <row r="1124">
          <cell r="B1124">
            <v>128</v>
          </cell>
          <cell r="I1124">
            <v>7.2</v>
          </cell>
        </row>
        <row r="1125">
          <cell r="B1125">
            <v>134</v>
          </cell>
          <cell r="I1125">
            <v>7.8</v>
          </cell>
        </row>
        <row r="1126">
          <cell r="B1126">
            <v>120</v>
          </cell>
          <cell r="I1126">
            <v>7.7</v>
          </cell>
        </row>
        <row r="1127">
          <cell r="B1127">
            <v>129</v>
          </cell>
          <cell r="I1127">
            <v>6.4</v>
          </cell>
        </row>
        <row r="1128">
          <cell r="B1128">
            <v>89</v>
          </cell>
          <cell r="I1128">
            <v>5.0999999999999996</v>
          </cell>
        </row>
        <row r="1129">
          <cell r="B1129">
            <v>116</v>
          </cell>
          <cell r="I1129">
            <v>5.5</v>
          </cell>
        </row>
        <row r="1130">
          <cell r="B1130">
            <v>118</v>
          </cell>
          <cell r="I1130">
            <v>7.4</v>
          </cell>
        </row>
        <row r="1131">
          <cell r="B1131">
            <v>107</v>
          </cell>
          <cell r="I1131">
            <v>6</v>
          </cell>
        </row>
        <row r="1132">
          <cell r="B1132">
            <v>155</v>
          </cell>
          <cell r="I1132">
            <v>7.5</v>
          </cell>
        </row>
        <row r="1133">
          <cell r="B1133">
            <v>123</v>
          </cell>
          <cell r="I1133">
            <v>7</v>
          </cell>
        </row>
        <row r="1134">
          <cell r="B1134">
            <v>128</v>
          </cell>
          <cell r="I1134">
            <v>7.5</v>
          </cell>
        </row>
        <row r="1135">
          <cell r="B1135">
            <v>139</v>
          </cell>
          <cell r="I1135">
            <v>7.3</v>
          </cell>
        </row>
        <row r="1136">
          <cell r="B1136">
            <v>109</v>
          </cell>
          <cell r="I1136">
            <v>5.7</v>
          </cell>
        </row>
        <row r="1137">
          <cell r="B1137">
            <v>120</v>
          </cell>
          <cell r="I1137">
            <v>7.3</v>
          </cell>
        </row>
        <row r="1138">
          <cell r="B1138">
            <v>121</v>
          </cell>
          <cell r="I1138">
            <v>7.2</v>
          </cell>
        </row>
        <row r="1139">
          <cell r="B1139">
            <v>102</v>
          </cell>
          <cell r="I1139">
            <v>5.9</v>
          </cell>
        </row>
        <row r="1140">
          <cell r="B1140">
            <v>117</v>
          </cell>
          <cell r="I1140">
            <v>7.8</v>
          </cell>
        </row>
        <row r="1141">
          <cell r="B1141">
            <v>178</v>
          </cell>
          <cell r="I1141">
            <v>7.7</v>
          </cell>
        </row>
        <row r="1142">
          <cell r="B1142">
            <v>147</v>
          </cell>
          <cell r="I1142">
            <v>8.1</v>
          </cell>
        </row>
        <row r="1143">
          <cell r="B1143">
            <v>90</v>
          </cell>
          <cell r="I1143">
            <v>6.6</v>
          </cell>
        </row>
        <row r="1144">
          <cell r="B1144">
            <v>105</v>
          </cell>
          <cell r="I1144">
            <v>7.1</v>
          </cell>
        </row>
        <row r="1145">
          <cell r="B1145">
            <v>114</v>
          </cell>
          <cell r="I1145">
            <v>5.9</v>
          </cell>
        </row>
        <row r="1146">
          <cell r="B1146">
            <v>206</v>
          </cell>
          <cell r="I1146">
            <v>8</v>
          </cell>
        </row>
        <row r="1147">
          <cell r="B1147">
            <v>99</v>
          </cell>
          <cell r="I1147">
            <v>4.5999999999999996</v>
          </cell>
        </row>
        <row r="1148">
          <cell r="B1148">
            <v>123</v>
          </cell>
          <cell r="I1148">
            <v>6.1</v>
          </cell>
        </row>
        <row r="1149">
          <cell r="B1149">
            <v>102</v>
          </cell>
          <cell r="I1149">
            <v>6.4</v>
          </cell>
        </row>
        <row r="1150">
          <cell r="B1150">
            <v>109</v>
          </cell>
          <cell r="I1150">
            <v>6</v>
          </cell>
        </row>
        <row r="1151">
          <cell r="B1151">
            <v>82</v>
          </cell>
          <cell r="I1151">
            <v>5.2</v>
          </cell>
        </row>
        <row r="1152">
          <cell r="B1152">
            <v>142</v>
          </cell>
          <cell r="I1152">
            <v>7.6</v>
          </cell>
        </row>
        <row r="1153">
          <cell r="B1153">
            <v>106</v>
          </cell>
          <cell r="I1153">
            <v>6.4</v>
          </cell>
        </row>
        <row r="1154">
          <cell r="B1154">
            <v>106</v>
          </cell>
          <cell r="I1154">
            <v>6.1</v>
          </cell>
        </row>
        <row r="1155">
          <cell r="B1155">
            <v>108</v>
          </cell>
          <cell r="I1155">
            <v>6.1</v>
          </cell>
        </row>
        <row r="1156">
          <cell r="B1156">
            <v>98</v>
          </cell>
          <cell r="I1156">
            <v>5.2</v>
          </cell>
        </row>
        <row r="1157">
          <cell r="B1157">
            <v>131</v>
          </cell>
          <cell r="I1157">
            <v>7.7</v>
          </cell>
        </row>
        <row r="1158">
          <cell r="B1158">
            <v>118</v>
          </cell>
          <cell r="I1158">
            <v>7.3</v>
          </cell>
        </row>
        <row r="1159">
          <cell r="B1159">
            <v>113</v>
          </cell>
          <cell r="I1159">
            <v>6.9</v>
          </cell>
        </row>
        <row r="1160">
          <cell r="B1160">
            <v>130</v>
          </cell>
          <cell r="I1160">
            <v>8.5</v>
          </cell>
        </row>
        <row r="1161">
          <cell r="B1161">
            <v>116</v>
          </cell>
          <cell r="I1161">
            <v>6.3</v>
          </cell>
        </row>
        <row r="1162">
          <cell r="B1162">
            <v>89</v>
          </cell>
          <cell r="I1162">
            <v>5.9</v>
          </cell>
        </row>
        <row r="1163">
          <cell r="B1163">
            <v>139</v>
          </cell>
          <cell r="I1163">
            <v>7.8</v>
          </cell>
        </row>
        <row r="1164">
          <cell r="B1164">
            <v>130</v>
          </cell>
          <cell r="I1164">
            <v>6.7</v>
          </cell>
        </row>
        <row r="1165">
          <cell r="B1165">
            <v>107</v>
          </cell>
          <cell r="I1165">
            <v>6.4</v>
          </cell>
        </row>
        <row r="1166">
          <cell r="B1166">
            <v>116</v>
          </cell>
          <cell r="I1166">
            <v>5.9</v>
          </cell>
        </row>
        <row r="1167">
          <cell r="B1167">
            <v>96</v>
          </cell>
          <cell r="I1167">
            <v>6.6</v>
          </cell>
        </row>
        <row r="1168">
          <cell r="B1168">
            <v>99</v>
          </cell>
          <cell r="I1168">
            <v>6.8</v>
          </cell>
        </row>
        <row r="1169">
          <cell r="B1169">
            <v>104</v>
          </cell>
          <cell r="I1169">
            <v>6.5</v>
          </cell>
        </row>
        <row r="1170">
          <cell r="B1170">
            <v>105</v>
          </cell>
          <cell r="I1170">
            <v>6.6</v>
          </cell>
        </row>
        <row r="1171">
          <cell r="B1171">
            <v>101</v>
          </cell>
          <cell r="I1171">
            <v>5.8</v>
          </cell>
        </row>
        <row r="1172">
          <cell r="B1172">
            <v>134</v>
          </cell>
          <cell r="I1172">
            <v>6.9</v>
          </cell>
        </row>
        <row r="1173">
          <cell r="B1173">
            <v>135</v>
          </cell>
          <cell r="I1173">
            <v>7.1</v>
          </cell>
        </row>
        <row r="1174">
          <cell r="B1174">
            <v>98</v>
          </cell>
          <cell r="I1174">
            <v>5.8</v>
          </cell>
        </row>
        <row r="1175">
          <cell r="B1175">
            <v>155</v>
          </cell>
          <cell r="I1175">
            <v>7.2</v>
          </cell>
        </row>
        <row r="1176">
          <cell r="B1176">
            <v>106</v>
          </cell>
          <cell r="I1176">
            <v>6</v>
          </cell>
        </row>
        <row r="1177">
          <cell r="B1177">
            <v>102</v>
          </cell>
          <cell r="I1177">
            <v>4.7</v>
          </cell>
        </row>
        <row r="1178">
          <cell r="B1178">
            <v>95</v>
          </cell>
          <cell r="I1178">
            <v>5.2</v>
          </cell>
        </row>
        <row r="1179">
          <cell r="B1179">
            <v>103</v>
          </cell>
          <cell r="I1179">
            <v>5.5</v>
          </cell>
        </row>
        <row r="1180">
          <cell r="B1180">
            <v>109</v>
          </cell>
          <cell r="I1180">
            <v>7</v>
          </cell>
        </row>
        <row r="1181">
          <cell r="B1181">
            <v>95</v>
          </cell>
          <cell r="I1181">
            <v>5.8</v>
          </cell>
        </row>
        <row r="1182">
          <cell r="B1182">
            <v>111</v>
          </cell>
          <cell r="I1182">
            <v>6.2</v>
          </cell>
        </row>
        <row r="1183">
          <cell r="B1183">
            <v>123</v>
          </cell>
          <cell r="I1183">
            <v>6.5</v>
          </cell>
        </row>
        <row r="1184">
          <cell r="B1184">
            <v>140</v>
          </cell>
          <cell r="I1184">
            <v>7.2</v>
          </cell>
        </row>
        <row r="1185">
          <cell r="B1185">
            <v>94</v>
          </cell>
          <cell r="I1185">
            <v>5.0999999999999996</v>
          </cell>
        </row>
        <row r="1186">
          <cell r="B1186">
            <v>94</v>
          </cell>
          <cell r="I1186">
            <v>4.7</v>
          </cell>
        </row>
        <row r="1187">
          <cell r="B1187">
            <v>92</v>
          </cell>
          <cell r="I1187">
            <v>5.9</v>
          </cell>
        </row>
        <row r="1188">
          <cell r="B1188">
            <v>102</v>
          </cell>
          <cell r="I1188">
            <v>5.8</v>
          </cell>
        </row>
        <row r="1189">
          <cell r="B1189">
            <v>123</v>
          </cell>
          <cell r="I1189">
            <v>7.2</v>
          </cell>
        </row>
        <row r="1190">
          <cell r="B1190">
            <v>104</v>
          </cell>
          <cell r="I1190">
            <v>6.2</v>
          </cell>
        </row>
        <row r="1191">
          <cell r="B1191">
            <v>102</v>
          </cell>
          <cell r="I1191">
            <v>5.7</v>
          </cell>
        </row>
        <row r="1192">
          <cell r="B1192">
            <v>136</v>
          </cell>
          <cell r="I1192">
            <v>6.1</v>
          </cell>
        </row>
        <row r="1193">
          <cell r="B1193">
            <v>93</v>
          </cell>
          <cell r="I1193">
            <v>6</v>
          </cell>
        </row>
        <row r="1194">
          <cell r="B1194">
            <v>129</v>
          </cell>
          <cell r="I1194">
            <v>6.9</v>
          </cell>
        </row>
        <row r="1195">
          <cell r="B1195">
            <v>107</v>
          </cell>
          <cell r="I1195">
            <v>6.5</v>
          </cell>
        </row>
        <row r="1196">
          <cell r="B1196">
            <v>117</v>
          </cell>
          <cell r="I1196">
            <v>5</v>
          </cell>
        </row>
        <row r="1197">
          <cell r="B1197">
            <v>116</v>
          </cell>
          <cell r="I1197">
            <v>5.7</v>
          </cell>
        </row>
        <row r="1198">
          <cell r="B1198">
            <v>135</v>
          </cell>
          <cell r="I1198">
            <v>7</v>
          </cell>
        </row>
        <row r="1199">
          <cell r="B1199">
            <v>107</v>
          </cell>
          <cell r="I1199">
            <v>5.0999999999999996</v>
          </cell>
        </row>
        <row r="1200">
          <cell r="B1200">
            <v>90</v>
          </cell>
          <cell r="I1200">
            <v>5.3</v>
          </cell>
        </row>
        <row r="1201">
          <cell r="B1201">
            <v>99</v>
          </cell>
          <cell r="I1201">
            <v>4.4000000000000004</v>
          </cell>
        </row>
        <row r="1202">
          <cell r="B1202">
            <v>104</v>
          </cell>
          <cell r="I1202">
            <v>4.7</v>
          </cell>
        </row>
        <row r="1203">
          <cell r="B1203">
            <v>115</v>
          </cell>
          <cell r="I1203">
            <v>6.7</v>
          </cell>
        </row>
        <row r="1204">
          <cell r="B1204">
            <v>119</v>
          </cell>
          <cell r="I1204">
            <v>6.7</v>
          </cell>
        </row>
        <row r="1205">
          <cell r="B1205">
            <v>99</v>
          </cell>
          <cell r="I1205">
            <v>5.7</v>
          </cell>
        </row>
        <row r="1206">
          <cell r="B1206">
            <v>112</v>
          </cell>
          <cell r="I1206">
            <v>7.4</v>
          </cell>
        </row>
        <row r="1207">
          <cell r="B1207">
            <v>128</v>
          </cell>
          <cell r="I1207">
            <v>6.1</v>
          </cell>
        </row>
        <row r="1208">
          <cell r="B1208">
            <v>112</v>
          </cell>
          <cell r="I1208">
            <v>6.4</v>
          </cell>
        </row>
        <row r="1209">
          <cell r="B1209">
            <v>86</v>
          </cell>
          <cell r="I1209">
            <v>6.2</v>
          </cell>
        </row>
        <row r="1210">
          <cell r="B1210">
            <v>108</v>
          </cell>
          <cell r="I1210">
            <v>6.2</v>
          </cell>
        </row>
        <row r="1211">
          <cell r="B1211">
            <v>128</v>
          </cell>
          <cell r="I1211">
            <v>5.9</v>
          </cell>
        </row>
        <row r="1212">
          <cell r="B1212">
            <v>84</v>
          </cell>
          <cell r="I1212">
            <v>4</v>
          </cell>
        </row>
        <row r="1213">
          <cell r="B1213">
            <v>111</v>
          </cell>
          <cell r="I1213">
            <v>6.2</v>
          </cell>
        </row>
        <row r="1214">
          <cell r="B1214">
            <v>131</v>
          </cell>
          <cell r="I1214">
            <v>4.5999999999999996</v>
          </cell>
        </row>
        <row r="1215">
          <cell r="B1215">
            <v>123</v>
          </cell>
          <cell r="I1215">
            <v>6.4</v>
          </cell>
        </row>
        <row r="1216">
          <cell r="B1216">
            <v>101</v>
          </cell>
          <cell r="I1216">
            <v>5.9</v>
          </cell>
        </row>
        <row r="1217">
          <cell r="B1217">
            <v>102</v>
          </cell>
          <cell r="I1217">
            <v>5.0999999999999996</v>
          </cell>
        </row>
        <row r="1218">
          <cell r="B1218">
            <v>114</v>
          </cell>
          <cell r="I1218">
            <v>7.6</v>
          </cell>
        </row>
        <row r="1219">
          <cell r="B1219">
            <v>107</v>
          </cell>
          <cell r="I1219">
            <v>4.2</v>
          </cell>
        </row>
        <row r="1220">
          <cell r="B1220">
            <v>87</v>
          </cell>
          <cell r="I1220">
            <v>7.8</v>
          </cell>
        </row>
        <row r="1221">
          <cell r="B1221">
            <v>103</v>
          </cell>
          <cell r="I1221">
            <v>5.8</v>
          </cell>
        </row>
        <row r="1222">
          <cell r="B1222">
            <v>99</v>
          </cell>
          <cell r="I1222">
            <v>5.9</v>
          </cell>
        </row>
        <row r="1223">
          <cell r="B1223">
            <v>122</v>
          </cell>
          <cell r="I1223">
            <v>8.4</v>
          </cell>
        </row>
        <row r="1224">
          <cell r="B1224">
            <v>91</v>
          </cell>
          <cell r="I1224">
            <v>4.8</v>
          </cell>
        </row>
        <row r="1225">
          <cell r="B1225">
            <v>103</v>
          </cell>
          <cell r="I1225">
            <v>6.2</v>
          </cell>
        </row>
        <row r="1226">
          <cell r="B1226">
            <v>107</v>
          </cell>
          <cell r="I1226">
            <v>6.5</v>
          </cell>
        </row>
        <row r="1227">
          <cell r="B1227">
            <v>106</v>
          </cell>
          <cell r="I1227">
            <v>6.3</v>
          </cell>
        </row>
        <row r="1228">
          <cell r="B1228">
            <v>101</v>
          </cell>
          <cell r="I1228">
            <v>3.3</v>
          </cell>
        </row>
        <row r="1229">
          <cell r="B1229">
            <v>109</v>
          </cell>
          <cell r="I1229">
            <v>5.9</v>
          </cell>
        </row>
        <row r="1230">
          <cell r="B1230">
            <v>89</v>
          </cell>
          <cell r="I1230">
            <v>5.8</v>
          </cell>
        </row>
        <row r="1231">
          <cell r="B1231">
            <v>119</v>
          </cell>
          <cell r="I1231">
            <v>4.7</v>
          </cell>
        </row>
        <row r="1232">
          <cell r="B1232">
            <v>83</v>
          </cell>
          <cell r="I1232">
            <v>4.0999999999999996</v>
          </cell>
        </row>
        <row r="1233">
          <cell r="B1233">
            <v>108</v>
          </cell>
          <cell r="I1233">
            <v>6.8</v>
          </cell>
        </row>
        <row r="1234">
          <cell r="B1234">
            <v>102</v>
          </cell>
          <cell r="I1234">
            <v>6.2</v>
          </cell>
        </row>
        <row r="1235">
          <cell r="B1235">
            <v>93</v>
          </cell>
          <cell r="I1235">
            <v>4.5</v>
          </cell>
        </row>
        <row r="1236">
          <cell r="B1236">
            <v>84</v>
          </cell>
          <cell r="I1236">
            <v>5.8</v>
          </cell>
        </row>
        <row r="1237">
          <cell r="B1237">
            <v>107</v>
          </cell>
          <cell r="I1237">
            <v>7.3</v>
          </cell>
        </row>
        <row r="1238">
          <cell r="B1238">
            <v>91</v>
          </cell>
          <cell r="I1238">
            <v>5.9</v>
          </cell>
        </row>
        <row r="1239">
          <cell r="B1239">
            <v>94</v>
          </cell>
          <cell r="I1239">
            <v>4.4000000000000004</v>
          </cell>
        </row>
        <row r="1240">
          <cell r="B1240">
            <v>115</v>
          </cell>
          <cell r="I1240">
            <v>5.8</v>
          </cell>
        </row>
        <row r="1241">
          <cell r="B1241">
            <v>93</v>
          </cell>
          <cell r="I1241">
            <v>5.0999999999999996</v>
          </cell>
        </row>
        <row r="1242">
          <cell r="B1242">
            <v>105</v>
          </cell>
          <cell r="I1242">
            <v>6.9</v>
          </cell>
        </row>
        <row r="1243">
          <cell r="B1243">
            <v>107</v>
          </cell>
          <cell r="I1243">
            <v>6.2</v>
          </cell>
        </row>
        <row r="1244">
          <cell r="B1244">
            <v>101</v>
          </cell>
          <cell r="I1244">
            <v>6.9</v>
          </cell>
        </row>
        <row r="1245">
          <cell r="B1245">
            <v>111</v>
          </cell>
          <cell r="I1245">
            <v>7.3</v>
          </cell>
        </row>
        <row r="1246">
          <cell r="B1246">
            <v>113</v>
          </cell>
          <cell r="I1246">
            <v>7.1</v>
          </cell>
        </row>
        <row r="1247">
          <cell r="B1247">
            <v>112</v>
          </cell>
          <cell r="I1247">
            <v>6</v>
          </cell>
        </row>
        <row r="1248">
          <cell r="B1248">
            <v>126</v>
          </cell>
          <cell r="I1248">
            <v>7</v>
          </cell>
        </row>
        <row r="1249">
          <cell r="B1249">
            <v>98</v>
          </cell>
          <cell r="I1249">
            <v>7.6</v>
          </cell>
        </row>
        <row r="1250">
          <cell r="B1250">
            <v>159</v>
          </cell>
          <cell r="I1250">
            <v>8.4</v>
          </cell>
        </row>
        <row r="1251">
          <cell r="B1251">
            <v>107</v>
          </cell>
          <cell r="I1251">
            <v>7.1</v>
          </cell>
        </row>
        <row r="1252">
          <cell r="B1252">
            <v>87</v>
          </cell>
          <cell r="I1252">
            <v>7</v>
          </cell>
        </row>
        <row r="1253">
          <cell r="B1253">
            <v>119</v>
          </cell>
          <cell r="I1253">
            <v>8</v>
          </cell>
        </row>
        <row r="1254">
          <cell r="B1254">
            <v>110</v>
          </cell>
          <cell r="I1254">
            <v>5.3</v>
          </cell>
        </row>
        <row r="1255">
          <cell r="B1255">
            <v>125</v>
          </cell>
          <cell r="I1255">
            <v>4.9000000000000004</v>
          </cell>
        </row>
        <row r="1256">
          <cell r="B1256">
            <v>113</v>
          </cell>
          <cell r="I1256">
            <v>6.4</v>
          </cell>
        </row>
        <row r="1257">
          <cell r="B1257">
            <v>150</v>
          </cell>
          <cell r="I1257">
            <v>7.4</v>
          </cell>
        </row>
        <row r="1258">
          <cell r="B1258">
            <v>108</v>
          </cell>
          <cell r="I1258">
            <v>6.1</v>
          </cell>
        </row>
        <row r="1259">
          <cell r="B1259">
            <v>96</v>
          </cell>
          <cell r="I1259">
            <v>6.5</v>
          </cell>
        </row>
        <row r="1260">
          <cell r="B1260">
            <v>93</v>
          </cell>
          <cell r="I1260">
            <v>5.7</v>
          </cell>
        </row>
        <row r="1261">
          <cell r="B1261">
            <v>100</v>
          </cell>
          <cell r="I1261">
            <v>5.0999999999999996</v>
          </cell>
        </row>
        <row r="1262">
          <cell r="B1262">
            <v>118</v>
          </cell>
          <cell r="I1262">
            <v>6.6</v>
          </cell>
        </row>
        <row r="1263">
          <cell r="B1263">
            <v>122</v>
          </cell>
          <cell r="I1263">
            <v>6.5</v>
          </cell>
        </row>
        <row r="1264">
          <cell r="B1264">
            <v>120</v>
          </cell>
          <cell r="I1264">
            <v>6.9</v>
          </cell>
        </row>
        <row r="1265">
          <cell r="B1265">
            <v>146</v>
          </cell>
          <cell r="I1265">
            <v>7.6</v>
          </cell>
        </row>
        <row r="1266">
          <cell r="B1266">
            <v>115</v>
          </cell>
          <cell r="I1266">
            <v>5.6</v>
          </cell>
        </row>
        <row r="1267">
          <cell r="B1267">
            <v>123</v>
          </cell>
          <cell r="I1267">
            <v>6.2</v>
          </cell>
        </row>
        <row r="1268">
          <cell r="B1268">
            <v>94</v>
          </cell>
          <cell r="I1268">
            <v>4.4000000000000004</v>
          </cell>
        </row>
        <row r="1269">
          <cell r="B1269">
            <v>102</v>
          </cell>
          <cell r="I1269">
            <v>5.6</v>
          </cell>
        </row>
        <row r="1270">
          <cell r="B1270">
            <v>98</v>
          </cell>
          <cell r="I1270">
            <v>5.5</v>
          </cell>
        </row>
        <row r="1271">
          <cell r="B1271">
            <v>133</v>
          </cell>
          <cell r="I1271">
            <v>6.7</v>
          </cell>
        </row>
        <row r="1272">
          <cell r="B1272">
            <v>118</v>
          </cell>
          <cell r="I1272">
            <v>6.1</v>
          </cell>
        </row>
        <row r="1273">
          <cell r="B1273">
            <v>105</v>
          </cell>
          <cell r="I1273">
            <v>6.2</v>
          </cell>
        </row>
        <row r="1274">
          <cell r="B1274">
            <v>109</v>
          </cell>
          <cell r="I1274">
            <v>7.3</v>
          </cell>
        </row>
        <row r="1275">
          <cell r="B1275">
            <v>129</v>
          </cell>
          <cell r="I1275">
            <v>6.6</v>
          </cell>
        </row>
        <row r="1276">
          <cell r="B1276">
            <v>109</v>
          </cell>
          <cell r="I1276">
            <v>8.1999999999999993</v>
          </cell>
        </row>
        <row r="1277">
          <cell r="B1277">
            <v>127</v>
          </cell>
          <cell r="I1277">
            <v>6.4</v>
          </cell>
        </row>
        <row r="1278">
          <cell r="B1278">
            <v>118</v>
          </cell>
          <cell r="I1278">
            <v>6.4</v>
          </cell>
        </row>
        <row r="1279">
          <cell r="B1279">
            <v>110</v>
          </cell>
          <cell r="I1279">
            <v>5.2</v>
          </cell>
        </row>
        <row r="1280">
          <cell r="B1280">
            <v>90</v>
          </cell>
          <cell r="I1280">
            <v>6.5</v>
          </cell>
        </row>
        <row r="1281">
          <cell r="B1281">
            <v>144</v>
          </cell>
          <cell r="I1281">
            <v>7.1</v>
          </cell>
        </row>
        <row r="1282">
          <cell r="B1282">
            <v>130</v>
          </cell>
          <cell r="I1282">
            <v>7.3</v>
          </cell>
        </row>
        <row r="1283">
          <cell r="B1283">
            <v>112</v>
          </cell>
          <cell r="I1283">
            <v>5.2</v>
          </cell>
        </row>
        <row r="1284">
          <cell r="B1284">
            <v>133</v>
          </cell>
          <cell r="I1284">
            <v>7.7</v>
          </cell>
        </row>
        <row r="1285">
          <cell r="B1285">
            <v>150</v>
          </cell>
          <cell r="I1285">
            <v>7.6</v>
          </cell>
        </row>
        <row r="1286">
          <cell r="B1286">
            <v>110</v>
          </cell>
          <cell r="I1286">
            <v>5.7</v>
          </cell>
        </row>
        <row r="1287">
          <cell r="B1287">
            <v>96</v>
          </cell>
          <cell r="I1287">
            <v>7</v>
          </cell>
        </row>
        <row r="1288">
          <cell r="B1288">
            <v>96</v>
          </cell>
          <cell r="I1288">
            <v>6</v>
          </cell>
        </row>
        <row r="1289">
          <cell r="B1289">
            <v>123</v>
          </cell>
          <cell r="I1289">
            <v>8.1</v>
          </cell>
        </row>
        <row r="1290">
          <cell r="B1290">
            <v>188</v>
          </cell>
          <cell r="I1290">
            <v>8</v>
          </cell>
        </row>
        <row r="1291">
          <cell r="B1291">
            <v>107</v>
          </cell>
          <cell r="I1291">
            <v>5.6</v>
          </cell>
        </row>
        <row r="1292">
          <cell r="B1292">
            <v>110</v>
          </cell>
          <cell r="I1292">
            <v>6.1</v>
          </cell>
        </row>
        <row r="1293">
          <cell r="B1293">
            <v>113</v>
          </cell>
          <cell r="I1293">
            <v>6.9</v>
          </cell>
        </row>
        <row r="1294">
          <cell r="B1294">
            <v>122</v>
          </cell>
          <cell r="I1294">
            <v>5.2</v>
          </cell>
        </row>
        <row r="1295">
          <cell r="B1295">
            <v>116</v>
          </cell>
          <cell r="I1295">
            <v>7</v>
          </cell>
        </row>
        <row r="1296">
          <cell r="B1296">
            <v>93</v>
          </cell>
          <cell r="I1296">
            <v>6.3</v>
          </cell>
        </row>
        <row r="1297">
          <cell r="B1297">
            <v>118</v>
          </cell>
          <cell r="I1297">
            <v>7</v>
          </cell>
        </row>
        <row r="1298">
          <cell r="B1298">
            <v>93</v>
          </cell>
          <cell r="I1298">
            <v>6.9</v>
          </cell>
        </row>
        <row r="1299">
          <cell r="B1299">
            <v>121</v>
          </cell>
          <cell r="I1299">
            <v>6.2</v>
          </cell>
        </row>
        <row r="1300">
          <cell r="B1300">
            <v>101</v>
          </cell>
          <cell r="I1300">
            <v>6.4</v>
          </cell>
        </row>
        <row r="1301">
          <cell r="B1301">
            <v>107</v>
          </cell>
          <cell r="I1301">
            <v>6.4</v>
          </cell>
        </row>
        <row r="1302">
          <cell r="B1302">
            <v>124</v>
          </cell>
          <cell r="I1302">
            <v>5.7</v>
          </cell>
        </row>
        <row r="1303">
          <cell r="B1303">
            <v>109</v>
          </cell>
          <cell r="I1303">
            <v>6.1</v>
          </cell>
        </row>
        <row r="1304">
          <cell r="B1304">
            <v>105</v>
          </cell>
          <cell r="I1304">
            <v>5.4</v>
          </cell>
        </row>
        <row r="1305">
          <cell r="B1305">
            <v>130</v>
          </cell>
          <cell r="I1305">
            <v>6.7</v>
          </cell>
        </row>
        <row r="1306">
          <cell r="B1306">
            <v>127</v>
          </cell>
          <cell r="I1306">
            <v>6.8</v>
          </cell>
        </row>
        <row r="1307">
          <cell r="B1307">
            <v>114</v>
          </cell>
          <cell r="I1307">
            <v>6</v>
          </cell>
        </row>
        <row r="1308">
          <cell r="B1308">
            <v>106</v>
          </cell>
          <cell r="I1308">
            <v>7.8</v>
          </cell>
        </row>
        <row r="1309">
          <cell r="B1309">
            <v>95</v>
          </cell>
          <cell r="I1309">
            <v>5.3</v>
          </cell>
        </row>
        <row r="1310">
          <cell r="B1310">
            <v>81</v>
          </cell>
          <cell r="I1310">
            <v>4.5</v>
          </cell>
        </row>
        <row r="1311">
          <cell r="B1311">
            <v>95</v>
          </cell>
          <cell r="I1311">
            <v>5.4</v>
          </cell>
        </row>
        <row r="1312">
          <cell r="B1312">
            <v>108</v>
          </cell>
          <cell r="I1312">
            <v>7.8</v>
          </cell>
        </row>
        <row r="1313">
          <cell r="B1313">
            <v>105</v>
          </cell>
          <cell r="I1313">
            <v>7.2</v>
          </cell>
        </row>
        <row r="1314">
          <cell r="B1314">
            <v>95</v>
          </cell>
          <cell r="I1314">
            <v>6.6</v>
          </cell>
        </row>
        <row r="1315">
          <cell r="B1315">
            <v>126</v>
          </cell>
          <cell r="I1315">
            <v>7.6</v>
          </cell>
        </row>
        <row r="1316">
          <cell r="B1316">
            <v>102</v>
          </cell>
          <cell r="I1316">
            <v>5.9</v>
          </cell>
        </row>
        <row r="1317">
          <cell r="B1317">
            <v>121</v>
          </cell>
          <cell r="I1317">
            <v>6.7</v>
          </cell>
        </row>
        <row r="1318">
          <cell r="B1318">
            <v>129</v>
          </cell>
          <cell r="I1318">
            <v>7.7</v>
          </cell>
        </row>
        <row r="1319">
          <cell r="B1319">
            <v>88</v>
          </cell>
          <cell r="I1319">
            <v>5.4</v>
          </cell>
        </row>
        <row r="1320">
          <cell r="B1320">
            <v>106</v>
          </cell>
          <cell r="I1320">
            <v>6.9</v>
          </cell>
        </row>
        <row r="1321">
          <cell r="B1321">
            <v>110</v>
          </cell>
          <cell r="I1321">
            <v>7.7</v>
          </cell>
        </row>
        <row r="1322">
          <cell r="B1322">
            <v>109</v>
          </cell>
          <cell r="I1322">
            <v>6.8</v>
          </cell>
        </row>
        <row r="1323">
          <cell r="B1323">
            <v>143</v>
          </cell>
          <cell r="I1323">
            <v>6.4</v>
          </cell>
        </row>
        <row r="1324">
          <cell r="B1324">
            <v>120</v>
          </cell>
          <cell r="I1324">
            <v>5.7</v>
          </cell>
        </row>
        <row r="1325">
          <cell r="B1325">
            <v>128</v>
          </cell>
          <cell r="I1325">
            <v>7.3</v>
          </cell>
        </row>
        <row r="1326">
          <cell r="B1326">
            <v>123</v>
          </cell>
          <cell r="I1326">
            <v>6.8</v>
          </cell>
        </row>
        <row r="1327">
          <cell r="B1327">
            <v>129</v>
          </cell>
          <cell r="I1327">
            <v>6.3</v>
          </cell>
        </row>
        <row r="1328">
          <cell r="B1328">
            <v>105</v>
          </cell>
          <cell r="I1328">
            <v>5.9</v>
          </cell>
        </row>
        <row r="1329">
          <cell r="B1329">
            <v>162</v>
          </cell>
          <cell r="I1329">
            <v>7.4</v>
          </cell>
        </row>
        <row r="1330">
          <cell r="B1330">
            <v>138</v>
          </cell>
          <cell r="I1330">
            <v>8.3000000000000007</v>
          </cell>
        </row>
        <row r="1331">
          <cell r="B1331">
            <v>100</v>
          </cell>
          <cell r="I1331">
            <v>6.2</v>
          </cell>
        </row>
        <row r="1332">
          <cell r="B1332">
            <v>90</v>
          </cell>
          <cell r="I1332">
            <v>6.3</v>
          </cell>
        </row>
        <row r="1333">
          <cell r="B1333">
            <v>108</v>
          </cell>
          <cell r="I1333">
            <v>5.8</v>
          </cell>
        </row>
        <row r="1334">
          <cell r="B1334">
            <v>101</v>
          </cell>
          <cell r="I1334">
            <v>7.5</v>
          </cell>
        </row>
        <row r="1335">
          <cell r="B1335">
            <v>109</v>
          </cell>
          <cell r="I1335">
            <v>6.3</v>
          </cell>
        </row>
        <row r="1336">
          <cell r="B1336">
            <v>132</v>
          </cell>
          <cell r="I1336">
            <v>6.4</v>
          </cell>
        </row>
        <row r="1337">
          <cell r="B1337">
            <v>123</v>
          </cell>
          <cell r="I1337">
            <v>7.2</v>
          </cell>
        </row>
        <row r="1338">
          <cell r="B1338">
            <v>87</v>
          </cell>
          <cell r="I1338">
            <v>6.3</v>
          </cell>
        </row>
        <row r="1339">
          <cell r="B1339">
            <v>109</v>
          </cell>
          <cell r="I1339">
            <v>6.9</v>
          </cell>
        </row>
        <row r="1340">
          <cell r="B1340">
            <v>109</v>
          </cell>
          <cell r="I1340">
            <v>6.6</v>
          </cell>
        </row>
        <row r="1341">
          <cell r="B1341">
            <v>92</v>
          </cell>
          <cell r="I1341">
            <v>6</v>
          </cell>
        </row>
        <row r="1342">
          <cell r="B1342">
            <v>125</v>
          </cell>
          <cell r="I1342">
            <v>7.5</v>
          </cell>
        </row>
        <row r="1343">
          <cell r="B1343">
            <v>202</v>
          </cell>
          <cell r="I1343">
            <v>7.7</v>
          </cell>
        </row>
        <row r="1344">
          <cell r="B1344">
            <v>134</v>
          </cell>
          <cell r="I1344">
            <v>6.2</v>
          </cell>
        </row>
        <row r="1345">
          <cell r="B1345">
            <v>88</v>
          </cell>
          <cell r="I1345">
            <v>5.4</v>
          </cell>
        </row>
        <row r="1346">
          <cell r="B1346">
            <v>92</v>
          </cell>
          <cell r="I1346">
            <v>6.6</v>
          </cell>
        </row>
        <row r="1347">
          <cell r="B1347">
            <v>91</v>
          </cell>
          <cell r="I1347">
            <v>5.3</v>
          </cell>
        </row>
        <row r="1348">
          <cell r="B1348">
            <v>75</v>
          </cell>
          <cell r="I1348">
            <v>5.6</v>
          </cell>
        </row>
        <row r="1349">
          <cell r="B1349">
            <v>98</v>
          </cell>
          <cell r="I1349">
            <v>5.9</v>
          </cell>
        </row>
        <row r="1350">
          <cell r="B1350">
            <v>147</v>
          </cell>
          <cell r="I1350">
            <v>7.8</v>
          </cell>
        </row>
        <row r="1351">
          <cell r="B1351">
            <v>100</v>
          </cell>
          <cell r="I1351">
            <v>6.7</v>
          </cell>
        </row>
        <row r="1352">
          <cell r="B1352">
            <v>120</v>
          </cell>
          <cell r="I1352">
            <v>7.4</v>
          </cell>
        </row>
        <row r="1353">
          <cell r="B1353">
            <v>104</v>
          </cell>
          <cell r="I1353">
            <v>6.2</v>
          </cell>
        </row>
        <row r="1354">
          <cell r="B1354">
            <v>103</v>
          </cell>
          <cell r="I1354">
            <v>5.4</v>
          </cell>
        </row>
        <row r="1355">
          <cell r="B1355">
            <v>109</v>
          </cell>
          <cell r="I1355">
            <v>6.7</v>
          </cell>
        </row>
        <row r="1356">
          <cell r="B1356">
            <v>104</v>
          </cell>
          <cell r="I1356">
            <v>5.3</v>
          </cell>
        </row>
        <row r="1357">
          <cell r="B1357">
            <v>112</v>
          </cell>
          <cell r="I1357">
            <v>5.9</v>
          </cell>
        </row>
        <row r="1358">
          <cell r="B1358">
            <v>95</v>
          </cell>
          <cell r="I1358">
            <v>4.8</v>
          </cell>
        </row>
        <row r="1359">
          <cell r="B1359">
            <v>102</v>
          </cell>
          <cell r="I1359">
            <v>3.8</v>
          </cell>
        </row>
        <row r="1360">
          <cell r="B1360">
            <v>150</v>
          </cell>
          <cell r="I1360">
            <v>8.5</v>
          </cell>
        </row>
        <row r="1361">
          <cell r="B1361">
            <v>101</v>
          </cell>
          <cell r="I1361">
            <v>6.8</v>
          </cell>
        </row>
        <row r="1362">
          <cell r="B1362">
            <v>108</v>
          </cell>
          <cell r="I1362">
            <v>5.3</v>
          </cell>
        </row>
        <row r="1363">
          <cell r="B1363">
            <v>98</v>
          </cell>
          <cell r="I1363">
            <v>7.3</v>
          </cell>
        </row>
        <row r="1364">
          <cell r="B1364">
            <v>137</v>
          </cell>
          <cell r="I1364">
            <v>6.6</v>
          </cell>
        </row>
        <row r="1365">
          <cell r="B1365">
            <v>112</v>
          </cell>
          <cell r="I1365">
            <v>6.2</v>
          </cell>
        </row>
        <row r="1366">
          <cell r="B1366">
            <v>101</v>
          </cell>
          <cell r="I1366">
            <v>5.2</v>
          </cell>
        </row>
        <row r="1367">
          <cell r="B1367">
            <v>103</v>
          </cell>
          <cell r="I1367">
            <v>6.2</v>
          </cell>
        </row>
        <row r="1368">
          <cell r="B1368">
            <v>101</v>
          </cell>
          <cell r="I1368">
            <v>6.2</v>
          </cell>
        </row>
        <row r="1369">
          <cell r="B1369">
            <v>112</v>
          </cell>
          <cell r="I1369">
            <v>6.6</v>
          </cell>
        </row>
        <row r="1370">
          <cell r="B1370">
            <v>102</v>
          </cell>
          <cell r="I1370">
            <v>6.2</v>
          </cell>
        </row>
        <row r="1371">
          <cell r="B1371">
            <v>101</v>
          </cell>
          <cell r="I1371">
            <v>5.0999999999999996</v>
          </cell>
        </row>
        <row r="1372">
          <cell r="B1372">
            <v>155</v>
          </cell>
          <cell r="I1372">
            <v>6.6</v>
          </cell>
        </row>
        <row r="1373">
          <cell r="B1373">
            <v>109</v>
          </cell>
          <cell r="I1373">
            <v>6.1</v>
          </cell>
        </row>
        <row r="1374">
          <cell r="B1374">
            <v>140</v>
          </cell>
          <cell r="I1374">
            <v>6.6</v>
          </cell>
        </row>
        <row r="1375">
          <cell r="B1375">
            <v>108</v>
          </cell>
          <cell r="I1375">
            <v>5.9</v>
          </cell>
        </row>
        <row r="1376">
          <cell r="B1376">
            <v>96</v>
          </cell>
          <cell r="I1376">
            <v>6.3</v>
          </cell>
        </row>
        <row r="1377">
          <cell r="B1377">
            <v>123</v>
          </cell>
          <cell r="I1377">
            <v>7.1</v>
          </cell>
        </row>
        <row r="1378">
          <cell r="B1378">
            <v>106</v>
          </cell>
          <cell r="I1378">
            <v>5</v>
          </cell>
        </row>
        <row r="1379">
          <cell r="B1379">
            <v>76</v>
          </cell>
          <cell r="I1379">
            <v>5.6</v>
          </cell>
        </row>
        <row r="1380">
          <cell r="B1380">
            <v>107</v>
          </cell>
          <cell r="I1380">
            <v>7.4</v>
          </cell>
        </row>
        <row r="1381">
          <cell r="B1381">
            <v>82</v>
          </cell>
          <cell r="I1381">
            <v>4.5</v>
          </cell>
        </row>
        <row r="1382">
          <cell r="B1382">
            <v>109</v>
          </cell>
          <cell r="I1382">
            <v>6.2</v>
          </cell>
        </row>
        <row r="1383">
          <cell r="B1383">
            <v>99</v>
          </cell>
          <cell r="I1383">
            <v>5</v>
          </cell>
        </row>
        <row r="1384">
          <cell r="B1384">
            <v>91</v>
          </cell>
          <cell r="I1384">
            <v>6.5</v>
          </cell>
        </row>
        <row r="1385">
          <cell r="B1385">
            <v>87</v>
          </cell>
          <cell r="I1385">
            <v>5.0999999999999996</v>
          </cell>
        </row>
        <row r="1386">
          <cell r="B1386">
            <v>125</v>
          </cell>
          <cell r="I1386">
            <v>6.5</v>
          </cell>
        </row>
        <row r="1387">
          <cell r="B1387">
            <v>118</v>
          </cell>
          <cell r="I1387">
            <v>6.2</v>
          </cell>
        </row>
        <row r="1388">
          <cell r="B1388">
            <v>98</v>
          </cell>
          <cell r="I1388">
            <v>6.3</v>
          </cell>
        </row>
        <row r="1389">
          <cell r="B1389">
            <v>92</v>
          </cell>
          <cell r="I1389">
            <v>3.8</v>
          </cell>
        </row>
        <row r="1390">
          <cell r="B1390">
            <v>92</v>
          </cell>
          <cell r="I1390">
            <v>6.2</v>
          </cell>
        </row>
        <row r="1391">
          <cell r="B1391">
            <v>115</v>
          </cell>
          <cell r="I1391">
            <v>5.7</v>
          </cell>
        </row>
        <row r="1392">
          <cell r="B1392">
            <v>120</v>
          </cell>
          <cell r="I1392">
            <v>6.7</v>
          </cell>
        </row>
        <row r="1393">
          <cell r="B1393">
            <v>111</v>
          </cell>
          <cell r="I1393">
            <v>6.8</v>
          </cell>
        </row>
        <row r="1394">
          <cell r="B1394">
            <v>94</v>
          </cell>
          <cell r="I1394">
            <v>6</v>
          </cell>
        </row>
        <row r="1395">
          <cell r="B1395">
            <v>100</v>
          </cell>
          <cell r="I1395">
            <v>7.3</v>
          </cell>
        </row>
        <row r="1396">
          <cell r="B1396">
            <v>101</v>
          </cell>
          <cell r="I1396">
            <v>5.5</v>
          </cell>
        </row>
        <row r="1397">
          <cell r="B1397">
            <v>139</v>
          </cell>
          <cell r="I1397">
            <v>6.7</v>
          </cell>
        </row>
        <row r="1398">
          <cell r="B1398">
            <v>91</v>
          </cell>
          <cell r="I1398">
            <v>4.8</v>
          </cell>
        </row>
        <row r="1399">
          <cell r="B1399">
            <v>109</v>
          </cell>
          <cell r="I1399">
            <v>5.7</v>
          </cell>
        </row>
        <row r="1400">
          <cell r="B1400">
            <v>102</v>
          </cell>
          <cell r="I1400">
            <v>5.0999999999999996</v>
          </cell>
        </row>
        <row r="1401">
          <cell r="B1401">
            <v>103</v>
          </cell>
          <cell r="I1401">
            <v>6</v>
          </cell>
        </row>
        <row r="1402">
          <cell r="B1402">
            <v>83</v>
          </cell>
          <cell r="I1402">
            <v>4.2</v>
          </cell>
        </row>
        <row r="1403">
          <cell r="B1403">
            <v>123</v>
          </cell>
          <cell r="I1403">
            <v>7.4</v>
          </cell>
        </row>
        <row r="1404">
          <cell r="B1404">
            <v>101</v>
          </cell>
          <cell r="I1404">
            <v>4.5999999999999996</v>
          </cell>
        </row>
        <row r="1405">
          <cell r="B1405">
            <v>117</v>
          </cell>
          <cell r="I1405">
            <v>6.9</v>
          </cell>
        </row>
        <row r="1406">
          <cell r="B1406">
            <v>114</v>
          </cell>
          <cell r="I1406">
            <v>6.9</v>
          </cell>
        </row>
        <row r="1407">
          <cell r="B1407">
            <v>330</v>
          </cell>
          <cell r="I1407">
            <v>8</v>
          </cell>
        </row>
        <row r="1408">
          <cell r="B1408">
            <v>121</v>
          </cell>
          <cell r="I1408">
            <v>6.4</v>
          </cell>
        </row>
        <row r="1409">
          <cell r="B1409">
            <v>114</v>
          </cell>
          <cell r="I1409">
            <v>6.3</v>
          </cell>
        </row>
        <row r="1410">
          <cell r="B1410">
            <v>148</v>
          </cell>
          <cell r="I1410">
            <v>6.8</v>
          </cell>
        </row>
        <row r="1411">
          <cell r="B1411">
            <v>113</v>
          </cell>
          <cell r="I1411">
            <v>6.8</v>
          </cell>
        </row>
        <row r="1412">
          <cell r="B1412">
            <v>91</v>
          </cell>
          <cell r="I1412">
            <v>5.4</v>
          </cell>
        </row>
        <row r="1413">
          <cell r="B1413">
            <v>139</v>
          </cell>
          <cell r="I1413">
            <v>7.2</v>
          </cell>
        </row>
        <row r="1414">
          <cell r="B1414">
            <v>96</v>
          </cell>
          <cell r="I1414">
            <v>7.3</v>
          </cell>
        </row>
        <row r="1415">
          <cell r="B1415">
            <v>102</v>
          </cell>
          <cell r="I1415">
            <v>5.2</v>
          </cell>
        </row>
        <row r="1416">
          <cell r="B1416">
            <v>96</v>
          </cell>
          <cell r="I1416">
            <v>5.5</v>
          </cell>
        </row>
        <row r="1417">
          <cell r="B1417">
            <v>101</v>
          </cell>
          <cell r="I1417">
            <v>7.7</v>
          </cell>
        </row>
        <row r="1418">
          <cell r="B1418">
            <v>128</v>
          </cell>
          <cell r="I1418">
            <v>7.1</v>
          </cell>
        </row>
        <row r="1419">
          <cell r="B1419">
            <v>109</v>
          </cell>
          <cell r="I1419">
            <v>5.3</v>
          </cell>
        </row>
        <row r="1420">
          <cell r="B1420">
            <v>114</v>
          </cell>
          <cell r="I1420">
            <v>5.6</v>
          </cell>
        </row>
        <row r="1421">
          <cell r="B1421">
            <v>105</v>
          </cell>
          <cell r="I1421">
            <v>5.7</v>
          </cell>
        </row>
        <row r="1422">
          <cell r="B1422">
            <v>141</v>
          </cell>
          <cell r="I1422">
            <v>7.1</v>
          </cell>
        </row>
        <row r="1423">
          <cell r="B1423">
            <v>138</v>
          </cell>
          <cell r="I1423">
            <v>7.6</v>
          </cell>
        </row>
        <row r="1424">
          <cell r="B1424">
            <v>101</v>
          </cell>
          <cell r="I1424">
            <v>5.5</v>
          </cell>
        </row>
        <row r="1425">
          <cell r="B1425">
            <v>99</v>
          </cell>
          <cell r="I1425">
            <v>5.0999999999999996</v>
          </cell>
        </row>
        <row r="1426">
          <cell r="B1426">
            <v>85</v>
          </cell>
          <cell r="I1426">
            <v>6.3</v>
          </cell>
        </row>
        <row r="1427">
          <cell r="B1427">
            <v>89</v>
          </cell>
          <cell r="I1427">
            <v>4.9000000000000004</v>
          </cell>
        </row>
        <row r="1428">
          <cell r="B1428">
            <v>99</v>
          </cell>
          <cell r="I1428">
            <v>6.5</v>
          </cell>
        </row>
        <row r="1429">
          <cell r="B1429">
            <v>105</v>
          </cell>
          <cell r="I1429">
            <v>5.6</v>
          </cell>
        </row>
        <row r="1430">
          <cell r="B1430">
            <v>97</v>
          </cell>
          <cell r="I1430">
            <v>5.3</v>
          </cell>
        </row>
        <row r="1431">
          <cell r="B1431">
            <v>140</v>
          </cell>
          <cell r="I1431">
            <v>6.5</v>
          </cell>
        </row>
        <row r="1432">
          <cell r="B1432">
            <v>118</v>
          </cell>
          <cell r="I1432">
            <v>6.8</v>
          </cell>
        </row>
        <row r="1433">
          <cell r="B1433">
            <v>94</v>
          </cell>
          <cell r="I1433">
            <v>6.5</v>
          </cell>
        </row>
        <row r="1434">
          <cell r="B1434">
            <v>124</v>
          </cell>
          <cell r="I1434">
            <v>6</v>
          </cell>
        </row>
        <row r="1435">
          <cell r="B1435">
            <v>134</v>
          </cell>
          <cell r="I1435">
            <v>8.4</v>
          </cell>
        </row>
        <row r="1436">
          <cell r="B1436">
            <v>113</v>
          </cell>
          <cell r="I1436">
            <v>6</v>
          </cell>
        </row>
        <row r="1437">
          <cell r="B1437">
            <v>124</v>
          </cell>
          <cell r="I1437">
            <v>7.6</v>
          </cell>
        </row>
        <row r="1438">
          <cell r="B1438">
            <v>97</v>
          </cell>
          <cell r="I1438">
            <v>6.9</v>
          </cell>
        </row>
        <row r="1439">
          <cell r="B1439">
            <v>123</v>
          </cell>
          <cell r="I1439">
            <v>6.4</v>
          </cell>
        </row>
        <row r="1440">
          <cell r="B1440">
            <v>99</v>
          </cell>
          <cell r="I1440">
            <v>5.0999999999999996</v>
          </cell>
        </row>
        <row r="1441">
          <cell r="B1441">
            <v>101</v>
          </cell>
          <cell r="I1441">
            <v>7</v>
          </cell>
        </row>
        <row r="1442">
          <cell r="B1442">
            <v>92</v>
          </cell>
          <cell r="I1442">
            <v>5.7</v>
          </cell>
        </row>
        <row r="1443">
          <cell r="B1443">
            <v>131</v>
          </cell>
          <cell r="I1443">
            <v>6.8</v>
          </cell>
        </row>
        <row r="1444">
          <cell r="B1444">
            <v>107</v>
          </cell>
          <cell r="I1444">
            <v>6.7</v>
          </cell>
        </row>
        <row r="1445">
          <cell r="B1445">
            <v>103</v>
          </cell>
          <cell r="I1445">
            <v>6.2</v>
          </cell>
        </row>
        <row r="1446">
          <cell r="B1446">
            <v>129</v>
          </cell>
          <cell r="I1446">
            <v>7.2</v>
          </cell>
        </row>
        <row r="1447">
          <cell r="B1447">
            <v>107</v>
          </cell>
          <cell r="I1447">
            <v>6.2</v>
          </cell>
        </row>
        <row r="1448">
          <cell r="B1448">
            <v>89</v>
          </cell>
          <cell r="I1448">
            <v>5.6</v>
          </cell>
        </row>
        <row r="1449">
          <cell r="B1449">
            <v>113</v>
          </cell>
          <cell r="I1449">
            <v>4.4000000000000004</v>
          </cell>
        </row>
        <row r="1450">
          <cell r="B1450">
            <v>93</v>
          </cell>
          <cell r="I1450">
            <v>7.5</v>
          </cell>
        </row>
        <row r="1451">
          <cell r="B1451">
            <v>120</v>
          </cell>
          <cell r="I1451">
            <v>7.1</v>
          </cell>
        </row>
        <row r="1452">
          <cell r="B1452">
            <v>98</v>
          </cell>
          <cell r="I1452">
            <v>6.4</v>
          </cell>
        </row>
        <row r="1453">
          <cell r="B1453">
            <v>105</v>
          </cell>
          <cell r="I1453">
            <v>7.1</v>
          </cell>
        </row>
        <row r="1454">
          <cell r="B1454">
            <v>98</v>
          </cell>
          <cell r="I1454">
            <v>6.9</v>
          </cell>
        </row>
        <row r="1455">
          <cell r="B1455">
            <v>96</v>
          </cell>
          <cell r="I1455">
            <v>7.5</v>
          </cell>
        </row>
        <row r="1456">
          <cell r="B1456">
            <v>87</v>
          </cell>
          <cell r="I1456">
            <v>6.3</v>
          </cell>
        </row>
        <row r="1457">
          <cell r="B1457">
            <v>107</v>
          </cell>
          <cell r="I1457">
            <v>6.4</v>
          </cell>
        </row>
        <row r="1458">
          <cell r="B1458">
            <v>90</v>
          </cell>
          <cell r="I1458">
            <v>5.9</v>
          </cell>
        </row>
        <row r="1459">
          <cell r="B1459">
            <v>121</v>
          </cell>
          <cell r="I1459">
            <v>6.8</v>
          </cell>
        </row>
        <row r="1460">
          <cell r="B1460">
            <v>119</v>
          </cell>
          <cell r="I1460">
            <v>6.3</v>
          </cell>
        </row>
        <row r="1461">
          <cell r="B1461">
            <v>107</v>
          </cell>
          <cell r="I1461">
            <v>3.6</v>
          </cell>
        </row>
        <row r="1462">
          <cell r="B1462">
            <v>110</v>
          </cell>
          <cell r="I1462">
            <v>5.3</v>
          </cell>
        </row>
        <row r="1463">
          <cell r="B1463">
            <v>100</v>
          </cell>
          <cell r="I1463">
            <v>5.9</v>
          </cell>
        </row>
        <row r="1464">
          <cell r="B1464">
            <v>75</v>
          </cell>
          <cell r="I1464">
            <v>6.9</v>
          </cell>
        </row>
        <row r="1465">
          <cell r="B1465">
            <v>132</v>
          </cell>
          <cell r="I1465">
            <v>6.9</v>
          </cell>
        </row>
        <row r="1466">
          <cell r="B1466">
            <v>105</v>
          </cell>
          <cell r="I1466">
            <v>6.1</v>
          </cell>
        </row>
        <row r="1467">
          <cell r="B1467">
            <v>289</v>
          </cell>
          <cell r="I1467">
            <v>8.5</v>
          </cell>
        </row>
        <row r="1468">
          <cell r="B1468">
            <v>102</v>
          </cell>
          <cell r="I1468">
            <v>6.3</v>
          </cell>
        </row>
        <row r="1469">
          <cell r="B1469">
            <v>143</v>
          </cell>
          <cell r="I1469">
            <v>7.3</v>
          </cell>
        </row>
        <row r="1470">
          <cell r="B1470">
            <v>113</v>
          </cell>
          <cell r="I1470">
            <v>6.3</v>
          </cell>
        </row>
        <row r="1471">
          <cell r="B1471">
            <v>161</v>
          </cell>
          <cell r="I1471">
            <v>7.2</v>
          </cell>
        </row>
        <row r="1472">
          <cell r="B1472">
            <v>138</v>
          </cell>
          <cell r="I1472">
            <v>7.3</v>
          </cell>
        </row>
        <row r="1473">
          <cell r="B1473">
            <v>126</v>
          </cell>
          <cell r="I1473">
            <v>6.3</v>
          </cell>
        </row>
        <row r="1474">
          <cell r="B1474">
            <v>99</v>
          </cell>
          <cell r="I1474">
            <v>8.1</v>
          </cell>
        </row>
        <row r="1475">
          <cell r="B1475">
            <v>101</v>
          </cell>
          <cell r="I1475">
            <v>6.9</v>
          </cell>
        </row>
        <row r="1476">
          <cell r="B1476">
            <v>103</v>
          </cell>
          <cell r="I1476">
            <v>6.3</v>
          </cell>
        </row>
        <row r="1477">
          <cell r="B1477">
            <v>118</v>
          </cell>
          <cell r="I1477">
            <v>7.3</v>
          </cell>
        </row>
        <row r="1478">
          <cell r="B1478">
            <v>99</v>
          </cell>
          <cell r="I1478">
            <v>6.1</v>
          </cell>
        </row>
        <row r="1479">
          <cell r="B1479">
            <v>105</v>
          </cell>
          <cell r="I1479">
            <v>6.9</v>
          </cell>
        </row>
        <row r="1480">
          <cell r="B1480">
            <v>113</v>
          </cell>
          <cell r="I1480">
            <v>7.2</v>
          </cell>
        </row>
        <row r="1481">
          <cell r="B1481">
            <v>93</v>
          </cell>
          <cell r="I1481">
            <v>6.4</v>
          </cell>
        </row>
        <row r="1482">
          <cell r="B1482">
            <v>108</v>
          </cell>
          <cell r="I1482">
            <v>6.4</v>
          </cell>
        </row>
        <row r="1483">
          <cell r="B1483">
            <v>74</v>
          </cell>
          <cell r="I1483">
            <v>8.3000000000000007</v>
          </cell>
        </row>
        <row r="1484">
          <cell r="B1484">
            <v>116</v>
          </cell>
          <cell r="I1484">
            <v>7.2</v>
          </cell>
        </row>
        <row r="1485">
          <cell r="B1485">
            <v>104</v>
          </cell>
          <cell r="I1485">
            <v>6.8</v>
          </cell>
        </row>
        <row r="1486">
          <cell r="B1486">
            <v>106</v>
          </cell>
          <cell r="I1486">
            <v>6.5</v>
          </cell>
        </row>
        <row r="1487">
          <cell r="B1487">
            <v>120</v>
          </cell>
          <cell r="I1487">
            <v>7.8</v>
          </cell>
        </row>
        <row r="1488">
          <cell r="B1488">
            <v>135</v>
          </cell>
          <cell r="I1488">
            <v>7.6</v>
          </cell>
        </row>
        <row r="1489">
          <cell r="B1489">
            <v>132</v>
          </cell>
          <cell r="I1489">
            <v>7.2</v>
          </cell>
        </row>
        <row r="1490">
          <cell r="B1490">
            <v>92</v>
          </cell>
          <cell r="I1490">
            <v>6.7</v>
          </cell>
        </row>
        <row r="1491">
          <cell r="B1491">
            <v>99</v>
          </cell>
          <cell r="I1491">
            <v>6.8</v>
          </cell>
        </row>
        <row r="1492">
          <cell r="B1492">
            <v>90</v>
          </cell>
          <cell r="I1492">
            <v>6.3</v>
          </cell>
        </row>
        <row r="1493">
          <cell r="B1493">
            <v>111</v>
          </cell>
          <cell r="I1493">
            <v>6.2</v>
          </cell>
        </row>
        <row r="1494">
          <cell r="B1494">
            <v>103</v>
          </cell>
          <cell r="I1494">
            <v>6.2</v>
          </cell>
        </row>
        <row r="1495">
          <cell r="B1495">
            <v>127</v>
          </cell>
          <cell r="I1495">
            <v>8.6</v>
          </cell>
        </row>
        <row r="1496">
          <cell r="B1496">
            <v>112</v>
          </cell>
          <cell r="I1496">
            <v>8</v>
          </cell>
        </row>
        <row r="1497">
          <cell r="B1497">
            <v>87</v>
          </cell>
          <cell r="I1497">
            <v>7</v>
          </cell>
        </row>
        <row r="1498">
          <cell r="B1498">
            <v>138</v>
          </cell>
          <cell r="I1498">
            <v>8</v>
          </cell>
        </row>
        <row r="1499">
          <cell r="B1499">
            <v>132</v>
          </cell>
          <cell r="I1499">
            <v>8.1</v>
          </cell>
        </row>
        <row r="1500">
          <cell r="B1500">
            <v>103</v>
          </cell>
          <cell r="I1500">
            <v>6.7</v>
          </cell>
        </row>
        <row r="1501">
          <cell r="B1501">
            <v>123</v>
          </cell>
          <cell r="I1501">
            <v>7.9</v>
          </cell>
        </row>
        <row r="1502">
          <cell r="B1502">
            <v>111</v>
          </cell>
          <cell r="I1502">
            <v>6.1</v>
          </cell>
        </row>
        <row r="1503">
          <cell r="B1503">
            <v>102</v>
          </cell>
          <cell r="I1503">
            <v>4.2</v>
          </cell>
        </row>
        <row r="1504">
          <cell r="B1504">
            <v>78</v>
          </cell>
          <cell r="I1504">
            <v>6.1</v>
          </cell>
        </row>
        <row r="1505">
          <cell r="B1505">
            <v>132</v>
          </cell>
          <cell r="I1505">
            <v>6.6</v>
          </cell>
        </row>
        <row r="1506">
          <cell r="B1506">
            <v>133</v>
          </cell>
          <cell r="I1506">
            <v>7.5</v>
          </cell>
        </row>
        <row r="1507">
          <cell r="B1507">
            <v>108</v>
          </cell>
          <cell r="I1507">
            <v>7.4</v>
          </cell>
        </row>
        <row r="1508">
          <cell r="B1508">
            <v>125</v>
          </cell>
          <cell r="I1508">
            <v>7.2</v>
          </cell>
        </row>
        <row r="1509">
          <cell r="B1509">
            <v>98</v>
          </cell>
          <cell r="I1509">
            <v>6.9</v>
          </cell>
        </row>
        <row r="1510">
          <cell r="B1510">
            <v>119</v>
          </cell>
          <cell r="I1510">
            <v>7.4</v>
          </cell>
        </row>
        <row r="1511">
          <cell r="B1511">
            <v>87</v>
          </cell>
          <cell r="I1511">
            <v>5.4</v>
          </cell>
        </row>
        <row r="1512">
          <cell r="B1512">
            <v>91</v>
          </cell>
          <cell r="I1512">
            <v>6.8</v>
          </cell>
        </row>
        <row r="1513">
          <cell r="B1513">
            <v>100</v>
          </cell>
          <cell r="I1513">
            <v>6.3</v>
          </cell>
        </row>
        <row r="1514">
          <cell r="B1514">
            <v>118</v>
          </cell>
          <cell r="I1514">
            <v>7.2</v>
          </cell>
        </row>
        <row r="1515">
          <cell r="B1515">
            <v>109</v>
          </cell>
          <cell r="I1515">
            <v>6.9</v>
          </cell>
        </row>
        <row r="1516">
          <cell r="B1516">
            <v>99</v>
          </cell>
          <cell r="I1516">
            <v>6</v>
          </cell>
        </row>
        <row r="1517">
          <cell r="B1517">
            <v>114</v>
          </cell>
          <cell r="I1517">
            <v>5.9</v>
          </cell>
        </row>
        <row r="1518">
          <cell r="B1518">
            <v>89</v>
          </cell>
          <cell r="I1518">
            <v>5.4</v>
          </cell>
        </row>
        <row r="1519">
          <cell r="B1519">
            <v>95</v>
          </cell>
          <cell r="I1519">
            <v>5.9</v>
          </cell>
        </row>
        <row r="1520">
          <cell r="B1520">
            <v>98</v>
          </cell>
          <cell r="I1520">
            <v>6.1</v>
          </cell>
        </row>
        <row r="1521">
          <cell r="B1521">
            <v>94</v>
          </cell>
          <cell r="I1521">
            <v>7.7</v>
          </cell>
        </row>
        <row r="1522">
          <cell r="B1522">
            <v>85</v>
          </cell>
          <cell r="I1522">
            <v>5.8</v>
          </cell>
        </row>
        <row r="1523">
          <cell r="B1523">
            <v>124</v>
          </cell>
          <cell r="I1523">
            <v>7.6</v>
          </cell>
        </row>
        <row r="1524">
          <cell r="B1524">
            <v>131</v>
          </cell>
          <cell r="I1524">
            <v>6.1</v>
          </cell>
        </row>
        <row r="1525">
          <cell r="B1525">
            <v>107</v>
          </cell>
          <cell r="I1525">
            <v>5.4</v>
          </cell>
        </row>
        <row r="1526">
          <cell r="B1526">
            <v>99</v>
          </cell>
          <cell r="I1526">
            <v>5.0999999999999996</v>
          </cell>
        </row>
        <row r="1527">
          <cell r="B1527">
            <v>83</v>
          </cell>
          <cell r="I1527">
            <v>6.4</v>
          </cell>
        </row>
        <row r="1528">
          <cell r="B1528">
            <v>131</v>
          </cell>
          <cell r="I1528">
            <v>6.3</v>
          </cell>
        </row>
        <row r="1529">
          <cell r="B1529">
            <v>85</v>
          </cell>
          <cell r="I1529">
            <v>7.5</v>
          </cell>
        </row>
        <row r="1530">
          <cell r="B1530">
            <v>126</v>
          </cell>
          <cell r="I1530">
            <v>7.1</v>
          </cell>
        </row>
        <row r="1531">
          <cell r="B1531">
            <v>123</v>
          </cell>
          <cell r="I1531">
            <v>7.8</v>
          </cell>
        </row>
        <row r="1532">
          <cell r="B1532">
            <v>105</v>
          </cell>
          <cell r="I1532">
            <v>6.5</v>
          </cell>
        </row>
        <row r="1533">
          <cell r="B1533">
            <v>125</v>
          </cell>
          <cell r="I1533">
            <v>6.6</v>
          </cell>
        </row>
        <row r="1534">
          <cell r="B1534">
            <v>77</v>
          </cell>
          <cell r="I1534">
            <v>7.4</v>
          </cell>
        </row>
        <row r="1535">
          <cell r="B1535">
            <v>121</v>
          </cell>
          <cell r="I1535">
            <v>7.6</v>
          </cell>
        </row>
        <row r="1536">
          <cell r="B1536">
            <v>124</v>
          </cell>
          <cell r="I1536">
            <v>7.5</v>
          </cell>
        </row>
        <row r="1537">
          <cell r="B1537">
            <v>99</v>
          </cell>
          <cell r="I1537">
            <v>6.6</v>
          </cell>
        </row>
        <row r="1538">
          <cell r="B1538">
            <v>112</v>
          </cell>
          <cell r="I1538">
            <v>7.2</v>
          </cell>
        </row>
        <row r="1539">
          <cell r="B1539">
            <v>111</v>
          </cell>
          <cell r="I1539">
            <v>7.6</v>
          </cell>
        </row>
        <row r="1540">
          <cell r="B1540">
            <v>107</v>
          </cell>
          <cell r="I1540">
            <v>6.2</v>
          </cell>
        </row>
        <row r="1541">
          <cell r="B1541">
            <v>104</v>
          </cell>
          <cell r="I1541">
            <v>5.6</v>
          </cell>
        </row>
        <row r="1542">
          <cell r="B1542">
            <v>113</v>
          </cell>
          <cell r="I1542">
            <v>7.6</v>
          </cell>
        </row>
        <row r="1543">
          <cell r="B1543">
            <v>113</v>
          </cell>
          <cell r="I1543">
            <v>6.6</v>
          </cell>
        </row>
        <row r="1544">
          <cell r="B1544">
            <v>95</v>
          </cell>
          <cell r="I1544">
            <v>7</v>
          </cell>
        </row>
        <row r="1545">
          <cell r="B1545">
            <v>86</v>
          </cell>
          <cell r="I1545">
            <v>2.7</v>
          </cell>
        </row>
        <row r="1546">
          <cell r="B1546">
            <v>126</v>
          </cell>
          <cell r="I1546">
            <v>7.6</v>
          </cell>
        </row>
        <row r="1547">
          <cell r="B1547">
            <v>101</v>
          </cell>
          <cell r="I1547">
            <v>6.6</v>
          </cell>
        </row>
        <row r="1548">
          <cell r="B1548">
            <v>102</v>
          </cell>
          <cell r="I1548">
            <v>6.9</v>
          </cell>
        </row>
        <row r="1549">
          <cell r="B1549">
            <v>111</v>
          </cell>
          <cell r="I1549">
            <v>6.8</v>
          </cell>
        </row>
        <row r="1550">
          <cell r="B1550">
            <v>95</v>
          </cell>
          <cell r="I1550">
            <v>3.7</v>
          </cell>
        </row>
        <row r="1551">
          <cell r="B1551">
            <v>98</v>
          </cell>
          <cell r="I1551">
            <v>6.1</v>
          </cell>
        </row>
        <row r="1552">
          <cell r="B1552">
            <v>100</v>
          </cell>
          <cell r="I1552">
            <v>5.9</v>
          </cell>
        </row>
        <row r="1553">
          <cell r="B1553">
            <v>118</v>
          </cell>
          <cell r="I1553">
            <v>6.7</v>
          </cell>
        </row>
        <row r="1554">
          <cell r="B1554">
            <v>125</v>
          </cell>
          <cell r="I1554">
            <v>6.9</v>
          </cell>
        </row>
        <row r="1555">
          <cell r="B1555">
            <v>94</v>
          </cell>
          <cell r="I1555">
            <v>5.5</v>
          </cell>
        </row>
        <row r="1556">
          <cell r="B1556">
            <v>79</v>
          </cell>
          <cell r="I1556">
            <v>7.1</v>
          </cell>
        </row>
        <row r="1557">
          <cell r="B1557">
            <v>106</v>
          </cell>
          <cell r="I1557">
            <v>7.1</v>
          </cell>
        </row>
        <row r="1558">
          <cell r="B1558">
            <v>63</v>
          </cell>
          <cell r="I1558">
            <v>7.3</v>
          </cell>
        </row>
        <row r="1559">
          <cell r="B1559">
            <v>85</v>
          </cell>
          <cell r="I1559">
            <v>3.4</v>
          </cell>
        </row>
        <row r="1560">
          <cell r="B1560">
            <v>108</v>
          </cell>
          <cell r="I1560">
            <v>6.8</v>
          </cell>
        </row>
        <row r="1561">
          <cell r="B1561">
            <v>139</v>
          </cell>
          <cell r="I1561">
            <v>6.9</v>
          </cell>
        </row>
        <row r="1562">
          <cell r="B1562">
            <v>127</v>
          </cell>
          <cell r="I1562">
            <v>7</v>
          </cell>
        </row>
        <row r="1563">
          <cell r="B1563">
            <v>106</v>
          </cell>
          <cell r="I1563">
            <v>5.5</v>
          </cell>
        </row>
        <row r="1564">
          <cell r="B1564">
            <v>95</v>
          </cell>
          <cell r="I1564">
            <v>5.0999999999999996</v>
          </cell>
        </row>
        <row r="1565">
          <cell r="B1565">
            <v>118</v>
          </cell>
          <cell r="I1565">
            <v>6.2</v>
          </cell>
        </row>
        <row r="1566">
          <cell r="B1566">
            <v>108</v>
          </cell>
          <cell r="I1566">
            <v>5.9</v>
          </cell>
        </row>
        <row r="1567">
          <cell r="B1567">
            <v>105</v>
          </cell>
          <cell r="I1567">
            <v>5.2</v>
          </cell>
        </row>
        <row r="1568">
          <cell r="B1568">
            <v>131</v>
          </cell>
          <cell r="I1568">
            <v>6.2</v>
          </cell>
        </row>
        <row r="1569">
          <cell r="B1569">
            <v>104</v>
          </cell>
          <cell r="I1569">
            <v>5.5</v>
          </cell>
        </row>
        <row r="1570">
          <cell r="B1570">
            <v>133</v>
          </cell>
          <cell r="I1570">
            <v>7.4</v>
          </cell>
        </row>
        <row r="1571">
          <cell r="B1571">
            <v>94</v>
          </cell>
          <cell r="I1571">
            <v>4.4000000000000004</v>
          </cell>
        </row>
        <row r="1572">
          <cell r="B1572">
            <v>109</v>
          </cell>
          <cell r="I1572">
            <v>6.3</v>
          </cell>
        </row>
        <row r="1573">
          <cell r="B1573">
            <v>96</v>
          </cell>
          <cell r="I1573">
            <v>6.1</v>
          </cell>
        </row>
        <row r="1574">
          <cell r="B1574">
            <v>105</v>
          </cell>
          <cell r="I1574">
            <v>5.3</v>
          </cell>
        </row>
        <row r="1575">
          <cell r="B1575">
            <v>99</v>
          </cell>
          <cell r="I1575">
            <v>5.4</v>
          </cell>
        </row>
        <row r="1576">
          <cell r="B1576">
            <v>112</v>
          </cell>
          <cell r="I1576">
            <v>6.7</v>
          </cell>
        </row>
        <row r="1577">
          <cell r="B1577">
            <v>108</v>
          </cell>
          <cell r="I1577">
            <v>5.9</v>
          </cell>
        </row>
        <row r="1578">
          <cell r="B1578">
            <v>126</v>
          </cell>
          <cell r="I1578">
            <v>7.3</v>
          </cell>
        </row>
        <row r="1579">
          <cell r="B1579">
            <v>98</v>
          </cell>
          <cell r="I1579">
            <v>5.5</v>
          </cell>
        </row>
        <row r="1580">
          <cell r="B1580">
            <v>104</v>
          </cell>
          <cell r="I1580">
            <v>5.8</v>
          </cell>
        </row>
        <row r="1581">
          <cell r="B1581">
            <v>110</v>
          </cell>
          <cell r="I1581">
            <v>4.5999999999999996</v>
          </cell>
        </row>
        <row r="1582">
          <cell r="B1582">
            <v>130</v>
          </cell>
          <cell r="I1582">
            <v>6.7</v>
          </cell>
        </row>
        <row r="1583">
          <cell r="B1583">
            <v>93</v>
          </cell>
          <cell r="I1583">
            <v>5.0999999999999996</v>
          </cell>
        </row>
        <row r="1584">
          <cell r="B1584">
            <v>96</v>
          </cell>
          <cell r="I1584">
            <v>5.6</v>
          </cell>
        </row>
        <row r="1585">
          <cell r="B1585">
            <v>114</v>
          </cell>
          <cell r="I1585">
            <v>7</v>
          </cell>
        </row>
        <row r="1586">
          <cell r="B1586">
            <v>106</v>
          </cell>
          <cell r="I1586">
            <v>6.4</v>
          </cell>
        </row>
        <row r="1587">
          <cell r="B1587">
            <v>150</v>
          </cell>
          <cell r="I1587">
            <v>6.7</v>
          </cell>
        </row>
        <row r="1588">
          <cell r="B1588">
            <v>100</v>
          </cell>
          <cell r="I1588">
            <v>4.0999999999999996</v>
          </cell>
        </row>
        <row r="1589">
          <cell r="B1589">
            <v>100</v>
          </cell>
          <cell r="I1589">
            <v>5.5</v>
          </cell>
        </row>
        <row r="1590">
          <cell r="B1590">
            <v>100</v>
          </cell>
          <cell r="I1590">
            <v>2.7</v>
          </cell>
        </row>
        <row r="1591">
          <cell r="B1591">
            <v>107</v>
          </cell>
          <cell r="I1591">
            <v>6.4</v>
          </cell>
        </row>
        <row r="1592">
          <cell r="B1592">
            <v>102</v>
          </cell>
          <cell r="I1592">
            <v>4.8</v>
          </cell>
        </row>
        <row r="1593">
          <cell r="B1593">
            <v>101</v>
          </cell>
          <cell r="I1593">
            <v>6.1</v>
          </cell>
        </row>
        <row r="1594">
          <cell r="B1594">
            <v>86</v>
          </cell>
          <cell r="I1594">
            <v>4.8</v>
          </cell>
        </row>
        <row r="1595">
          <cell r="B1595">
            <v>108</v>
          </cell>
          <cell r="I1595">
            <v>7</v>
          </cell>
        </row>
        <row r="1596">
          <cell r="B1596">
            <v>123</v>
          </cell>
          <cell r="I1596">
            <v>6.8</v>
          </cell>
        </row>
        <row r="1597">
          <cell r="B1597">
            <v>88</v>
          </cell>
          <cell r="I1597">
            <v>5.6</v>
          </cell>
        </row>
        <row r="1598">
          <cell r="B1598">
            <v>109</v>
          </cell>
          <cell r="I1598">
            <v>6.1</v>
          </cell>
        </row>
        <row r="1599">
          <cell r="B1599">
            <v>122</v>
          </cell>
          <cell r="I1599">
            <v>7.9</v>
          </cell>
        </row>
        <row r="1600">
          <cell r="B1600">
            <v>251</v>
          </cell>
          <cell r="I1600">
            <v>8.4</v>
          </cell>
        </row>
        <row r="1601">
          <cell r="B1601">
            <v>118</v>
          </cell>
          <cell r="I1601">
            <v>6.5</v>
          </cell>
        </row>
        <row r="1602">
          <cell r="B1602">
            <v>131</v>
          </cell>
          <cell r="I1602">
            <v>7.1</v>
          </cell>
        </row>
        <row r="1603">
          <cell r="B1603">
            <v>109</v>
          </cell>
          <cell r="I1603">
            <v>6.6</v>
          </cell>
        </row>
        <row r="1604">
          <cell r="B1604">
            <v>88</v>
          </cell>
          <cell r="I1604">
            <v>7</v>
          </cell>
        </row>
        <row r="1605">
          <cell r="B1605">
            <v>103</v>
          </cell>
          <cell r="I1605">
            <v>5.6</v>
          </cell>
        </row>
        <row r="1606">
          <cell r="B1606">
            <v>87</v>
          </cell>
          <cell r="I1606">
            <v>4.8</v>
          </cell>
        </row>
        <row r="1607">
          <cell r="B1607">
            <v>160</v>
          </cell>
          <cell r="I1607">
            <v>7.5</v>
          </cell>
        </row>
        <row r="1608">
          <cell r="B1608">
            <v>121</v>
          </cell>
          <cell r="I1608">
            <v>6</v>
          </cell>
        </row>
        <row r="1609">
          <cell r="B1609">
            <v>129</v>
          </cell>
          <cell r="I1609">
            <v>6.8</v>
          </cell>
        </row>
        <row r="1610">
          <cell r="B1610">
            <v>115</v>
          </cell>
          <cell r="I1610">
            <v>6.5</v>
          </cell>
        </row>
        <row r="1611">
          <cell r="B1611">
            <v>153</v>
          </cell>
          <cell r="I1611">
            <v>7.9</v>
          </cell>
        </row>
        <row r="1612">
          <cell r="B1612">
            <v>128</v>
          </cell>
          <cell r="I1612">
            <v>6.4</v>
          </cell>
        </row>
        <row r="1613">
          <cell r="B1613">
            <v>89</v>
          </cell>
          <cell r="I1613">
            <v>5.8</v>
          </cell>
        </row>
        <row r="1614">
          <cell r="B1614">
            <v>122</v>
          </cell>
          <cell r="I1614">
            <v>7.7</v>
          </cell>
        </row>
        <row r="1615">
          <cell r="B1615">
            <v>99</v>
          </cell>
          <cell r="I1615">
            <v>5.3</v>
          </cell>
        </row>
        <row r="1616">
          <cell r="B1616">
            <v>99</v>
          </cell>
          <cell r="I1616">
            <v>5.3</v>
          </cell>
        </row>
        <row r="1617">
          <cell r="B1617">
            <v>147</v>
          </cell>
          <cell r="I1617">
            <v>7.5</v>
          </cell>
        </row>
        <row r="1618">
          <cell r="B1618">
            <v>112</v>
          </cell>
          <cell r="I1618">
            <v>6.9</v>
          </cell>
        </row>
        <row r="1619">
          <cell r="B1619">
            <v>88</v>
          </cell>
          <cell r="I1619">
            <v>4.9000000000000004</v>
          </cell>
        </row>
        <row r="1620">
          <cell r="B1620">
            <v>94</v>
          </cell>
          <cell r="I1620">
            <v>7.1</v>
          </cell>
        </row>
        <row r="1621">
          <cell r="B1621">
            <v>90</v>
          </cell>
          <cell r="I1621">
            <v>8</v>
          </cell>
        </row>
        <row r="1622">
          <cell r="B1622">
            <v>167</v>
          </cell>
          <cell r="I1622">
            <v>7.9</v>
          </cell>
        </row>
        <row r="1623">
          <cell r="B1623">
            <v>118</v>
          </cell>
          <cell r="I1623">
            <v>7.6</v>
          </cell>
        </row>
        <row r="1624">
          <cell r="B1624">
            <v>83</v>
          </cell>
          <cell r="I1624">
            <v>5.9</v>
          </cell>
        </row>
        <row r="1625">
          <cell r="B1625">
            <v>104</v>
          </cell>
          <cell r="I1625">
            <v>6.3</v>
          </cell>
        </row>
        <row r="1626">
          <cell r="B1626">
            <v>102</v>
          </cell>
          <cell r="I1626">
            <v>6.4</v>
          </cell>
        </row>
        <row r="1627">
          <cell r="B1627">
            <v>131</v>
          </cell>
          <cell r="I1627">
            <v>8.1999999999999993</v>
          </cell>
        </row>
        <row r="1628">
          <cell r="B1628">
            <v>101</v>
          </cell>
          <cell r="I1628">
            <v>6.9</v>
          </cell>
        </row>
        <row r="1629">
          <cell r="B1629">
            <v>130</v>
          </cell>
          <cell r="I1629">
            <v>7.8</v>
          </cell>
        </row>
        <row r="1630">
          <cell r="B1630">
            <v>120</v>
          </cell>
          <cell r="I1630">
            <v>6.7</v>
          </cell>
        </row>
        <row r="1631">
          <cell r="B1631">
            <v>135</v>
          </cell>
          <cell r="I1631">
            <v>7.5</v>
          </cell>
        </row>
        <row r="1632">
          <cell r="B1632">
            <v>110</v>
          </cell>
          <cell r="I1632">
            <v>7.4</v>
          </cell>
        </row>
        <row r="1633">
          <cell r="B1633">
            <v>103</v>
          </cell>
          <cell r="I1633">
            <v>5.2</v>
          </cell>
        </row>
        <row r="1634">
          <cell r="B1634">
            <v>110</v>
          </cell>
          <cell r="I1634">
            <v>7.6</v>
          </cell>
        </row>
        <row r="1635">
          <cell r="B1635">
            <v>91</v>
          </cell>
          <cell r="I1635">
            <v>7.3</v>
          </cell>
        </row>
        <row r="1636">
          <cell r="B1636">
            <v>105</v>
          </cell>
          <cell r="I1636">
            <v>6.6</v>
          </cell>
        </row>
        <row r="1637">
          <cell r="B1637">
            <v>127</v>
          </cell>
          <cell r="I1637">
            <v>6.8</v>
          </cell>
        </row>
        <row r="1638">
          <cell r="B1638">
            <v>82</v>
          </cell>
          <cell r="I1638">
            <v>6.9</v>
          </cell>
        </row>
        <row r="1639">
          <cell r="B1639">
            <v>99</v>
          </cell>
          <cell r="I1639">
            <v>5.8</v>
          </cell>
        </row>
        <row r="1640">
          <cell r="B1640">
            <v>90</v>
          </cell>
          <cell r="I1640">
            <v>6.6</v>
          </cell>
        </row>
        <row r="1641">
          <cell r="B1641">
            <v>115</v>
          </cell>
          <cell r="I1641">
            <v>6.7</v>
          </cell>
        </row>
        <row r="1642">
          <cell r="B1642">
            <v>96</v>
          </cell>
          <cell r="I1642">
            <v>6.7</v>
          </cell>
        </row>
        <row r="1643">
          <cell r="B1643">
            <v>104</v>
          </cell>
          <cell r="I1643">
            <v>6.3</v>
          </cell>
        </row>
        <row r="1644">
          <cell r="B1644">
            <v>117</v>
          </cell>
          <cell r="I1644">
            <v>7.7</v>
          </cell>
        </row>
        <row r="1645">
          <cell r="B1645">
            <v>83</v>
          </cell>
          <cell r="I1645">
            <v>6.1</v>
          </cell>
        </row>
        <row r="1646">
          <cell r="B1646">
            <v>99</v>
          </cell>
          <cell r="I1646">
            <v>4.9000000000000004</v>
          </cell>
        </row>
        <row r="1647">
          <cell r="B1647">
            <v>81</v>
          </cell>
          <cell r="I1647">
            <v>6.2</v>
          </cell>
        </row>
        <row r="1648">
          <cell r="B1648">
            <v>135</v>
          </cell>
          <cell r="I1648">
            <v>7.8</v>
          </cell>
        </row>
        <row r="1649">
          <cell r="B1649">
            <v>117</v>
          </cell>
          <cell r="I1649">
            <v>8.1999999999999993</v>
          </cell>
        </row>
        <row r="1650">
          <cell r="B1650">
            <v>139</v>
          </cell>
          <cell r="I1650">
            <v>6.9</v>
          </cell>
        </row>
        <row r="1651">
          <cell r="B1651">
            <v>123</v>
          </cell>
          <cell r="I1651">
            <v>6.2</v>
          </cell>
        </row>
        <row r="1652">
          <cell r="B1652">
            <v>117</v>
          </cell>
          <cell r="I1652">
            <v>6.9</v>
          </cell>
        </row>
        <row r="1653">
          <cell r="B1653">
            <v>97</v>
          </cell>
          <cell r="I1653">
            <v>4.8</v>
          </cell>
        </row>
        <row r="1654">
          <cell r="B1654">
            <v>81</v>
          </cell>
          <cell r="I1654">
            <v>8</v>
          </cell>
        </row>
        <row r="1655">
          <cell r="B1655">
            <v>103</v>
          </cell>
          <cell r="I1655">
            <v>5.3</v>
          </cell>
        </row>
        <row r="1656">
          <cell r="B1656">
            <v>119</v>
          </cell>
          <cell r="I1656">
            <v>6.7</v>
          </cell>
        </row>
        <row r="1657">
          <cell r="B1657">
            <v>94</v>
          </cell>
          <cell r="I1657">
            <v>5.4</v>
          </cell>
        </row>
        <row r="1658">
          <cell r="B1658">
            <v>89</v>
          </cell>
          <cell r="I1658">
            <v>5.4</v>
          </cell>
        </row>
        <row r="1659">
          <cell r="B1659">
            <v>98</v>
          </cell>
          <cell r="I1659">
            <v>4.9000000000000004</v>
          </cell>
        </row>
        <row r="1660">
          <cell r="B1660">
            <v>107</v>
          </cell>
          <cell r="I1660">
            <v>6.1</v>
          </cell>
        </row>
        <row r="1661">
          <cell r="B1661">
            <v>108</v>
          </cell>
          <cell r="I1661">
            <v>5.8</v>
          </cell>
        </row>
        <row r="1662">
          <cell r="B1662">
            <v>134</v>
          </cell>
          <cell r="I1662">
            <v>7</v>
          </cell>
        </row>
        <row r="1663">
          <cell r="B1663">
            <v>110</v>
          </cell>
          <cell r="I1663">
            <v>6.5</v>
          </cell>
        </row>
        <row r="1664">
          <cell r="B1664">
            <v>103</v>
          </cell>
          <cell r="I1664">
            <v>6.6</v>
          </cell>
        </row>
        <row r="1665">
          <cell r="B1665">
            <v>100</v>
          </cell>
          <cell r="I1665">
            <v>5.7</v>
          </cell>
        </row>
        <row r="1666">
          <cell r="B1666">
            <v>131</v>
          </cell>
          <cell r="I1666">
            <v>6.6</v>
          </cell>
        </row>
        <row r="1667">
          <cell r="B1667">
            <v>133</v>
          </cell>
          <cell r="I1667">
            <v>7</v>
          </cell>
        </row>
        <row r="1668">
          <cell r="B1668">
            <v>109</v>
          </cell>
          <cell r="I1668">
            <v>7.4</v>
          </cell>
        </row>
        <row r="1669">
          <cell r="B1669">
            <v>114</v>
          </cell>
          <cell r="I1669">
            <v>5.3</v>
          </cell>
        </row>
        <row r="1670">
          <cell r="B1670">
            <v>164</v>
          </cell>
          <cell r="I1670">
            <v>7.4</v>
          </cell>
        </row>
        <row r="1671">
          <cell r="B1671">
            <v>92</v>
          </cell>
          <cell r="I1671">
            <v>7.4</v>
          </cell>
        </row>
        <row r="1672">
          <cell r="B1672">
            <v>122</v>
          </cell>
          <cell r="I1672">
            <v>6.8</v>
          </cell>
        </row>
        <row r="1673">
          <cell r="B1673">
            <v>110</v>
          </cell>
          <cell r="I1673">
            <v>7.2</v>
          </cell>
        </row>
        <row r="1674">
          <cell r="B1674">
            <v>116</v>
          </cell>
          <cell r="I1674">
            <v>6</v>
          </cell>
        </row>
        <row r="1675">
          <cell r="B1675">
            <v>115</v>
          </cell>
          <cell r="I1675">
            <v>6.6</v>
          </cell>
        </row>
        <row r="1676">
          <cell r="B1676">
            <v>148</v>
          </cell>
          <cell r="I1676">
            <v>7.9</v>
          </cell>
        </row>
        <row r="1677">
          <cell r="B1677">
            <v>118</v>
          </cell>
          <cell r="I1677">
            <v>5.7</v>
          </cell>
        </row>
        <row r="1678">
          <cell r="B1678">
            <v>101</v>
          </cell>
          <cell r="I1678">
            <v>7.1</v>
          </cell>
        </row>
        <row r="1679">
          <cell r="B1679">
            <v>82</v>
          </cell>
          <cell r="I1679">
            <v>5.6</v>
          </cell>
        </row>
        <row r="1680">
          <cell r="B1680">
            <v>110</v>
          </cell>
          <cell r="I1680">
            <v>7.8</v>
          </cell>
        </row>
        <row r="1681">
          <cell r="B1681">
            <v>193</v>
          </cell>
          <cell r="I1681">
            <v>7.9</v>
          </cell>
        </row>
        <row r="1682">
          <cell r="B1682">
            <v>130</v>
          </cell>
          <cell r="I1682">
            <v>6.9</v>
          </cell>
        </row>
        <row r="1683">
          <cell r="B1683">
            <v>111</v>
          </cell>
          <cell r="I1683">
            <v>7.7</v>
          </cell>
        </row>
        <row r="1684">
          <cell r="B1684">
            <v>110</v>
          </cell>
          <cell r="I1684">
            <v>6.9</v>
          </cell>
        </row>
        <row r="1685">
          <cell r="B1685">
            <v>123</v>
          </cell>
          <cell r="I1685">
            <v>6</v>
          </cell>
        </row>
        <row r="1686">
          <cell r="B1686">
            <v>109</v>
          </cell>
          <cell r="I1686">
            <v>6.2</v>
          </cell>
        </row>
        <row r="1687">
          <cell r="B1687">
            <v>99</v>
          </cell>
          <cell r="I1687">
            <v>5.9</v>
          </cell>
        </row>
        <row r="1688">
          <cell r="B1688">
            <v>106</v>
          </cell>
          <cell r="I1688">
            <v>6.8</v>
          </cell>
        </row>
        <row r="1689">
          <cell r="B1689">
            <v>89</v>
          </cell>
          <cell r="I1689">
            <v>3.6</v>
          </cell>
        </row>
        <row r="1690">
          <cell r="B1690">
            <v>98</v>
          </cell>
          <cell r="I1690">
            <v>6.7</v>
          </cell>
        </row>
        <row r="1691">
          <cell r="B1691">
            <v>93</v>
          </cell>
          <cell r="I1691">
            <v>6.3</v>
          </cell>
        </row>
        <row r="1692">
          <cell r="B1692">
            <v>112</v>
          </cell>
          <cell r="I1692">
            <v>6.4</v>
          </cell>
        </row>
        <row r="1693">
          <cell r="B1693">
            <v>101</v>
          </cell>
          <cell r="I1693">
            <v>6.4</v>
          </cell>
        </row>
        <row r="1694">
          <cell r="B1694">
            <v>104</v>
          </cell>
          <cell r="I1694">
            <v>5.7</v>
          </cell>
        </row>
        <row r="1695">
          <cell r="B1695">
            <v>120</v>
          </cell>
          <cell r="I1695">
            <v>6.2</v>
          </cell>
        </row>
        <row r="1696">
          <cell r="B1696">
            <v>91</v>
          </cell>
          <cell r="I1696">
            <v>5.2</v>
          </cell>
        </row>
        <row r="1697">
          <cell r="B1697">
            <v>97</v>
          </cell>
          <cell r="I1697">
            <v>6.1</v>
          </cell>
        </row>
        <row r="1698">
          <cell r="B1698">
            <v>133</v>
          </cell>
          <cell r="I1698">
            <v>7.1</v>
          </cell>
        </row>
        <row r="1699">
          <cell r="B1699">
            <v>123</v>
          </cell>
          <cell r="I1699">
            <v>7.2</v>
          </cell>
        </row>
        <row r="1700">
          <cell r="B1700">
            <v>114</v>
          </cell>
          <cell r="I1700">
            <v>6.5</v>
          </cell>
        </row>
        <row r="1701">
          <cell r="B1701">
            <v>111</v>
          </cell>
          <cell r="I1701">
            <v>6</v>
          </cell>
        </row>
        <row r="1702">
          <cell r="B1702">
            <v>117</v>
          </cell>
          <cell r="I1702">
            <v>7</v>
          </cell>
        </row>
        <row r="1703">
          <cell r="B1703">
            <v>121</v>
          </cell>
          <cell r="I1703">
            <v>7</v>
          </cell>
        </row>
        <row r="1704">
          <cell r="B1704">
            <v>139</v>
          </cell>
          <cell r="I1704">
            <v>7.5</v>
          </cell>
        </row>
        <row r="1705">
          <cell r="B1705">
            <v>115</v>
          </cell>
          <cell r="I1705">
            <v>6.6</v>
          </cell>
        </row>
        <row r="1706">
          <cell r="B1706">
            <v>175</v>
          </cell>
          <cell r="I1706">
            <v>7.4</v>
          </cell>
        </row>
        <row r="1707">
          <cell r="B1707">
            <v>85</v>
          </cell>
          <cell r="I1707">
            <v>6.5</v>
          </cell>
        </row>
        <row r="1708">
          <cell r="B1708">
            <v>90</v>
          </cell>
          <cell r="I1708">
            <v>6.2</v>
          </cell>
        </row>
        <row r="1709">
          <cell r="B1709">
            <v>107</v>
          </cell>
          <cell r="I1709">
            <v>7.8</v>
          </cell>
        </row>
        <row r="1710">
          <cell r="B1710">
            <v>100</v>
          </cell>
          <cell r="I1710">
            <v>5.2</v>
          </cell>
        </row>
        <row r="1711">
          <cell r="B1711">
            <v>129</v>
          </cell>
          <cell r="I1711">
            <v>6.5</v>
          </cell>
        </row>
        <row r="1712">
          <cell r="B1712">
            <v>109</v>
          </cell>
          <cell r="I1712">
            <v>6.5</v>
          </cell>
        </row>
        <row r="1713">
          <cell r="B1713">
            <v>94</v>
          </cell>
          <cell r="I1713">
            <v>5.2</v>
          </cell>
        </row>
        <row r="1714">
          <cell r="B1714">
            <v>133</v>
          </cell>
          <cell r="I1714">
            <v>7.2</v>
          </cell>
        </row>
        <row r="1715">
          <cell r="B1715">
            <v>105</v>
          </cell>
          <cell r="I1715">
            <v>7.1</v>
          </cell>
        </row>
        <row r="1716">
          <cell r="B1716">
            <v>100</v>
          </cell>
          <cell r="I1716">
            <v>4.5</v>
          </cell>
        </row>
        <row r="1717">
          <cell r="B1717">
            <v>113</v>
          </cell>
          <cell r="I1717">
            <v>5.7</v>
          </cell>
        </row>
        <row r="1718">
          <cell r="B1718">
            <v>118</v>
          </cell>
          <cell r="I1718">
            <v>6</v>
          </cell>
        </row>
        <row r="1719">
          <cell r="B1719">
            <v>110</v>
          </cell>
          <cell r="I1719">
            <v>6.4</v>
          </cell>
        </row>
        <row r="1720">
          <cell r="B1720">
            <v>110</v>
          </cell>
          <cell r="I1720">
            <v>5.2</v>
          </cell>
        </row>
        <row r="1721">
          <cell r="B1721">
            <v>99</v>
          </cell>
          <cell r="I1721">
            <v>4.3</v>
          </cell>
        </row>
        <row r="1722">
          <cell r="B1722">
            <v>101</v>
          </cell>
          <cell r="I1722">
            <v>6.1</v>
          </cell>
        </row>
        <row r="1723">
          <cell r="B1723">
            <v>103</v>
          </cell>
          <cell r="I1723">
            <v>6.8</v>
          </cell>
        </row>
        <row r="1724">
          <cell r="B1724">
            <v>95</v>
          </cell>
          <cell r="I1724">
            <v>5.2</v>
          </cell>
        </row>
        <row r="1725">
          <cell r="B1725">
            <v>117</v>
          </cell>
          <cell r="I1725">
            <v>6.5</v>
          </cell>
        </row>
        <row r="1726">
          <cell r="B1726">
            <v>129</v>
          </cell>
          <cell r="I1726">
            <v>7.5</v>
          </cell>
        </row>
        <row r="1727">
          <cell r="B1727">
            <v>120</v>
          </cell>
          <cell r="I1727">
            <v>7.1</v>
          </cell>
        </row>
        <row r="1728">
          <cell r="B1728">
            <v>125</v>
          </cell>
          <cell r="I1728">
            <v>6.9</v>
          </cell>
        </row>
        <row r="1729">
          <cell r="B1729">
            <v>133</v>
          </cell>
          <cell r="I1729">
            <v>8</v>
          </cell>
        </row>
        <row r="1730">
          <cell r="B1730">
            <v>116</v>
          </cell>
          <cell r="I1730">
            <v>8.1999999999999993</v>
          </cell>
        </row>
        <row r="1731">
          <cell r="B1731">
            <v>129</v>
          </cell>
          <cell r="I1731">
            <v>6.4</v>
          </cell>
        </row>
        <row r="1732">
          <cell r="B1732">
            <v>93</v>
          </cell>
          <cell r="I1732">
            <v>7.9</v>
          </cell>
        </row>
        <row r="1733">
          <cell r="B1733">
            <v>118</v>
          </cell>
          <cell r="I1733">
            <v>6.7</v>
          </cell>
        </row>
        <row r="1734">
          <cell r="B1734">
            <v>129</v>
          </cell>
          <cell r="I1734">
            <v>6.1</v>
          </cell>
        </row>
        <row r="1735">
          <cell r="B1735">
            <v>185</v>
          </cell>
          <cell r="I1735">
            <v>8.9</v>
          </cell>
        </row>
        <row r="1736">
          <cell r="B1736">
            <v>146</v>
          </cell>
          <cell r="I1736">
            <v>8.1</v>
          </cell>
        </row>
        <row r="1737">
          <cell r="B1737">
            <v>128</v>
          </cell>
          <cell r="I1737">
            <v>6.2</v>
          </cell>
        </row>
        <row r="1738">
          <cell r="B1738">
            <v>93</v>
          </cell>
          <cell r="I1738">
            <v>4.9000000000000004</v>
          </cell>
        </row>
        <row r="1739">
          <cell r="B1739">
            <v>97</v>
          </cell>
          <cell r="I1739">
            <v>5.8</v>
          </cell>
        </row>
        <row r="1740">
          <cell r="B1740">
            <v>82</v>
          </cell>
          <cell r="I1740">
            <v>6</v>
          </cell>
        </row>
        <row r="1741">
          <cell r="B1741">
            <v>85</v>
          </cell>
          <cell r="I1741">
            <v>7</v>
          </cell>
        </row>
        <row r="1742">
          <cell r="B1742">
            <v>88</v>
          </cell>
          <cell r="I1742">
            <v>6</v>
          </cell>
        </row>
        <row r="1743">
          <cell r="B1743">
            <v>119</v>
          </cell>
          <cell r="I1743">
            <v>7.9</v>
          </cell>
        </row>
        <row r="1744">
          <cell r="B1744">
            <v>122</v>
          </cell>
          <cell r="I1744">
            <v>8.1</v>
          </cell>
        </row>
        <row r="1745">
          <cell r="B1745">
            <v>99</v>
          </cell>
          <cell r="I1745">
            <v>6.2</v>
          </cell>
        </row>
        <row r="1746">
          <cell r="B1746">
            <v>97</v>
          </cell>
          <cell r="I1746">
            <v>6.7</v>
          </cell>
        </row>
        <row r="1747">
          <cell r="B1747">
            <v>121</v>
          </cell>
          <cell r="I1747">
            <v>7.3</v>
          </cell>
        </row>
        <row r="1748">
          <cell r="B1748">
            <v>95</v>
          </cell>
          <cell r="I1748">
            <v>4.5999999999999996</v>
          </cell>
        </row>
        <row r="1749">
          <cell r="B1749">
            <v>105</v>
          </cell>
          <cell r="I1749">
            <v>6.1</v>
          </cell>
        </row>
        <row r="1750">
          <cell r="B1750">
            <v>108</v>
          </cell>
          <cell r="I1750">
            <v>6.2</v>
          </cell>
        </row>
        <row r="1751">
          <cell r="B1751">
            <v>134</v>
          </cell>
          <cell r="I1751">
            <v>7.8</v>
          </cell>
        </row>
        <row r="1752">
          <cell r="B1752">
            <v>115</v>
          </cell>
          <cell r="I1752">
            <v>6.1</v>
          </cell>
        </row>
        <row r="1753">
          <cell r="B1753">
            <v>86</v>
          </cell>
          <cell r="I1753">
            <v>5.8</v>
          </cell>
        </row>
        <row r="1754">
          <cell r="B1754">
            <v>101</v>
          </cell>
          <cell r="I1754">
            <v>6.5</v>
          </cell>
        </row>
        <row r="1755">
          <cell r="B1755">
            <v>96</v>
          </cell>
          <cell r="I1755">
            <v>7.2</v>
          </cell>
        </row>
        <row r="1756">
          <cell r="B1756">
            <v>101</v>
          </cell>
          <cell r="I1756">
            <v>7.8</v>
          </cell>
        </row>
        <row r="1757">
          <cell r="B1757">
            <v>100</v>
          </cell>
          <cell r="I1757">
            <v>4.7</v>
          </cell>
        </row>
        <row r="1758">
          <cell r="B1758">
            <v>117</v>
          </cell>
          <cell r="I1758">
            <v>6.8</v>
          </cell>
        </row>
        <row r="1759">
          <cell r="B1759">
            <v>101</v>
          </cell>
          <cell r="I1759">
            <v>5.9</v>
          </cell>
        </row>
        <row r="1760">
          <cell r="B1760">
            <v>98</v>
          </cell>
          <cell r="I1760">
            <v>7.2</v>
          </cell>
        </row>
        <row r="1761">
          <cell r="B1761">
            <v>146</v>
          </cell>
          <cell r="I1761">
            <v>8.6999999999999993</v>
          </cell>
        </row>
        <row r="1762">
          <cell r="B1762">
            <v>102</v>
          </cell>
          <cell r="I1762">
            <v>5</v>
          </cell>
        </row>
        <row r="1763">
          <cell r="B1763">
            <v>97</v>
          </cell>
          <cell r="I1763">
            <v>6.6</v>
          </cell>
        </row>
        <row r="1764">
          <cell r="B1764">
            <v>142</v>
          </cell>
          <cell r="I1764">
            <v>8.3000000000000007</v>
          </cell>
        </row>
        <row r="1765">
          <cell r="B1765">
            <v>98</v>
          </cell>
          <cell r="I1765">
            <v>6.7</v>
          </cell>
        </row>
        <row r="1766">
          <cell r="B1766">
            <v>219</v>
          </cell>
          <cell r="I1766">
            <v>7.8</v>
          </cell>
        </row>
        <row r="1767">
          <cell r="B1767">
            <v>109</v>
          </cell>
          <cell r="I1767">
            <v>6.5</v>
          </cell>
        </row>
        <row r="1768">
          <cell r="B1768">
            <v>97</v>
          </cell>
          <cell r="I1768">
            <v>6.1</v>
          </cell>
        </row>
        <row r="1769">
          <cell r="B1769">
            <v>158</v>
          </cell>
          <cell r="I1769">
            <v>8.1</v>
          </cell>
        </row>
        <row r="1770">
          <cell r="B1770">
            <v>85</v>
          </cell>
          <cell r="I1770">
            <v>5.2</v>
          </cell>
        </row>
        <row r="1771">
          <cell r="B1771">
            <v>80</v>
          </cell>
          <cell r="I1771">
            <v>5.6</v>
          </cell>
        </row>
        <row r="1772">
          <cell r="B1772">
            <v>86</v>
          </cell>
          <cell r="I1772">
            <v>5.8</v>
          </cell>
        </row>
        <row r="1773">
          <cell r="B1773">
            <v>119</v>
          </cell>
          <cell r="I1773">
            <v>6.6</v>
          </cell>
        </row>
        <row r="1774">
          <cell r="B1774">
            <v>98</v>
          </cell>
          <cell r="I1774">
            <v>6.6</v>
          </cell>
        </row>
        <row r="1775">
          <cell r="B1775">
            <v>97</v>
          </cell>
          <cell r="I1775">
            <v>5.5</v>
          </cell>
        </row>
        <row r="1776">
          <cell r="B1776">
            <v>124</v>
          </cell>
          <cell r="I1776">
            <v>7</v>
          </cell>
        </row>
        <row r="1777">
          <cell r="B1777">
            <v>97</v>
          </cell>
          <cell r="I1777">
            <v>6.5</v>
          </cell>
        </row>
        <row r="1778">
          <cell r="B1778">
            <v>105</v>
          </cell>
          <cell r="I1778">
            <v>5.8</v>
          </cell>
        </row>
        <row r="1779">
          <cell r="B1779">
            <v>104</v>
          </cell>
          <cell r="I1779">
            <v>5.6</v>
          </cell>
        </row>
        <row r="1780">
          <cell r="B1780">
            <v>101</v>
          </cell>
          <cell r="I1780">
            <v>5.6</v>
          </cell>
        </row>
        <row r="1781">
          <cell r="B1781">
            <v>101</v>
          </cell>
          <cell r="I1781">
            <v>5.8</v>
          </cell>
        </row>
        <row r="1782">
          <cell r="B1782">
            <v>114</v>
          </cell>
          <cell r="I1782">
            <v>7.6</v>
          </cell>
        </row>
        <row r="1783">
          <cell r="B1783">
            <v>105</v>
          </cell>
          <cell r="I1783">
            <v>6.4</v>
          </cell>
        </row>
        <row r="1784">
          <cell r="B1784">
            <v>90</v>
          </cell>
          <cell r="I1784">
            <v>6.3</v>
          </cell>
        </row>
        <row r="1785">
          <cell r="B1785">
            <v>97</v>
          </cell>
          <cell r="I1785">
            <v>4.5999999999999996</v>
          </cell>
        </row>
        <row r="1786">
          <cell r="B1786">
            <v>144</v>
          </cell>
          <cell r="I1786">
            <v>6.5</v>
          </cell>
        </row>
        <row r="1787">
          <cell r="B1787">
            <v>114</v>
          </cell>
          <cell r="I1787">
            <v>7.5</v>
          </cell>
        </row>
        <row r="1788">
          <cell r="B1788">
            <v>124</v>
          </cell>
          <cell r="I1788">
            <v>7.5</v>
          </cell>
        </row>
        <row r="1789">
          <cell r="B1789">
            <v>89</v>
          </cell>
          <cell r="I1789">
            <v>5.3</v>
          </cell>
        </row>
        <row r="1790">
          <cell r="B1790">
            <v>160</v>
          </cell>
          <cell r="I1790">
            <v>7.5</v>
          </cell>
        </row>
        <row r="1791">
          <cell r="B1791">
            <v>93</v>
          </cell>
          <cell r="I1791">
            <v>3.3</v>
          </cell>
        </row>
        <row r="1792">
          <cell r="B1792">
            <v>88</v>
          </cell>
          <cell r="I1792">
            <v>3.5</v>
          </cell>
        </row>
        <row r="1793">
          <cell r="B1793">
            <v>142</v>
          </cell>
          <cell r="I1793">
            <v>9.3000000000000007</v>
          </cell>
        </row>
        <row r="1794">
          <cell r="B1794">
            <v>92</v>
          </cell>
          <cell r="I1794">
            <v>4.8</v>
          </cell>
        </row>
        <row r="1795">
          <cell r="B1795">
            <v>117</v>
          </cell>
          <cell r="I1795">
            <v>6.9</v>
          </cell>
        </row>
        <row r="1796">
          <cell r="B1796">
            <v>111</v>
          </cell>
          <cell r="I1796">
            <v>6</v>
          </cell>
        </row>
        <row r="1797">
          <cell r="B1797">
            <v>121</v>
          </cell>
          <cell r="I1797">
            <v>7.3</v>
          </cell>
        </row>
        <row r="1798">
          <cell r="B1798">
            <v>107</v>
          </cell>
          <cell r="I1798">
            <v>6.6</v>
          </cell>
        </row>
        <row r="1799">
          <cell r="B1799">
            <v>106</v>
          </cell>
          <cell r="I1799">
            <v>7.5</v>
          </cell>
        </row>
        <row r="1800">
          <cell r="B1800">
            <v>136</v>
          </cell>
          <cell r="I1800">
            <v>6.9</v>
          </cell>
        </row>
        <row r="1801">
          <cell r="B1801">
            <v>97</v>
          </cell>
          <cell r="I1801">
            <v>6.8</v>
          </cell>
        </row>
        <row r="1802">
          <cell r="B1802">
            <v>108</v>
          </cell>
          <cell r="I1802">
            <v>6.3</v>
          </cell>
        </row>
        <row r="1803">
          <cell r="B1803">
            <v>97</v>
          </cell>
          <cell r="I1803">
            <v>6.4</v>
          </cell>
        </row>
        <row r="1804">
          <cell r="B1804">
            <v>99</v>
          </cell>
          <cell r="I1804">
            <v>5.6</v>
          </cell>
        </row>
        <row r="1805">
          <cell r="B1805">
            <v>103</v>
          </cell>
          <cell r="I1805">
            <v>6.3</v>
          </cell>
        </row>
        <row r="1806">
          <cell r="B1806">
            <v>95</v>
          </cell>
          <cell r="I1806">
            <v>7.3</v>
          </cell>
        </row>
        <row r="1807">
          <cell r="B1807">
            <v>93</v>
          </cell>
          <cell r="I1807">
            <v>6.6</v>
          </cell>
        </row>
        <row r="1808">
          <cell r="B1808">
            <v>98</v>
          </cell>
          <cell r="I1808">
            <v>4.5999999999999996</v>
          </cell>
        </row>
        <row r="1809">
          <cell r="B1809">
            <v>90</v>
          </cell>
          <cell r="I1809">
            <v>5.0999999999999996</v>
          </cell>
        </row>
        <row r="1810">
          <cell r="B1810">
            <v>107</v>
          </cell>
          <cell r="I1810">
            <v>5.6</v>
          </cell>
        </row>
        <row r="1811">
          <cell r="B1811">
            <v>90</v>
          </cell>
          <cell r="I1811">
            <v>5.3</v>
          </cell>
        </row>
        <row r="1812">
          <cell r="B1812">
            <v>115</v>
          </cell>
          <cell r="I1812">
            <v>5.6</v>
          </cell>
        </row>
        <row r="1813">
          <cell r="B1813">
            <v>93</v>
          </cell>
          <cell r="I1813">
            <v>5.9</v>
          </cell>
        </row>
        <row r="1814">
          <cell r="B1814">
            <v>99</v>
          </cell>
          <cell r="I1814">
            <v>4.7</v>
          </cell>
        </row>
        <row r="1815">
          <cell r="B1815">
            <v>107</v>
          </cell>
          <cell r="I1815">
            <v>4.8</v>
          </cell>
        </row>
        <row r="1816">
          <cell r="B1816">
            <v>110</v>
          </cell>
          <cell r="I1816">
            <v>6.8</v>
          </cell>
        </row>
        <row r="1817">
          <cell r="B1817">
            <v>101</v>
          </cell>
          <cell r="I1817">
            <v>5.4</v>
          </cell>
        </row>
        <row r="1818">
          <cell r="B1818">
            <v>85</v>
          </cell>
          <cell r="I1818">
            <v>5.0999999999999996</v>
          </cell>
        </row>
        <row r="1819">
          <cell r="B1819">
            <v>132</v>
          </cell>
          <cell r="I1819">
            <v>7</v>
          </cell>
        </row>
        <row r="1820">
          <cell r="B1820">
            <v>90</v>
          </cell>
          <cell r="I1820">
            <v>4</v>
          </cell>
        </row>
        <row r="1821">
          <cell r="B1821">
            <v>145</v>
          </cell>
          <cell r="I1821">
            <v>7.3</v>
          </cell>
        </row>
        <row r="1822">
          <cell r="B1822">
            <v>110</v>
          </cell>
          <cell r="I1822">
            <v>6.8</v>
          </cell>
        </row>
        <row r="1823">
          <cell r="B1823">
            <v>122</v>
          </cell>
          <cell r="I1823">
            <v>7</v>
          </cell>
        </row>
        <row r="1824">
          <cell r="B1824">
            <v>107</v>
          </cell>
          <cell r="I1824">
            <v>7.1</v>
          </cell>
        </row>
        <row r="1825">
          <cell r="B1825">
            <v>127</v>
          </cell>
          <cell r="I1825">
            <v>6.9</v>
          </cell>
        </row>
        <row r="1826">
          <cell r="B1826">
            <v>99</v>
          </cell>
          <cell r="I1826">
            <v>7.3</v>
          </cell>
        </row>
        <row r="1827">
          <cell r="B1827">
            <v>140</v>
          </cell>
          <cell r="I1827">
            <v>8.1999999999999993</v>
          </cell>
        </row>
        <row r="1828">
          <cell r="B1828">
            <v>133</v>
          </cell>
          <cell r="I1828">
            <v>7.1</v>
          </cell>
        </row>
        <row r="1829">
          <cell r="B1829">
            <v>271</v>
          </cell>
          <cell r="I1829">
            <v>7.7</v>
          </cell>
        </row>
        <row r="1830">
          <cell r="B1830">
            <v>112</v>
          </cell>
          <cell r="I1830">
            <v>6.5</v>
          </cell>
        </row>
        <row r="1831">
          <cell r="B1831">
            <v>99</v>
          </cell>
          <cell r="I1831">
            <v>4.9000000000000004</v>
          </cell>
        </row>
        <row r="1832">
          <cell r="B1832">
            <v>100</v>
          </cell>
          <cell r="I1832">
            <v>6.4</v>
          </cell>
        </row>
        <row r="1833">
          <cell r="B1833">
            <v>92</v>
          </cell>
          <cell r="I1833">
            <v>5.9</v>
          </cell>
        </row>
        <row r="1834">
          <cell r="B1834">
            <v>105</v>
          </cell>
          <cell r="I1834">
            <v>6.2</v>
          </cell>
        </row>
        <row r="1835">
          <cell r="B1835">
            <v>110</v>
          </cell>
          <cell r="I1835">
            <v>5.8</v>
          </cell>
        </row>
        <row r="1836">
          <cell r="B1836">
            <v>116</v>
          </cell>
          <cell r="I1836">
            <v>6.7</v>
          </cell>
        </row>
        <row r="1837">
          <cell r="B1837">
            <v>88</v>
          </cell>
          <cell r="I1837">
            <v>5.9</v>
          </cell>
        </row>
        <row r="1838">
          <cell r="B1838">
            <v>111</v>
          </cell>
          <cell r="I1838">
            <v>7.3</v>
          </cell>
        </row>
        <row r="1839">
          <cell r="B1839">
            <v>95</v>
          </cell>
          <cell r="I1839">
            <v>4.0999999999999996</v>
          </cell>
        </row>
        <row r="1840">
          <cell r="B1840">
            <v>95</v>
          </cell>
          <cell r="I1840">
            <v>4.9000000000000004</v>
          </cell>
        </row>
        <row r="1841">
          <cell r="B1841">
            <v>127</v>
          </cell>
          <cell r="I1841">
            <v>7.9</v>
          </cell>
        </row>
        <row r="1842">
          <cell r="B1842">
            <v>104</v>
          </cell>
          <cell r="I1842">
            <v>5.2</v>
          </cell>
        </row>
        <row r="1843">
          <cell r="B1843">
            <v>95</v>
          </cell>
          <cell r="I1843">
            <v>4.0999999999999996</v>
          </cell>
        </row>
        <row r="1844">
          <cell r="B1844">
            <v>121</v>
          </cell>
          <cell r="I1844">
            <v>6.6</v>
          </cell>
        </row>
        <row r="1845">
          <cell r="B1845">
            <v>92</v>
          </cell>
          <cell r="I1845">
            <v>2.9</v>
          </cell>
        </row>
        <row r="1846">
          <cell r="B1846">
            <v>107</v>
          </cell>
          <cell r="I1846">
            <v>6.5</v>
          </cell>
        </row>
        <row r="1847">
          <cell r="B1847">
            <v>117</v>
          </cell>
          <cell r="I1847">
            <v>7.2</v>
          </cell>
        </row>
        <row r="1848">
          <cell r="B1848">
            <v>107</v>
          </cell>
          <cell r="I1848">
            <v>6.8</v>
          </cell>
        </row>
        <row r="1849">
          <cell r="B1849">
            <v>131</v>
          </cell>
          <cell r="I1849">
            <v>7.8</v>
          </cell>
        </row>
        <row r="1850">
          <cell r="B1850">
            <v>122</v>
          </cell>
          <cell r="I1850">
            <v>6.7</v>
          </cell>
        </row>
        <row r="1851">
          <cell r="B1851">
            <v>134</v>
          </cell>
          <cell r="I1851">
            <v>7.1</v>
          </cell>
        </row>
        <row r="1852">
          <cell r="B1852">
            <v>117</v>
          </cell>
          <cell r="I1852">
            <v>5.7</v>
          </cell>
        </row>
        <row r="1853">
          <cell r="B1853">
            <v>138</v>
          </cell>
          <cell r="I1853">
            <v>5.3</v>
          </cell>
        </row>
        <row r="1854">
          <cell r="B1854">
            <v>100</v>
          </cell>
          <cell r="I1854">
            <v>6.5</v>
          </cell>
        </row>
        <row r="1855">
          <cell r="B1855">
            <v>119</v>
          </cell>
          <cell r="I1855">
            <v>7.7</v>
          </cell>
        </row>
        <row r="1856">
          <cell r="B1856">
            <v>137</v>
          </cell>
          <cell r="I1856">
            <v>6.1</v>
          </cell>
        </row>
        <row r="1857">
          <cell r="B1857">
            <v>119</v>
          </cell>
          <cell r="I1857">
            <v>7.3</v>
          </cell>
        </row>
        <row r="1858">
          <cell r="B1858">
            <v>139</v>
          </cell>
          <cell r="I1858">
            <v>7.2</v>
          </cell>
        </row>
        <row r="1859">
          <cell r="B1859">
            <v>120</v>
          </cell>
          <cell r="I1859">
            <v>6.1</v>
          </cell>
        </row>
        <row r="1860">
          <cell r="B1860">
            <v>98</v>
          </cell>
          <cell r="I1860">
            <v>5.8</v>
          </cell>
        </row>
        <row r="1861">
          <cell r="B1861">
            <v>106</v>
          </cell>
          <cell r="I1861">
            <v>5.7</v>
          </cell>
        </row>
        <row r="1862">
          <cell r="B1862">
            <v>98</v>
          </cell>
          <cell r="I1862">
            <v>6.7</v>
          </cell>
        </row>
        <row r="1863">
          <cell r="B1863">
            <v>107</v>
          </cell>
          <cell r="I1863">
            <v>6.5</v>
          </cell>
        </row>
        <row r="1864">
          <cell r="B1864">
            <v>88</v>
          </cell>
          <cell r="I1864">
            <v>7.2</v>
          </cell>
        </row>
        <row r="1865">
          <cell r="B1865">
            <v>137</v>
          </cell>
          <cell r="I1865">
            <v>7.6</v>
          </cell>
        </row>
        <row r="1866">
          <cell r="B1866">
            <v>100</v>
          </cell>
          <cell r="I1866">
            <v>4.5999999999999996</v>
          </cell>
        </row>
        <row r="1867">
          <cell r="B1867">
            <v>115</v>
          </cell>
          <cell r="I1867">
            <v>6.9</v>
          </cell>
        </row>
        <row r="1868">
          <cell r="B1868">
            <v>101</v>
          </cell>
          <cell r="I1868">
            <v>6.6</v>
          </cell>
        </row>
        <row r="1869">
          <cell r="B1869">
            <v>110</v>
          </cell>
          <cell r="I1869">
            <v>6.3</v>
          </cell>
        </row>
        <row r="1870">
          <cell r="B1870">
            <v>94</v>
          </cell>
          <cell r="I1870">
            <v>6.2</v>
          </cell>
        </row>
        <row r="1871">
          <cell r="B1871">
            <v>88</v>
          </cell>
          <cell r="I1871">
            <v>5.3</v>
          </cell>
        </row>
        <row r="1872">
          <cell r="B1872">
            <v>127</v>
          </cell>
          <cell r="I1872">
            <v>7.3</v>
          </cell>
        </row>
        <row r="1873">
          <cell r="B1873">
            <v>95</v>
          </cell>
          <cell r="I1873">
            <v>5.6</v>
          </cell>
        </row>
        <row r="1874">
          <cell r="B1874">
            <v>87</v>
          </cell>
          <cell r="I1874">
            <v>6.2</v>
          </cell>
        </row>
        <row r="1875">
          <cell r="B1875">
            <v>118</v>
          </cell>
          <cell r="I1875">
            <v>5.2</v>
          </cell>
        </row>
        <row r="1876">
          <cell r="B1876">
            <v>107</v>
          </cell>
          <cell r="I1876">
            <v>5.3</v>
          </cell>
        </row>
        <row r="1877">
          <cell r="B1877">
            <v>124</v>
          </cell>
          <cell r="I1877">
            <v>5.4</v>
          </cell>
        </row>
        <row r="1878">
          <cell r="B1878">
            <v>89</v>
          </cell>
          <cell r="I1878">
            <v>4.9000000000000004</v>
          </cell>
        </row>
        <row r="1879">
          <cell r="B1879">
            <v>88</v>
          </cell>
          <cell r="I1879">
            <v>5.5</v>
          </cell>
        </row>
        <row r="1880">
          <cell r="B1880">
            <v>118</v>
          </cell>
          <cell r="I1880">
            <v>6.7</v>
          </cell>
        </row>
        <row r="1881">
          <cell r="B1881">
            <v>93</v>
          </cell>
          <cell r="I1881">
            <v>3.9</v>
          </cell>
        </row>
        <row r="1882">
          <cell r="B1882">
            <v>80</v>
          </cell>
          <cell r="I1882">
            <v>7.2</v>
          </cell>
        </row>
        <row r="1883">
          <cell r="B1883">
            <v>120</v>
          </cell>
          <cell r="I1883">
            <v>5.0999999999999996</v>
          </cell>
        </row>
        <row r="1884">
          <cell r="B1884">
            <v>98</v>
          </cell>
          <cell r="I1884">
            <v>6.5</v>
          </cell>
        </row>
        <row r="1885">
          <cell r="B1885">
            <v>119</v>
          </cell>
          <cell r="I1885">
            <v>8.1999999999999993</v>
          </cell>
        </row>
        <row r="1886">
          <cell r="B1886">
            <v>88</v>
          </cell>
          <cell r="I1886">
            <v>7.7</v>
          </cell>
        </row>
        <row r="1887">
          <cell r="B1887">
            <v>90</v>
          </cell>
          <cell r="I1887">
            <v>6.1</v>
          </cell>
        </row>
        <row r="1888">
          <cell r="B1888">
            <v>127</v>
          </cell>
          <cell r="I1888">
            <v>8.8000000000000007</v>
          </cell>
        </row>
        <row r="1889">
          <cell r="B1889">
            <v>119</v>
          </cell>
          <cell r="I1889">
            <v>6.8</v>
          </cell>
        </row>
        <row r="1890">
          <cell r="B1890">
            <v>85</v>
          </cell>
          <cell r="I1890">
            <v>6.8</v>
          </cell>
        </row>
        <row r="1891">
          <cell r="B1891">
            <v>98</v>
          </cell>
          <cell r="I1891">
            <v>6.7</v>
          </cell>
        </row>
        <row r="1892">
          <cell r="B1892">
            <v>101</v>
          </cell>
          <cell r="I1892">
            <v>7.1</v>
          </cell>
        </row>
        <row r="1893">
          <cell r="B1893">
            <v>112</v>
          </cell>
          <cell r="I1893">
            <v>7.1</v>
          </cell>
        </row>
        <row r="1894">
          <cell r="B1894">
            <v>97</v>
          </cell>
          <cell r="I1894">
            <v>6.1</v>
          </cell>
        </row>
        <row r="1895">
          <cell r="B1895">
            <v>126</v>
          </cell>
          <cell r="I1895">
            <v>8</v>
          </cell>
        </row>
        <row r="1896">
          <cell r="B1896">
            <v>97</v>
          </cell>
          <cell r="I1896">
            <v>6.6</v>
          </cell>
        </row>
        <row r="1897">
          <cell r="B1897">
            <v>100</v>
          </cell>
          <cell r="I1897">
            <v>5.4</v>
          </cell>
        </row>
        <row r="1898">
          <cell r="B1898">
            <v>114</v>
          </cell>
          <cell r="I1898">
            <v>6.1</v>
          </cell>
        </row>
        <row r="1899">
          <cell r="B1899">
            <v>88</v>
          </cell>
          <cell r="I1899">
            <v>5.6</v>
          </cell>
        </row>
        <row r="1900">
          <cell r="B1900">
            <v>93</v>
          </cell>
          <cell r="I1900">
            <v>5.8</v>
          </cell>
        </row>
        <row r="1901">
          <cell r="B1901">
            <v>92</v>
          </cell>
          <cell r="I1901">
            <v>2.8</v>
          </cell>
        </row>
        <row r="1902">
          <cell r="B1902">
            <v>98</v>
          </cell>
          <cell r="I1902">
            <v>6.7</v>
          </cell>
        </row>
        <row r="1903">
          <cell r="B1903">
            <v>94</v>
          </cell>
          <cell r="I1903">
            <v>5.0999999999999996</v>
          </cell>
        </row>
        <row r="1904">
          <cell r="B1904">
            <v>102</v>
          </cell>
          <cell r="I1904">
            <v>7.2</v>
          </cell>
        </row>
        <row r="1905">
          <cell r="B1905">
            <v>98</v>
          </cell>
          <cell r="I1905">
            <v>6</v>
          </cell>
        </row>
        <row r="1906">
          <cell r="B1906">
            <v>111</v>
          </cell>
          <cell r="I1906">
            <v>6.7</v>
          </cell>
        </row>
        <row r="1907">
          <cell r="B1907">
            <v>100</v>
          </cell>
          <cell r="I1907">
            <v>6.2</v>
          </cell>
        </row>
        <row r="1908">
          <cell r="B1908">
            <v>141</v>
          </cell>
          <cell r="I1908">
            <v>6.2</v>
          </cell>
        </row>
        <row r="1909">
          <cell r="B1909">
            <v>114</v>
          </cell>
          <cell r="I1909">
            <v>6.8</v>
          </cell>
        </row>
        <row r="1910">
          <cell r="B1910">
            <v>96</v>
          </cell>
          <cell r="I1910">
            <v>7.1</v>
          </cell>
        </row>
        <row r="1911">
          <cell r="B1911">
            <v>111</v>
          </cell>
          <cell r="I1911">
            <v>7.1</v>
          </cell>
        </row>
        <row r="1912">
          <cell r="B1912">
            <v>127</v>
          </cell>
          <cell r="I1912">
            <v>7</v>
          </cell>
        </row>
        <row r="1913">
          <cell r="B1913">
            <v>107</v>
          </cell>
          <cell r="I1913">
            <v>7.1</v>
          </cell>
        </row>
        <row r="1914">
          <cell r="B1914">
            <v>97</v>
          </cell>
          <cell r="I1914">
            <v>6.4</v>
          </cell>
        </row>
        <row r="1915">
          <cell r="B1915">
            <v>127</v>
          </cell>
          <cell r="I1915">
            <v>7</v>
          </cell>
        </row>
        <row r="1916">
          <cell r="B1916">
            <v>110</v>
          </cell>
          <cell r="I1916">
            <v>6.2</v>
          </cell>
        </row>
        <row r="1917">
          <cell r="B1917">
            <v>135</v>
          </cell>
          <cell r="I1917">
            <v>7.5</v>
          </cell>
        </row>
        <row r="1918">
          <cell r="B1918">
            <v>84</v>
          </cell>
          <cell r="I1918">
            <v>4.8</v>
          </cell>
        </row>
        <row r="1919">
          <cell r="B1919">
            <v>122</v>
          </cell>
          <cell r="I1919">
            <v>7.3</v>
          </cell>
        </row>
        <row r="1920">
          <cell r="B1920">
            <v>114</v>
          </cell>
          <cell r="I1920">
            <v>5.8</v>
          </cell>
        </row>
        <row r="1921">
          <cell r="B1921">
            <v>132</v>
          </cell>
          <cell r="I1921">
            <v>7.6</v>
          </cell>
        </row>
        <row r="1922">
          <cell r="B1922">
            <v>170</v>
          </cell>
          <cell r="I1922">
            <v>5.6</v>
          </cell>
        </row>
        <row r="1923">
          <cell r="B1923">
            <v>133</v>
          </cell>
          <cell r="I1923">
            <v>7</v>
          </cell>
        </row>
        <row r="1924">
          <cell r="B1924">
            <v>112</v>
          </cell>
          <cell r="I1924">
            <v>6.6</v>
          </cell>
        </row>
        <row r="1925">
          <cell r="B1925">
            <v>108</v>
          </cell>
          <cell r="I1925">
            <v>6.5</v>
          </cell>
        </row>
        <row r="1926">
          <cell r="B1926">
            <v>115</v>
          </cell>
          <cell r="I1926">
            <v>7.4</v>
          </cell>
        </row>
        <row r="1927">
          <cell r="B1927">
            <v>83</v>
          </cell>
          <cell r="I1927">
            <v>4.5999999999999996</v>
          </cell>
        </row>
        <row r="1928">
          <cell r="B1928">
            <v>105</v>
          </cell>
          <cell r="I1928">
            <v>6.4</v>
          </cell>
        </row>
        <row r="1929">
          <cell r="B1929">
            <v>96</v>
          </cell>
          <cell r="I1929">
            <v>5.9</v>
          </cell>
        </row>
        <row r="1930">
          <cell r="B1930">
            <v>94</v>
          </cell>
          <cell r="I1930">
            <v>6.4</v>
          </cell>
        </row>
        <row r="1931">
          <cell r="B1931">
            <v>142</v>
          </cell>
          <cell r="I1931">
            <v>6.6</v>
          </cell>
        </row>
        <row r="1932">
          <cell r="B1932">
            <v>104</v>
          </cell>
          <cell r="I1932">
            <v>6.9</v>
          </cell>
        </row>
        <row r="1933">
          <cell r="B1933">
            <v>106</v>
          </cell>
          <cell r="I1933">
            <v>5.8</v>
          </cell>
        </row>
        <row r="1934">
          <cell r="B1934">
            <v>106</v>
          </cell>
          <cell r="I1934">
            <v>6.4</v>
          </cell>
        </row>
        <row r="1935">
          <cell r="B1935">
            <v>98</v>
          </cell>
          <cell r="I1935">
            <v>5.3</v>
          </cell>
        </row>
        <row r="1936">
          <cell r="B1936">
            <v>100</v>
          </cell>
          <cell r="I1936">
            <v>6.5</v>
          </cell>
        </row>
        <row r="1937">
          <cell r="B1937">
            <v>95</v>
          </cell>
          <cell r="I1937">
            <v>5.7</v>
          </cell>
        </row>
        <row r="1938">
          <cell r="B1938">
            <v>107</v>
          </cell>
          <cell r="I1938">
            <v>6.7</v>
          </cell>
        </row>
        <row r="1939">
          <cell r="B1939">
            <v>104</v>
          </cell>
          <cell r="I1939">
            <v>3.9</v>
          </cell>
        </row>
        <row r="1940">
          <cell r="B1940">
            <v>104</v>
          </cell>
          <cell r="I1940">
            <v>4.0999999999999996</v>
          </cell>
        </row>
        <row r="1941">
          <cell r="B1941">
            <v>143</v>
          </cell>
          <cell r="I1941">
            <v>6.2</v>
          </cell>
        </row>
        <row r="1942">
          <cell r="B1942">
            <v>77</v>
          </cell>
          <cell r="I1942">
            <v>3.8</v>
          </cell>
        </row>
        <row r="1943">
          <cell r="B1943">
            <v>96</v>
          </cell>
          <cell r="I1943">
            <v>5.0999999999999996</v>
          </cell>
        </row>
        <row r="1944">
          <cell r="B1944">
            <v>145</v>
          </cell>
          <cell r="I1944">
            <v>7.8</v>
          </cell>
        </row>
        <row r="1945">
          <cell r="B1945">
            <v>116</v>
          </cell>
          <cell r="I1945">
            <v>7.8</v>
          </cell>
        </row>
        <row r="1946">
          <cell r="B1946">
            <v>100</v>
          </cell>
          <cell r="I1946">
            <v>6.1</v>
          </cell>
        </row>
        <row r="1947">
          <cell r="B1947">
            <v>104</v>
          </cell>
          <cell r="I1947">
            <v>5.8</v>
          </cell>
        </row>
        <row r="1948">
          <cell r="B1948">
            <v>92</v>
          </cell>
          <cell r="I1948">
            <v>6.3</v>
          </cell>
        </row>
        <row r="1949">
          <cell r="B1949">
            <v>105</v>
          </cell>
          <cell r="I1949">
            <v>5.4</v>
          </cell>
        </row>
        <row r="1950">
          <cell r="B1950">
            <v>120</v>
          </cell>
          <cell r="I1950">
            <v>7.3</v>
          </cell>
        </row>
        <row r="1951">
          <cell r="B1951">
            <v>116</v>
          </cell>
          <cell r="I1951">
            <v>6.8</v>
          </cell>
        </row>
        <row r="1952">
          <cell r="B1952">
            <v>119</v>
          </cell>
          <cell r="I1952">
            <v>7.3</v>
          </cell>
        </row>
        <row r="1953">
          <cell r="B1953">
            <v>101</v>
          </cell>
          <cell r="I1953">
            <v>6.5</v>
          </cell>
        </row>
        <row r="1954">
          <cell r="B1954">
            <v>117</v>
          </cell>
          <cell r="I1954">
            <v>7.2</v>
          </cell>
        </row>
        <row r="1955">
          <cell r="B1955">
            <v>112</v>
          </cell>
          <cell r="I1955">
            <v>6.3</v>
          </cell>
        </row>
        <row r="1956">
          <cell r="B1956">
            <v>136</v>
          </cell>
          <cell r="I1956">
            <v>5.9</v>
          </cell>
        </row>
        <row r="1957">
          <cell r="B1957">
            <v>81</v>
          </cell>
          <cell r="I1957">
            <v>7.8</v>
          </cell>
        </row>
        <row r="1958">
          <cell r="B1958">
            <v>87</v>
          </cell>
          <cell r="I1958">
            <v>7.4</v>
          </cell>
        </row>
        <row r="1959">
          <cell r="B1959">
            <v>96</v>
          </cell>
          <cell r="I1959">
            <v>4.8</v>
          </cell>
        </row>
        <row r="1960">
          <cell r="B1960">
            <v>106</v>
          </cell>
          <cell r="I1960">
            <v>6.3</v>
          </cell>
        </row>
        <row r="1961">
          <cell r="B1961">
            <v>122</v>
          </cell>
          <cell r="I1961">
            <v>7.8</v>
          </cell>
        </row>
        <row r="1962">
          <cell r="B1962">
            <v>123</v>
          </cell>
          <cell r="I1962">
            <v>7.5</v>
          </cell>
        </row>
        <row r="1963">
          <cell r="B1963">
            <v>92</v>
          </cell>
          <cell r="I1963">
            <v>6.8</v>
          </cell>
        </row>
        <row r="1964">
          <cell r="B1964">
            <v>110</v>
          </cell>
          <cell r="I1964">
            <v>6.6</v>
          </cell>
        </row>
        <row r="1965">
          <cell r="B1965">
            <v>104</v>
          </cell>
          <cell r="I1965">
            <v>4.5999999999999996</v>
          </cell>
        </row>
        <row r="1966">
          <cell r="B1966">
            <v>98</v>
          </cell>
          <cell r="I1966">
            <v>7.1</v>
          </cell>
        </row>
        <row r="1967">
          <cell r="B1967">
            <v>120</v>
          </cell>
          <cell r="I1967">
            <v>6.1</v>
          </cell>
        </row>
        <row r="1968">
          <cell r="B1968">
            <v>112</v>
          </cell>
          <cell r="I1968">
            <v>6.7</v>
          </cell>
        </row>
        <row r="1969">
          <cell r="B1969">
            <v>127</v>
          </cell>
          <cell r="I1969">
            <v>7.1</v>
          </cell>
        </row>
        <row r="1970">
          <cell r="B1970">
            <v>102</v>
          </cell>
          <cell r="I1970">
            <v>5.8</v>
          </cell>
        </row>
        <row r="1971">
          <cell r="B1971">
            <v>91</v>
          </cell>
          <cell r="I1971">
            <v>6.7</v>
          </cell>
        </row>
        <row r="1972">
          <cell r="B1972">
            <v>114</v>
          </cell>
          <cell r="I1972">
            <v>5.8</v>
          </cell>
        </row>
        <row r="1973">
          <cell r="B1973">
            <v>115</v>
          </cell>
          <cell r="I1973">
            <v>6.8</v>
          </cell>
        </row>
        <row r="1974">
          <cell r="B1974">
            <v>115</v>
          </cell>
          <cell r="I1974">
            <v>8.5</v>
          </cell>
        </row>
        <row r="1975">
          <cell r="B1975">
            <v>120</v>
          </cell>
          <cell r="I1975">
            <v>6.6</v>
          </cell>
        </row>
        <row r="1976">
          <cell r="B1976">
            <v>135</v>
          </cell>
          <cell r="I1976">
            <v>7.7</v>
          </cell>
        </row>
        <row r="1977">
          <cell r="B1977">
            <v>90</v>
          </cell>
          <cell r="I1977">
            <v>4.7</v>
          </cell>
        </row>
        <row r="1978">
          <cell r="B1978">
            <v>100</v>
          </cell>
          <cell r="I1978">
            <v>6.4</v>
          </cell>
        </row>
        <row r="1979">
          <cell r="B1979">
            <v>105</v>
          </cell>
          <cell r="I1979">
            <v>5.5</v>
          </cell>
        </row>
        <row r="1980">
          <cell r="B1980">
            <v>138</v>
          </cell>
          <cell r="I1980">
            <v>8.6</v>
          </cell>
        </row>
        <row r="1981">
          <cell r="B1981">
            <v>94</v>
          </cell>
          <cell r="I1981">
            <v>7</v>
          </cell>
        </row>
        <row r="1982">
          <cell r="B1982">
            <v>101</v>
          </cell>
          <cell r="I1982">
            <v>7.1</v>
          </cell>
        </row>
        <row r="1983">
          <cell r="B1983">
            <v>131</v>
          </cell>
          <cell r="I1983">
            <v>5.7</v>
          </cell>
        </row>
        <row r="1984">
          <cell r="B1984">
            <v>91</v>
          </cell>
          <cell r="I1984">
            <v>3.7</v>
          </cell>
        </row>
        <row r="1985">
          <cell r="B1985">
            <v>112</v>
          </cell>
          <cell r="I1985">
            <v>7.5</v>
          </cell>
        </row>
        <row r="1986">
          <cell r="B1986">
            <v>95</v>
          </cell>
          <cell r="I1986">
            <v>4.5999999999999996</v>
          </cell>
        </row>
        <row r="1987">
          <cell r="B1987">
            <v>100</v>
          </cell>
          <cell r="I1987">
            <v>4.9000000000000004</v>
          </cell>
        </row>
        <row r="1988">
          <cell r="B1988">
            <v>108</v>
          </cell>
          <cell r="I1988">
            <v>7.1</v>
          </cell>
        </row>
        <row r="1989">
          <cell r="B1989">
            <v>101</v>
          </cell>
          <cell r="I1989">
            <v>5.8</v>
          </cell>
        </row>
        <row r="1990">
          <cell r="B1990">
            <v>109</v>
          </cell>
          <cell r="I1990">
            <v>5.4</v>
          </cell>
        </row>
        <row r="1991">
          <cell r="B1991">
            <v>115</v>
          </cell>
          <cell r="I1991">
            <v>7.3</v>
          </cell>
        </row>
        <row r="1992">
          <cell r="B1992">
            <v>117</v>
          </cell>
          <cell r="I1992">
            <v>7.1</v>
          </cell>
        </row>
        <row r="1993">
          <cell r="B1993">
            <v>107</v>
          </cell>
          <cell r="I1993">
            <v>5.8</v>
          </cell>
        </row>
        <row r="1994">
          <cell r="B1994">
            <v>134</v>
          </cell>
          <cell r="I1994">
            <v>8.1</v>
          </cell>
        </row>
        <row r="1995">
          <cell r="B1995">
            <v>118</v>
          </cell>
          <cell r="I1995">
            <v>5.7</v>
          </cell>
        </row>
        <row r="1996">
          <cell r="B1996">
            <v>121</v>
          </cell>
          <cell r="I1996">
            <v>4.4000000000000004</v>
          </cell>
        </row>
        <row r="1997">
          <cell r="B1997">
            <v>105</v>
          </cell>
          <cell r="I1997">
            <v>7.9</v>
          </cell>
        </row>
        <row r="1998">
          <cell r="B1998">
            <v>110</v>
          </cell>
          <cell r="I1998">
            <v>7.6</v>
          </cell>
        </row>
        <row r="1999">
          <cell r="B1999">
            <v>114</v>
          </cell>
          <cell r="I1999">
            <v>4.8</v>
          </cell>
        </row>
        <row r="2000">
          <cell r="B2000">
            <v>100</v>
          </cell>
          <cell r="I2000">
            <v>6.7</v>
          </cell>
        </row>
        <row r="2001">
          <cell r="B2001">
            <v>85</v>
          </cell>
          <cell r="I2001">
            <v>2.7</v>
          </cell>
        </row>
        <row r="2002">
          <cell r="B2002">
            <v>72</v>
          </cell>
          <cell r="I2002">
            <v>5.8</v>
          </cell>
        </row>
        <row r="2003">
          <cell r="B2003">
            <v>128</v>
          </cell>
          <cell r="I2003">
            <v>7.5</v>
          </cell>
        </row>
        <row r="2004">
          <cell r="B2004">
            <v>72</v>
          </cell>
          <cell r="I2004">
            <v>5.4</v>
          </cell>
        </row>
        <row r="2005">
          <cell r="B2005">
            <v>89</v>
          </cell>
          <cell r="I2005">
            <v>4.0999999999999996</v>
          </cell>
        </row>
        <row r="2006">
          <cell r="B2006">
            <v>96</v>
          </cell>
          <cell r="I2006">
            <v>5.9</v>
          </cell>
        </row>
        <row r="2007">
          <cell r="B2007">
            <v>77</v>
          </cell>
          <cell r="I2007">
            <v>6.3</v>
          </cell>
        </row>
        <row r="2008">
          <cell r="B2008">
            <v>111</v>
          </cell>
          <cell r="I2008">
            <v>6.8</v>
          </cell>
        </row>
        <row r="2009">
          <cell r="B2009">
            <v>93</v>
          </cell>
          <cell r="I2009">
            <v>2.2999999999999998</v>
          </cell>
        </row>
        <row r="2010">
          <cell r="B2010">
            <v>128</v>
          </cell>
          <cell r="I2010">
            <v>8.1</v>
          </cell>
        </row>
        <row r="2011">
          <cell r="B2011">
            <v>110</v>
          </cell>
          <cell r="I2011">
            <v>6.1</v>
          </cell>
        </row>
        <row r="2012">
          <cell r="B2012">
            <v>137</v>
          </cell>
          <cell r="I2012">
            <v>5</v>
          </cell>
        </row>
        <row r="2013">
          <cell r="B2013">
            <v>124</v>
          </cell>
          <cell r="I2013">
            <v>5.5</v>
          </cell>
        </row>
        <row r="2014">
          <cell r="B2014">
            <v>93</v>
          </cell>
          <cell r="I2014">
            <v>6.2</v>
          </cell>
        </row>
        <row r="2015">
          <cell r="B2015">
            <v>115</v>
          </cell>
          <cell r="I2015">
            <v>6.2</v>
          </cell>
        </row>
        <row r="2016">
          <cell r="B2016">
            <v>105</v>
          </cell>
          <cell r="I2016">
            <v>6.3</v>
          </cell>
        </row>
        <row r="2017">
          <cell r="B2017">
            <v>127</v>
          </cell>
          <cell r="I2017">
            <v>6.7</v>
          </cell>
        </row>
        <row r="2018">
          <cell r="B2018">
            <v>82</v>
          </cell>
          <cell r="I2018">
            <v>3.5</v>
          </cell>
        </row>
        <row r="2019">
          <cell r="B2019">
            <v>143</v>
          </cell>
          <cell r="I2019">
            <v>7.5</v>
          </cell>
        </row>
        <row r="2020">
          <cell r="B2020">
            <v>103</v>
          </cell>
          <cell r="I2020">
            <v>6.6</v>
          </cell>
        </row>
        <row r="2021">
          <cell r="B2021">
            <v>104</v>
          </cell>
          <cell r="I2021">
            <v>7.5</v>
          </cell>
        </row>
        <row r="2022">
          <cell r="B2022">
            <v>98</v>
          </cell>
          <cell r="I2022">
            <v>7.2</v>
          </cell>
        </row>
        <row r="2023">
          <cell r="B2023">
            <v>92</v>
          </cell>
          <cell r="I2023">
            <v>4.8</v>
          </cell>
        </row>
        <row r="2024">
          <cell r="B2024">
            <v>123</v>
          </cell>
          <cell r="I2024">
            <v>6.6</v>
          </cell>
        </row>
        <row r="2025">
          <cell r="B2025">
            <v>88</v>
          </cell>
          <cell r="I2025">
            <v>3.5</v>
          </cell>
        </row>
        <row r="2026">
          <cell r="B2026">
            <v>128</v>
          </cell>
          <cell r="I2026">
            <v>7.6</v>
          </cell>
        </row>
        <row r="2027">
          <cell r="B2027">
            <v>107</v>
          </cell>
          <cell r="I2027">
            <v>6.3</v>
          </cell>
        </row>
        <row r="2028">
          <cell r="B2028">
            <v>91</v>
          </cell>
          <cell r="I2028">
            <v>5.5</v>
          </cell>
        </row>
        <row r="2029">
          <cell r="B2029">
            <v>90</v>
          </cell>
          <cell r="I2029">
            <v>6.3</v>
          </cell>
        </row>
        <row r="2030">
          <cell r="B2030">
            <v>115</v>
          </cell>
          <cell r="I2030">
            <v>6.5</v>
          </cell>
        </row>
        <row r="2031">
          <cell r="B2031">
            <v>113</v>
          </cell>
          <cell r="I2031">
            <v>6.9</v>
          </cell>
        </row>
        <row r="2032">
          <cell r="B2032">
            <v>113</v>
          </cell>
          <cell r="I2032">
            <v>7.6</v>
          </cell>
        </row>
        <row r="2033">
          <cell r="B2033">
            <v>87</v>
          </cell>
          <cell r="I2033">
            <v>3.9</v>
          </cell>
        </row>
        <row r="2034">
          <cell r="B2034">
            <v>101</v>
          </cell>
          <cell r="I2034">
            <v>6.1</v>
          </cell>
        </row>
        <row r="2035">
          <cell r="B2035">
            <v>111</v>
          </cell>
          <cell r="I2035">
            <v>7.3</v>
          </cell>
        </row>
        <row r="2036">
          <cell r="B2036">
            <v>108</v>
          </cell>
          <cell r="I2036">
            <v>8.3000000000000007</v>
          </cell>
        </row>
        <row r="2037">
          <cell r="B2037">
            <v>105</v>
          </cell>
          <cell r="I2037">
            <v>5.8</v>
          </cell>
        </row>
        <row r="2038">
          <cell r="B2038">
            <v>109</v>
          </cell>
          <cell r="I2038">
            <v>6.8</v>
          </cell>
        </row>
        <row r="2039">
          <cell r="B2039">
            <v>109</v>
          </cell>
          <cell r="I2039">
            <v>7</v>
          </cell>
        </row>
        <row r="2040">
          <cell r="B2040">
            <v>99</v>
          </cell>
          <cell r="I2040">
            <v>5.9</v>
          </cell>
        </row>
        <row r="2041">
          <cell r="B2041">
            <v>98</v>
          </cell>
          <cell r="I2041">
            <v>6.5</v>
          </cell>
        </row>
        <row r="2042">
          <cell r="B2042">
            <v>104</v>
          </cell>
          <cell r="I2042">
            <v>6.4</v>
          </cell>
        </row>
        <row r="2043">
          <cell r="B2043">
            <v>109</v>
          </cell>
          <cell r="I2043">
            <v>5.8</v>
          </cell>
        </row>
        <row r="2044">
          <cell r="B2044">
            <v>75</v>
          </cell>
          <cell r="I2044">
            <v>5.0999999999999996</v>
          </cell>
        </row>
        <row r="2045">
          <cell r="B2045">
            <v>119</v>
          </cell>
          <cell r="I2045">
            <v>6.8</v>
          </cell>
        </row>
        <row r="2046">
          <cell r="B2046">
            <v>90</v>
          </cell>
          <cell r="I2046">
            <v>5.3</v>
          </cell>
        </row>
        <row r="2047">
          <cell r="B2047">
            <v>97</v>
          </cell>
          <cell r="I2047">
            <v>5.3</v>
          </cell>
        </row>
        <row r="2048">
          <cell r="B2048">
            <v>89</v>
          </cell>
          <cell r="I2048">
            <v>4.9000000000000004</v>
          </cell>
        </row>
        <row r="2049">
          <cell r="B2049">
            <v>106</v>
          </cell>
          <cell r="I2049">
            <v>6.8</v>
          </cell>
        </row>
        <row r="2050">
          <cell r="B2050">
            <v>96</v>
          </cell>
          <cell r="I2050">
            <v>7.1</v>
          </cell>
        </row>
        <row r="2051">
          <cell r="B2051">
            <v>104</v>
          </cell>
          <cell r="I2051">
            <v>6.1</v>
          </cell>
        </row>
        <row r="2052">
          <cell r="B2052">
            <v>108</v>
          </cell>
          <cell r="I2052">
            <v>8.5</v>
          </cell>
        </row>
        <row r="2053">
          <cell r="B2053">
            <v>112</v>
          </cell>
          <cell r="I2053">
            <v>5.9</v>
          </cell>
        </row>
        <row r="2054">
          <cell r="B2054">
            <v>104</v>
          </cell>
          <cell r="I2054">
            <v>6.3</v>
          </cell>
        </row>
        <row r="2055">
          <cell r="B2055">
            <v>113</v>
          </cell>
          <cell r="I2055">
            <v>5.9</v>
          </cell>
        </row>
        <row r="2056">
          <cell r="B2056">
            <v>98</v>
          </cell>
          <cell r="I2056">
            <v>5.4</v>
          </cell>
        </row>
        <row r="2057">
          <cell r="B2057">
            <v>114</v>
          </cell>
          <cell r="I2057">
            <v>6.9</v>
          </cell>
        </row>
        <row r="2058">
          <cell r="B2058">
            <v>124</v>
          </cell>
          <cell r="I2058">
            <v>7.5</v>
          </cell>
        </row>
        <row r="2059">
          <cell r="B2059">
            <v>148</v>
          </cell>
          <cell r="I2059">
            <v>8.1999999999999993</v>
          </cell>
        </row>
        <row r="2060">
          <cell r="B2060">
            <v>108</v>
          </cell>
          <cell r="I2060">
            <v>5.9</v>
          </cell>
        </row>
        <row r="2061">
          <cell r="B2061">
            <v>95</v>
          </cell>
          <cell r="I2061">
            <v>5</v>
          </cell>
        </row>
        <row r="2062">
          <cell r="B2062">
            <v>108</v>
          </cell>
          <cell r="I2062">
            <v>7.3</v>
          </cell>
        </row>
        <row r="2063">
          <cell r="B2063">
            <v>68</v>
          </cell>
          <cell r="I2063">
            <v>6.4</v>
          </cell>
        </row>
        <row r="2064">
          <cell r="B2064">
            <v>103</v>
          </cell>
          <cell r="I2064">
            <v>6.6</v>
          </cell>
        </row>
        <row r="2065">
          <cell r="B2065">
            <v>99</v>
          </cell>
          <cell r="I2065">
            <v>7.8</v>
          </cell>
        </row>
        <row r="2066">
          <cell r="B2066">
            <v>88</v>
          </cell>
          <cell r="I2066">
            <v>4</v>
          </cell>
        </row>
        <row r="2067">
          <cell r="B2067">
            <v>128</v>
          </cell>
          <cell r="I2067">
            <v>7.6</v>
          </cell>
        </row>
        <row r="2068">
          <cell r="B2068">
            <v>124</v>
          </cell>
          <cell r="I2068">
            <v>7.7</v>
          </cell>
        </row>
        <row r="2069">
          <cell r="B2069">
            <v>84</v>
          </cell>
          <cell r="I2069">
            <v>5.8</v>
          </cell>
        </row>
        <row r="2070">
          <cell r="B2070">
            <v>101</v>
          </cell>
          <cell r="I2070">
            <v>5.6</v>
          </cell>
        </row>
        <row r="2071">
          <cell r="B2071">
            <v>98</v>
          </cell>
          <cell r="I2071">
            <v>5.3</v>
          </cell>
        </row>
        <row r="2072">
          <cell r="B2072">
            <v>225</v>
          </cell>
          <cell r="I2072">
            <v>6.6</v>
          </cell>
        </row>
        <row r="2073">
          <cell r="B2073">
            <v>88</v>
          </cell>
          <cell r="I2073">
            <v>1.9</v>
          </cell>
        </row>
        <row r="2074">
          <cell r="B2074">
            <v>88</v>
          </cell>
          <cell r="I2074">
            <v>5.7</v>
          </cell>
        </row>
        <row r="2075">
          <cell r="B2075">
            <v>94</v>
          </cell>
          <cell r="I2075">
            <v>6.6</v>
          </cell>
        </row>
        <row r="2076">
          <cell r="B2076">
            <v>117</v>
          </cell>
          <cell r="I2076">
            <v>6</v>
          </cell>
        </row>
        <row r="2077">
          <cell r="B2077">
            <v>95</v>
          </cell>
          <cell r="I2077">
            <v>6.1</v>
          </cell>
        </row>
        <row r="2078">
          <cell r="B2078">
            <v>99</v>
          </cell>
          <cell r="I2078">
            <v>4.8</v>
          </cell>
        </row>
        <row r="2079">
          <cell r="B2079">
            <v>96</v>
          </cell>
          <cell r="I2079">
            <v>6.2</v>
          </cell>
        </row>
        <row r="2080">
          <cell r="B2080">
            <v>98</v>
          </cell>
          <cell r="I2080">
            <v>7.5</v>
          </cell>
        </row>
        <row r="2081">
          <cell r="B2081">
            <v>123</v>
          </cell>
          <cell r="I2081">
            <v>6.3</v>
          </cell>
        </row>
        <row r="2082">
          <cell r="B2082">
            <v>101</v>
          </cell>
          <cell r="I2082">
            <v>7.1</v>
          </cell>
        </row>
        <row r="2083">
          <cell r="B2083">
            <v>102</v>
          </cell>
          <cell r="I2083">
            <v>6.6</v>
          </cell>
        </row>
        <row r="2084">
          <cell r="B2084">
            <v>94</v>
          </cell>
          <cell r="I2084">
            <v>6.1</v>
          </cell>
        </row>
        <row r="2085">
          <cell r="B2085">
            <v>102</v>
          </cell>
          <cell r="I2085">
            <v>6.7</v>
          </cell>
        </row>
        <row r="2086">
          <cell r="B2086">
            <v>108</v>
          </cell>
          <cell r="I2086">
            <v>5.6</v>
          </cell>
        </row>
        <row r="2087">
          <cell r="B2087">
            <v>116</v>
          </cell>
          <cell r="I2087">
            <v>7.2</v>
          </cell>
        </row>
        <row r="2088">
          <cell r="B2088">
            <v>93</v>
          </cell>
          <cell r="I2088">
            <v>4.3</v>
          </cell>
        </row>
        <row r="2089">
          <cell r="B2089">
            <v>102</v>
          </cell>
          <cell r="I2089">
            <v>6.4</v>
          </cell>
        </row>
        <row r="2090">
          <cell r="B2090">
            <v>103</v>
          </cell>
          <cell r="I2090">
            <v>7.1</v>
          </cell>
        </row>
        <row r="2091">
          <cell r="B2091">
            <v>115</v>
          </cell>
          <cell r="I2091">
            <v>6.3</v>
          </cell>
        </row>
        <row r="2092">
          <cell r="B2092">
            <v>96</v>
          </cell>
          <cell r="I2092">
            <v>7.4</v>
          </cell>
        </row>
        <row r="2093">
          <cell r="B2093">
            <v>98</v>
          </cell>
          <cell r="I2093">
            <v>6.1</v>
          </cell>
        </row>
        <row r="2094">
          <cell r="B2094">
            <v>101</v>
          </cell>
          <cell r="I2094">
            <v>6.6</v>
          </cell>
        </row>
        <row r="2095">
          <cell r="B2095">
            <v>106</v>
          </cell>
          <cell r="I2095">
            <v>6</v>
          </cell>
        </row>
        <row r="2096">
          <cell r="B2096">
            <v>101</v>
          </cell>
          <cell r="I2096">
            <v>6.8</v>
          </cell>
        </row>
        <row r="2097">
          <cell r="B2097">
            <v>111</v>
          </cell>
          <cell r="I2097">
            <v>6.8</v>
          </cell>
        </row>
        <row r="2098">
          <cell r="B2098">
            <v>99</v>
          </cell>
          <cell r="I2098">
            <v>7.2</v>
          </cell>
        </row>
        <row r="2099">
          <cell r="B2099">
            <v>88</v>
          </cell>
          <cell r="I2099">
            <v>1.9</v>
          </cell>
        </row>
        <row r="2100">
          <cell r="B2100">
            <v>83</v>
          </cell>
          <cell r="I2100">
            <v>5.5</v>
          </cell>
        </row>
        <row r="2101">
          <cell r="B2101">
            <v>91</v>
          </cell>
          <cell r="I2101">
            <v>4.5</v>
          </cell>
        </row>
        <row r="2102">
          <cell r="B2102">
            <v>108</v>
          </cell>
          <cell r="I2102">
            <v>6.3</v>
          </cell>
        </row>
        <row r="2103">
          <cell r="B2103">
            <v>148</v>
          </cell>
          <cell r="I2103">
            <v>6.7</v>
          </cell>
        </row>
        <row r="2104">
          <cell r="B2104">
            <v>77</v>
          </cell>
          <cell r="I2104">
            <v>2.8</v>
          </cell>
        </row>
        <row r="2105">
          <cell r="B2105">
            <v>110</v>
          </cell>
          <cell r="I2105">
            <v>5</v>
          </cell>
        </row>
        <row r="2106">
          <cell r="B2106">
            <v>83</v>
          </cell>
          <cell r="I2106">
            <v>4.3</v>
          </cell>
        </row>
        <row r="2107">
          <cell r="B2107">
            <v>107</v>
          </cell>
          <cell r="I2107">
            <v>5.6</v>
          </cell>
        </row>
        <row r="2108">
          <cell r="B2108">
            <v>100</v>
          </cell>
          <cell r="I2108">
            <v>6.2</v>
          </cell>
        </row>
        <row r="2109">
          <cell r="B2109">
            <v>87</v>
          </cell>
          <cell r="I2109">
            <v>5.3</v>
          </cell>
        </row>
        <row r="2110">
          <cell r="B2110">
            <v>154</v>
          </cell>
          <cell r="I2110">
            <v>7.4</v>
          </cell>
        </row>
        <row r="2111">
          <cell r="B2111">
            <v>106</v>
          </cell>
          <cell r="I2111">
            <v>7.4</v>
          </cell>
        </row>
        <row r="2112">
          <cell r="B2112">
            <v>99</v>
          </cell>
          <cell r="I2112">
            <v>6.5</v>
          </cell>
        </row>
        <row r="2113">
          <cell r="B2113">
            <v>100</v>
          </cell>
          <cell r="I2113">
            <v>7.1</v>
          </cell>
        </row>
        <row r="2114">
          <cell r="B2114">
            <v>116</v>
          </cell>
          <cell r="I2114">
            <v>7.2</v>
          </cell>
        </row>
        <row r="2115">
          <cell r="B2115">
            <v>94</v>
          </cell>
          <cell r="I2115">
            <v>2.2999999999999998</v>
          </cell>
        </row>
        <row r="2116">
          <cell r="B2116">
            <v>111</v>
          </cell>
          <cell r="I2116">
            <v>6.4</v>
          </cell>
        </row>
        <row r="2117">
          <cell r="B2117">
            <v>100</v>
          </cell>
          <cell r="I2117">
            <v>6.1</v>
          </cell>
        </row>
        <row r="2118">
          <cell r="B2118">
            <v>125</v>
          </cell>
          <cell r="I2118">
            <v>7</v>
          </cell>
        </row>
        <row r="2119">
          <cell r="B2119">
            <v>119</v>
          </cell>
          <cell r="I2119">
            <v>7</v>
          </cell>
        </row>
        <row r="2120">
          <cell r="B2120">
            <v>135</v>
          </cell>
          <cell r="I2120">
            <v>7</v>
          </cell>
        </row>
        <row r="2121">
          <cell r="B2121">
            <v>93</v>
          </cell>
          <cell r="I2121">
            <v>4.9000000000000004</v>
          </cell>
        </row>
        <row r="2122">
          <cell r="B2122">
            <v>114</v>
          </cell>
          <cell r="I2122">
            <v>6.9</v>
          </cell>
        </row>
        <row r="2123">
          <cell r="B2123">
            <v>124</v>
          </cell>
          <cell r="I2123">
            <v>7.5</v>
          </cell>
        </row>
        <row r="2124">
          <cell r="B2124">
            <v>134</v>
          </cell>
          <cell r="I2124">
            <v>8.4</v>
          </cell>
        </row>
        <row r="2125">
          <cell r="B2125">
            <v>114</v>
          </cell>
          <cell r="I2125">
            <v>6.9</v>
          </cell>
        </row>
        <row r="2126">
          <cell r="B2126">
            <v>124</v>
          </cell>
          <cell r="I2126">
            <v>4.5</v>
          </cell>
        </row>
        <row r="2127">
          <cell r="B2127">
            <v>104</v>
          </cell>
          <cell r="I2127">
            <v>7.4</v>
          </cell>
        </row>
        <row r="2128">
          <cell r="B2128">
            <v>118</v>
          </cell>
          <cell r="I2128">
            <v>7</v>
          </cell>
        </row>
        <row r="2129">
          <cell r="B2129">
            <v>80</v>
          </cell>
          <cell r="I2129">
            <v>2.8</v>
          </cell>
        </row>
        <row r="2130">
          <cell r="B2130">
            <v>107</v>
          </cell>
          <cell r="I2130">
            <v>7.5</v>
          </cell>
        </row>
        <row r="2131">
          <cell r="B2131">
            <v>125</v>
          </cell>
          <cell r="I2131">
            <v>7.1</v>
          </cell>
        </row>
        <row r="2132">
          <cell r="B2132">
            <v>115</v>
          </cell>
          <cell r="I2132">
            <v>6.4</v>
          </cell>
        </row>
        <row r="2133">
          <cell r="B2133">
            <v>88</v>
          </cell>
          <cell r="I2133">
            <v>6.7</v>
          </cell>
        </row>
        <row r="2134">
          <cell r="B2134">
            <v>122</v>
          </cell>
          <cell r="I2134">
            <v>5.3</v>
          </cell>
        </row>
        <row r="2135">
          <cell r="B2135">
            <v>103</v>
          </cell>
          <cell r="I2135">
            <v>6.9</v>
          </cell>
        </row>
        <row r="2136">
          <cell r="B2136">
            <v>101</v>
          </cell>
          <cell r="I2136">
            <v>6.2</v>
          </cell>
        </row>
        <row r="2137">
          <cell r="B2137">
            <v>107</v>
          </cell>
          <cell r="I2137">
            <v>6.4</v>
          </cell>
        </row>
        <row r="2138">
          <cell r="B2138">
            <v>118</v>
          </cell>
          <cell r="I2138">
            <v>6</v>
          </cell>
        </row>
        <row r="2139">
          <cell r="B2139">
            <v>107</v>
          </cell>
          <cell r="I2139">
            <v>5.0999999999999996</v>
          </cell>
        </row>
        <row r="2140">
          <cell r="B2140">
            <v>100</v>
          </cell>
          <cell r="I2140">
            <v>5.5</v>
          </cell>
        </row>
        <row r="2141">
          <cell r="B2141">
            <v>110</v>
          </cell>
          <cell r="I2141">
            <v>5.4</v>
          </cell>
        </row>
        <row r="2142">
          <cell r="B2142">
            <v>125</v>
          </cell>
          <cell r="I2142">
            <v>7.5</v>
          </cell>
        </row>
        <row r="2143">
          <cell r="B2143">
            <v>184</v>
          </cell>
          <cell r="I2143">
            <v>7.4</v>
          </cell>
        </row>
        <row r="2144">
          <cell r="B2144">
            <v>236</v>
          </cell>
          <cell r="I2144">
            <v>8</v>
          </cell>
        </row>
        <row r="2145">
          <cell r="B2145">
            <v>97</v>
          </cell>
          <cell r="I2145">
            <v>5.7</v>
          </cell>
        </row>
        <row r="2146">
          <cell r="B2146">
            <v>113</v>
          </cell>
          <cell r="I2146">
            <v>6.8</v>
          </cell>
        </row>
        <row r="2147">
          <cell r="B2147">
            <v>95</v>
          </cell>
          <cell r="I2147">
            <v>5.9</v>
          </cell>
        </row>
        <row r="2148">
          <cell r="B2148">
            <v>103</v>
          </cell>
          <cell r="I2148">
            <v>7.2</v>
          </cell>
        </row>
        <row r="2149">
          <cell r="B2149">
            <v>91</v>
          </cell>
          <cell r="I2149">
            <v>5.5</v>
          </cell>
        </row>
        <row r="2150">
          <cell r="B2150">
            <v>116</v>
          </cell>
          <cell r="I2150">
            <v>8.5</v>
          </cell>
        </row>
        <row r="2151">
          <cell r="B2151">
            <v>93</v>
          </cell>
          <cell r="I2151">
            <v>5.6</v>
          </cell>
        </row>
        <row r="2152">
          <cell r="B2152">
            <v>113</v>
          </cell>
          <cell r="I2152">
            <v>4.0999999999999996</v>
          </cell>
        </row>
        <row r="2153">
          <cell r="B2153">
            <v>101</v>
          </cell>
          <cell r="I2153">
            <v>6.1</v>
          </cell>
        </row>
        <row r="2154">
          <cell r="B2154">
            <v>95</v>
          </cell>
          <cell r="I2154">
            <v>5.4</v>
          </cell>
        </row>
        <row r="2155">
          <cell r="B2155">
            <v>109</v>
          </cell>
          <cell r="I2155">
            <v>7.1</v>
          </cell>
        </row>
        <row r="2156">
          <cell r="B2156">
            <v>85</v>
          </cell>
          <cell r="I2156">
            <v>3.6</v>
          </cell>
        </row>
        <row r="2157">
          <cell r="B2157">
            <v>101</v>
          </cell>
          <cell r="I2157">
            <v>6.5</v>
          </cell>
        </row>
        <row r="2158">
          <cell r="B2158">
            <v>125</v>
          </cell>
          <cell r="I2158">
            <v>8.6</v>
          </cell>
        </row>
        <row r="2159">
          <cell r="B2159">
            <v>132</v>
          </cell>
          <cell r="I2159">
            <v>7</v>
          </cell>
        </row>
        <row r="2160">
          <cell r="B2160">
            <v>131</v>
          </cell>
          <cell r="I2160">
            <v>7.6</v>
          </cell>
        </row>
        <row r="2161">
          <cell r="B2161">
            <v>129</v>
          </cell>
          <cell r="I2161">
            <v>6.5</v>
          </cell>
        </row>
        <row r="2162">
          <cell r="B2162">
            <v>100</v>
          </cell>
          <cell r="I2162">
            <v>6.4</v>
          </cell>
        </row>
        <row r="2163">
          <cell r="B2163">
            <v>97</v>
          </cell>
          <cell r="I2163">
            <v>6.3</v>
          </cell>
        </row>
        <row r="2164">
          <cell r="B2164">
            <v>92</v>
          </cell>
          <cell r="I2164">
            <v>5.7</v>
          </cell>
        </row>
        <row r="2165">
          <cell r="B2165">
            <v>116</v>
          </cell>
          <cell r="I2165">
            <v>6.3</v>
          </cell>
        </row>
        <row r="2166">
          <cell r="B2166">
            <v>90</v>
          </cell>
          <cell r="I2166">
            <v>6</v>
          </cell>
        </row>
        <row r="2167">
          <cell r="B2167">
            <v>81</v>
          </cell>
          <cell r="I2167">
            <v>7.7</v>
          </cell>
        </row>
        <row r="2168">
          <cell r="B2168">
            <v>97</v>
          </cell>
          <cell r="I2168">
            <v>6.2</v>
          </cell>
        </row>
        <row r="2169">
          <cell r="B2169">
            <v>118</v>
          </cell>
          <cell r="I2169">
            <v>7.7</v>
          </cell>
        </row>
        <row r="2170">
          <cell r="B2170">
            <v>100</v>
          </cell>
          <cell r="I2170">
            <v>6.4</v>
          </cell>
        </row>
        <row r="2171">
          <cell r="B2171">
            <v>97</v>
          </cell>
          <cell r="I2171">
            <v>6.4</v>
          </cell>
        </row>
        <row r="2172">
          <cell r="B2172">
            <v>114</v>
          </cell>
          <cell r="I2172">
            <v>6.9</v>
          </cell>
        </row>
        <row r="2173">
          <cell r="B2173">
            <v>130</v>
          </cell>
          <cell r="I2173">
            <v>7.3</v>
          </cell>
        </row>
        <row r="2174">
          <cell r="B2174">
            <v>82</v>
          </cell>
          <cell r="I2174">
            <v>7.3</v>
          </cell>
        </row>
        <row r="2175">
          <cell r="B2175">
            <v>96</v>
          </cell>
          <cell r="I2175">
            <v>6.2</v>
          </cell>
        </row>
        <row r="2176">
          <cell r="B2176">
            <v>105</v>
          </cell>
          <cell r="I2176">
            <v>6.6</v>
          </cell>
        </row>
        <row r="2177">
          <cell r="B2177">
            <v>122</v>
          </cell>
          <cell r="I2177">
            <v>6.7</v>
          </cell>
        </row>
        <row r="2178">
          <cell r="B2178">
            <v>88</v>
          </cell>
          <cell r="I2178">
            <v>5.7</v>
          </cell>
        </row>
        <row r="2179">
          <cell r="B2179">
            <v>110</v>
          </cell>
          <cell r="I2179">
            <v>3.1</v>
          </cell>
        </row>
        <row r="2180">
          <cell r="B2180">
            <v>103</v>
          </cell>
          <cell r="I2180">
            <v>6.3</v>
          </cell>
        </row>
        <row r="2181">
          <cell r="B2181">
            <v>106</v>
          </cell>
          <cell r="I2181">
            <v>5.7</v>
          </cell>
        </row>
        <row r="2182">
          <cell r="B2182">
            <v>98</v>
          </cell>
          <cell r="I2182">
            <v>7.1</v>
          </cell>
        </row>
        <row r="2183">
          <cell r="B2183">
            <v>68</v>
          </cell>
          <cell r="I2183">
            <v>7</v>
          </cell>
        </row>
        <row r="2184">
          <cell r="B2184">
            <v>94</v>
          </cell>
          <cell r="I2184">
            <v>6.1</v>
          </cell>
        </row>
        <row r="2185">
          <cell r="B2185">
            <v>99</v>
          </cell>
          <cell r="I2185">
            <v>6.6</v>
          </cell>
        </row>
        <row r="2186">
          <cell r="B2186">
            <v>107</v>
          </cell>
          <cell r="I2186">
            <v>7.8</v>
          </cell>
        </row>
        <row r="2187">
          <cell r="B2187">
            <v>180</v>
          </cell>
          <cell r="I2187">
            <v>8.3000000000000007</v>
          </cell>
        </row>
        <row r="2188">
          <cell r="B2188">
            <v>89</v>
          </cell>
          <cell r="I2188">
            <v>3.9</v>
          </cell>
        </row>
        <row r="2189">
          <cell r="B2189">
            <v>97</v>
          </cell>
          <cell r="I2189">
            <v>7</v>
          </cell>
        </row>
        <row r="2190">
          <cell r="B2190">
            <v>113</v>
          </cell>
          <cell r="I2190">
            <v>6.7</v>
          </cell>
        </row>
        <row r="2191">
          <cell r="B2191">
            <v>131</v>
          </cell>
          <cell r="I2191">
            <v>7.3</v>
          </cell>
        </row>
        <row r="2192">
          <cell r="B2192">
            <v>103</v>
          </cell>
          <cell r="I2192">
            <v>6.3</v>
          </cell>
        </row>
        <row r="2193">
          <cell r="B2193">
            <v>119</v>
          </cell>
          <cell r="I2193">
            <v>7.8</v>
          </cell>
        </row>
        <row r="2194">
          <cell r="B2194">
            <v>98</v>
          </cell>
          <cell r="I2194">
            <v>7.3</v>
          </cell>
        </row>
        <row r="2195">
          <cell r="B2195">
            <v>111</v>
          </cell>
          <cell r="I2195">
            <v>7.6</v>
          </cell>
        </row>
        <row r="2196">
          <cell r="B2196">
            <v>94</v>
          </cell>
          <cell r="I2196">
            <v>5.3</v>
          </cell>
        </row>
        <row r="2197">
          <cell r="B2197">
            <v>81</v>
          </cell>
          <cell r="I2197">
            <v>5.3</v>
          </cell>
        </row>
        <row r="2198">
          <cell r="B2198">
            <v>89</v>
          </cell>
          <cell r="I2198">
            <v>6.8</v>
          </cell>
        </row>
        <row r="2199">
          <cell r="B2199">
            <v>106</v>
          </cell>
          <cell r="I2199">
            <v>7.1</v>
          </cell>
        </row>
        <row r="2200">
          <cell r="B2200">
            <v>86</v>
          </cell>
          <cell r="I2200">
            <v>5.8</v>
          </cell>
        </row>
        <row r="2201">
          <cell r="B2201">
            <v>103</v>
          </cell>
          <cell r="I2201">
            <v>5.8</v>
          </cell>
        </row>
        <row r="2202">
          <cell r="B2202">
            <v>121</v>
          </cell>
          <cell r="I2202">
            <v>8.3000000000000007</v>
          </cell>
        </row>
        <row r="2203">
          <cell r="B2203">
            <v>109</v>
          </cell>
          <cell r="I2203">
            <v>5.6</v>
          </cell>
        </row>
        <row r="2204">
          <cell r="B2204">
            <v>109</v>
          </cell>
          <cell r="I2204">
            <v>6.8</v>
          </cell>
        </row>
        <row r="2205">
          <cell r="B2205">
            <v>123</v>
          </cell>
          <cell r="I2205">
            <v>5</v>
          </cell>
        </row>
        <row r="2206">
          <cell r="B2206">
            <v>94</v>
          </cell>
          <cell r="I2206">
            <v>7.6</v>
          </cell>
        </row>
        <row r="2207">
          <cell r="B2207">
            <v>94</v>
          </cell>
          <cell r="I2207">
            <v>6.7</v>
          </cell>
        </row>
        <row r="2208">
          <cell r="B2208">
            <v>115</v>
          </cell>
          <cell r="I2208">
            <v>6.7</v>
          </cell>
        </row>
        <row r="2209">
          <cell r="B2209">
            <v>107</v>
          </cell>
          <cell r="I2209">
            <v>5.7</v>
          </cell>
        </row>
        <row r="2210">
          <cell r="B2210">
            <v>91</v>
          </cell>
          <cell r="I2210">
            <v>5.2</v>
          </cell>
        </row>
        <row r="2211">
          <cell r="B2211">
            <v>125</v>
          </cell>
          <cell r="I2211">
            <v>7.5</v>
          </cell>
        </row>
        <row r="2212">
          <cell r="B2212">
            <v>122</v>
          </cell>
          <cell r="I2212">
            <v>7.2</v>
          </cell>
        </row>
        <row r="2213">
          <cell r="B2213">
            <v>102</v>
          </cell>
          <cell r="I2213">
            <v>5.3</v>
          </cell>
        </row>
        <row r="2214">
          <cell r="B2214">
            <v>90</v>
          </cell>
          <cell r="I2214">
            <v>6.5</v>
          </cell>
        </row>
        <row r="2215">
          <cell r="B2215">
            <v>98</v>
          </cell>
          <cell r="I2215">
            <v>5</v>
          </cell>
        </row>
        <row r="2216">
          <cell r="B2216">
            <v>109</v>
          </cell>
          <cell r="I2216">
            <v>6.1</v>
          </cell>
        </row>
        <row r="2217">
          <cell r="B2217">
            <v>90</v>
          </cell>
          <cell r="I2217">
            <v>4.4000000000000004</v>
          </cell>
        </row>
        <row r="2218">
          <cell r="B2218">
            <v>112</v>
          </cell>
          <cell r="I2218">
            <v>7.5</v>
          </cell>
        </row>
        <row r="2219">
          <cell r="B2219">
            <v>94</v>
          </cell>
          <cell r="I2219">
            <v>5.7</v>
          </cell>
        </row>
        <row r="2220">
          <cell r="B2220">
            <v>105</v>
          </cell>
          <cell r="I2220">
            <v>5.5</v>
          </cell>
        </row>
        <row r="2221">
          <cell r="B2221">
            <v>104</v>
          </cell>
          <cell r="I2221">
            <v>7.1</v>
          </cell>
        </row>
        <row r="2222">
          <cell r="B2222">
            <v>112</v>
          </cell>
          <cell r="I2222">
            <v>5.9</v>
          </cell>
        </row>
        <row r="2223">
          <cell r="B2223">
            <v>108</v>
          </cell>
          <cell r="I2223">
            <v>6.7</v>
          </cell>
        </row>
        <row r="2224">
          <cell r="B2224">
            <v>112</v>
          </cell>
          <cell r="I2224">
            <v>7</v>
          </cell>
        </row>
        <row r="2225">
          <cell r="B2225">
            <v>127</v>
          </cell>
          <cell r="I2225">
            <v>7.9</v>
          </cell>
        </row>
        <row r="2226">
          <cell r="B2226">
            <v>111</v>
          </cell>
          <cell r="I2226">
            <v>6.9</v>
          </cell>
        </row>
        <row r="2227">
          <cell r="B2227">
            <v>126</v>
          </cell>
          <cell r="I2227">
            <v>7.3</v>
          </cell>
        </row>
        <row r="2228">
          <cell r="B2228">
            <v>114</v>
          </cell>
          <cell r="I2228">
            <v>7.3</v>
          </cell>
        </row>
        <row r="2229">
          <cell r="B2229">
            <v>99</v>
          </cell>
          <cell r="I2229">
            <v>3.5</v>
          </cell>
        </row>
        <row r="2230">
          <cell r="B2230">
            <v>150</v>
          </cell>
          <cell r="I2230">
            <v>7.8</v>
          </cell>
        </row>
        <row r="2231">
          <cell r="B2231">
            <v>112</v>
          </cell>
          <cell r="I2231">
            <v>6.7</v>
          </cell>
        </row>
        <row r="2232">
          <cell r="B2232">
            <v>108</v>
          </cell>
          <cell r="I2232">
            <v>6.4</v>
          </cell>
        </row>
        <row r="2233">
          <cell r="B2233">
            <v>116</v>
          </cell>
          <cell r="I2233">
            <v>7.1</v>
          </cell>
        </row>
        <row r="2234">
          <cell r="B2234">
            <v>144</v>
          </cell>
          <cell r="I2234">
            <v>7.8</v>
          </cell>
        </row>
        <row r="2235">
          <cell r="B2235">
            <v>93</v>
          </cell>
          <cell r="I2235">
            <v>5.9</v>
          </cell>
        </row>
        <row r="2236">
          <cell r="B2236">
            <v>103</v>
          </cell>
          <cell r="I2236">
            <v>7.2</v>
          </cell>
        </row>
        <row r="2237">
          <cell r="B2237">
            <v>121</v>
          </cell>
          <cell r="I2237">
            <v>6.2</v>
          </cell>
        </row>
        <row r="2238">
          <cell r="B2238">
            <v>105</v>
          </cell>
          <cell r="I2238">
            <v>6.7</v>
          </cell>
        </row>
        <row r="2239">
          <cell r="B2239">
            <v>119</v>
          </cell>
          <cell r="I2239">
            <v>7.6</v>
          </cell>
        </row>
        <row r="2240">
          <cell r="B2240">
            <v>98</v>
          </cell>
          <cell r="I2240">
            <v>6.2</v>
          </cell>
        </row>
        <row r="2241">
          <cell r="B2241">
            <v>80</v>
          </cell>
          <cell r="I2241">
            <v>6.5</v>
          </cell>
        </row>
        <row r="2242">
          <cell r="B2242">
            <v>121</v>
          </cell>
          <cell r="I2242">
            <v>8.1</v>
          </cell>
        </row>
        <row r="2243">
          <cell r="B2243">
            <v>94</v>
          </cell>
          <cell r="I2243">
            <v>6.3</v>
          </cell>
        </row>
        <row r="2244">
          <cell r="B2244">
            <v>93</v>
          </cell>
          <cell r="I2244">
            <v>4.4000000000000004</v>
          </cell>
        </row>
        <row r="2245">
          <cell r="B2245">
            <v>116</v>
          </cell>
          <cell r="I2245">
            <v>6</v>
          </cell>
        </row>
        <row r="2246">
          <cell r="B2246">
            <v>101</v>
          </cell>
          <cell r="I2246">
            <v>7.6</v>
          </cell>
        </row>
        <row r="2247">
          <cell r="B2247">
            <v>154</v>
          </cell>
          <cell r="I2247">
            <v>8.4</v>
          </cell>
        </row>
        <row r="2248">
          <cell r="B2248">
            <v>170</v>
          </cell>
          <cell r="I2248">
            <v>7.9</v>
          </cell>
        </row>
        <row r="2249">
          <cell r="B2249">
            <v>99</v>
          </cell>
          <cell r="I2249">
            <v>5.6</v>
          </cell>
        </row>
        <row r="2250">
          <cell r="B2250">
            <v>104</v>
          </cell>
          <cell r="I2250">
            <v>6.5</v>
          </cell>
        </row>
        <row r="2251">
          <cell r="B2251">
            <v>126</v>
          </cell>
          <cell r="I2251">
            <v>7.5</v>
          </cell>
        </row>
        <row r="2252">
          <cell r="B2252">
            <v>110</v>
          </cell>
          <cell r="I2252">
            <v>6.3</v>
          </cell>
        </row>
        <row r="2253">
          <cell r="B2253">
            <v>101</v>
          </cell>
          <cell r="I2253">
            <v>7.9</v>
          </cell>
        </row>
        <row r="2254">
          <cell r="B2254">
            <v>87</v>
          </cell>
          <cell r="I2254">
            <v>5.0999999999999996</v>
          </cell>
        </row>
        <row r="2255">
          <cell r="B2255">
            <v>123</v>
          </cell>
          <cell r="I2255">
            <v>6.7</v>
          </cell>
        </row>
        <row r="2256">
          <cell r="B2256">
            <v>109</v>
          </cell>
          <cell r="I2256">
            <v>6.7</v>
          </cell>
        </row>
        <row r="2257">
          <cell r="B2257">
            <v>90</v>
          </cell>
          <cell r="I2257">
            <v>5.6</v>
          </cell>
        </row>
        <row r="2258">
          <cell r="B2258">
            <v>96</v>
          </cell>
          <cell r="I2258">
            <v>5.6</v>
          </cell>
        </row>
        <row r="2259">
          <cell r="B2259">
            <v>82</v>
          </cell>
          <cell r="I2259">
            <v>6.2</v>
          </cell>
        </row>
        <row r="2260">
          <cell r="B2260">
            <v>86</v>
          </cell>
          <cell r="I2260">
            <v>5.6</v>
          </cell>
        </row>
        <row r="2261">
          <cell r="B2261">
            <v>108</v>
          </cell>
          <cell r="I2261">
            <v>6.4</v>
          </cell>
        </row>
        <row r="2262">
          <cell r="B2262">
            <v>98</v>
          </cell>
          <cell r="I2262">
            <v>5.6</v>
          </cell>
        </row>
        <row r="2263">
          <cell r="B2263">
            <v>129</v>
          </cell>
          <cell r="I2263">
            <v>7.4</v>
          </cell>
        </row>
        <row r="2264">
          <cell r="B2264">
            <v>112</v>
          </cell>
          <cell r="I2264">
            <v>7.2</v>
          </cell>
        </row>
        <row r="2265">
          <cell r="B2265">
            <v>108</v>
          </cell>
          <cell r="I2265">
            <v>4.9000000000000004</v>
          </cell>
        </row>
        <row r="2266">
          <cell r="B2266">
            <v>121</v>
          </cell>
          <cell r="I2266">
            <v>7.5</v>
          </cell>
        </row>
        <row r="2267">
          <cell r="B2267">
            <v>89</v>
          </cell>
          <cell r="I2267">
            <v>4.8</v>
          </cell>
        </row>
        <row r="2268">
          <cell r="B2268">
            <v>89</v>
          </cell>
          <cell r="I2268">
            <v>3.1</v>
          </cell>
        </row>
        <row r="2269">
          <cell r="B2269">
            <v>73</v>
          </cell>
          <cell r="I2269">
            <v>5.8</v>
          </cell>
        </row>
        <row r="2270">
          <cell r="B2270">
            <v>132</v>
          </cell>
          <cell r="I2270">
            <v>6.7</v>
          </cell>
        </row>
        <row r="2271">
          <cell r="B2271">
            <v>96</v>
          </cell>
          <cell r="I2271">
            <v>6.5</v>
          </cell>
        </row>
        <row r="2272">
          <cell r="B2272">
            <v>98</v>
          </cell>
          <cell r="I2272">
            <v>5.9</v>
          </cell>
        </row>
        <row r="2273">
          <cell r="B2273">
            <v>107</v>
          </cell>
          <cell r="I2273">
            <v>5.5</v>
          </cell>
        </row>
        <row r="2274">
          <cell r="B2274">
            <v>134</v>
          </cell>
          <cell r="I2274">
            <v>3.6</v>
          </cell>
        </row>
        <row r="2275">
          <cell r="B2275">
            <v>122</v>
          </cell>
          <cell r="I2275">
            <v>7.4</v>
          </cell>
        </row>
        <row r="2276">
          <cell r="B2276">
            <v>97</v>
          </cell>
          <cell r="I2276">
            <v>3</v>
          </cell>
        </row>
        <row r="2277">
          <cell r="B2277">
            <v>110</v>
          </cell>
          <cell r="I2277">
            <v>7.6</v>
          </cell>
        </row>
        <row r="2278">
          <cell r="B2278">
            <v>102</v>
          </cell>
          <cell r="I2278">
            <v>6.4</v>
          </cell>
        </row>
        <row r="2279">
          <cell r="B2279">
            <v>98</v>
          </cell>
          <cell r="I2279">
            <v>6.9</v>
          </cell>
        </row>
        <row r="2280">
          <cell r="B2280">
            <v>120</v>
          </cell>
          <cell r="I2280">
            <v>6.6</v>
          </cell>
        </row>
        <row r="2281">
          <cell r="B2281">
            <v>160</v>
          </cell>
          <cell r="I2281">
            <v>5.5</v>
          </cell>
        </row>
        <row r="2282">
          <cell r="B2282">
            <v>83</v>
          </cell>
          <cell r="I2282">
            <v>4.0999999999999996</v>
          </cell>
        </row>
        <row r="2283">
          <cell r="B2283">
            <v>102</v>
          </cell>
          <cell r="I2283">
            <v>6.8</v>
          </cell>
        </row>
        <row r="2284">
          <cell r="B2284">
            <v>122</v>
          </cell>
          <cell r="I2284">
            <v>6.5</v>
          </cell>
        </row>
        <row r="2285">
          <cell r="B2285">
            <v>126</v>
          </cell>
          <cell r="I2285">
            <v>7.4</v>
          </cell>
        </row>
        <row r="2286">
          <cell r="B2286">
            <v>136</v>
          </cell>
          <cell r="I2286">
            <v>7.7</v>
          </cell>
        </row>
        <row r="2287">
          <cell r="B2287">
            <v>120</v>
          </cell>
          <cell r="I2287">
            <v>7.1</v>
          </cell>
        </row>
        <row r="2288">
          <cell r="B2288">
            <v>108</v>
          </cell>
          <cell r="I2288">
            <v>6.3</v>
          </cell>
        </row>
        <row r="2289">
          <cell r="B2289">
            <v>126</v>
          </cell>
          <cell r="I2289">
            <v>7.6</v>
          </cell>
        </row>
        <row r="2290">
          <cell r="B2290">
            <v>128</v>
          </cell>
          <cell r="I2290">
            <v>8</v>
          </cell>
        </row>
        <row r="2291">
          <cell r="B2291">
            <v>113</v>
          </cell>
          <cell r="I2291">
            <v>7.3</v>
          </cell>
        </row>
        <row r="2292">
          <cell r="B2292">
            <v>89</v>
          </cell>
          <cell r="I2292">
            <v>7.6</v>
          </cell>
        </row>
        <row r="2293">
          <cell r="B2293">
            <v>129</v>
          </cell>
          <cell r="I2293">
            <v>7.8</v>
          </cell>
        </row>
        <row r="2294">
          <cell r="B2294">
            <v>94</v>
          </cell>
          <cell r="I2294">
            <v>6.5</v>
          </cell>
        </row>
        <row r="2295">
          <cell r="B2295">
            <v>106</v>
          </cell>
          <cell r="I2295">
            <v>6.4</v>
          </cell>
        </row>
        <row r="2296">
          <cell r="B2296">
            <v>100</v>
          </cell>
          <cell r="I2296">
            <v>8</v>
          </cell>
        </row>
        <row r="2297">
          <cell r="B2297">
            <v>89</v>
          </cell>
          <cell r="I2297">
            <v>4.8</v>
          </cell>
        </row>
        <row r="2298">
          <cell r="B2298">
            <v>94</v>
          </cell>
          <cell r="I2298">
            <v>7.8</v>
          </cell>
        </row>
        <row r="2299">
          <cell r="B2299">
            <v>83</v>
          </cell>
          <cell r="I2299">
            <v>5.9</v>
          </cell>
        </row>
        <row r="2300">
          <cell r="B2300">
            <v>111</v>
          </cell>
          <cell r="I2300">
            <v>5.4</v>
          </cell>
        </row>
        <row r="2301">
          <cell r="B2301">
            <v>80</v>
          </cell>
          <cell r="I2301">
            <v>3.3</v>
          </cell>
        </row>
        <row r="2302">
          <cell r="B2302">
            <v>112</v>
          </cell>
          <cell r="I2302">
            <v>8.1999999999999993</v>
          </cell>
        </row>
        <row r="2303">
          <cell r="B2303">
            <v>94</v>
          </cell>
          <cell r="I2303">
            <v>5.4</v>
          </cell>
        </row>
        <row r="2304">
          <cell r="B2304">
            <v>130</v>
          </cell>
          <cell r="I2304">
            <v>6.4</v>
          </cell>
        </row>
        <row r="2305">
          <cell r="B2305">
            <v>91</v>
          </cell>
          <cell r="I2305">
            <v>4.8</v>
          </cell>
        </row>
        <row r="2306">
          <cell r="B2306">
            <v>91</v>
          </cell>
          <cell r="I2306">
            <v>5.9</v>
          </cell>
        </row>
        <row r="2307">
          <cell r="B2307">
            <v>110</v>
          </cell>
          <cell r="I2307">
            <v>5.5</v>
          </cell>
        </row>
        <row r="2308">
          <cell r="B2308">
            <v>121</v>
          </cell>
          <cell r="I2308">
            <v>7.9</v>
          </cell>
        </row>
        <row r="2309">
          <cell r="B2309">
            <v>114</v>
          </cell>
          <cell r="I2309">
            <v>4.9000000000000004</v>
          </cell>
        </row>
        <row r="2310">
          <cell r="B2310">
            <v>96</v>
          </cell>
          <cell r="I2310">
            <v>7.2</v>
          </cell>
        </row>
        <row r="2311">
          <cell r="B2311">
            <v>94</v>
          </cell>
          <cell r="I2311">
            <v>5.3</v>
          </cell>
        </row>
        <row r="2312">
          <cell r="B2312">
            <v>109</v>
          </cell>
          <cell r="I2312">
            <v>7.2</v>
          </cell>
        </row>
        <row r="2313">
          <cell r="B2313">
            <v>107</v>
          </cell>
          <cell r="I2313">
            <v>5.0999999999999996</v>
          </cell>
        </row>
        <row r="2314">
          <cell r="B2314">
            <v>96</v>
          </cell>
          <cell r="I2314">
            <v>5.6</v>
          </cell>
        </row>
        <row r="2315">
          <cell r="B2315">
            <v>88</v>
          </cell>
          <cell r="I2315">
            <v>7.6</v>
          </cell>
        </row>
        <row r="2316">
          <cell r="B2316">
            <v>113</v>
          </cell>
          <cell r="I2316">
            <v>7.2</v>
          </cell>
        </row>
        <row r="2317">
          <cell r="B2317">
            <v>101</v>
          </cell>
          <cell r="I2317">
            <v>5.7</v>
          </cell>
        </row>
        <row r="2318">
          <cell r="B2318">
            <v>105</v>
          </cell>
          <cell r="I2318">
            <v>5.2</v>
          </cell>
        </row>
        <row r="2319">
          <cell r="B2319">
            <v>125</v>
          </cell>
          <cell r="I2319">
            <v>7.7</v>
          </cell>
        </row>
        <row r="2320">
          <cell r="B2320">
            <v>100</v>
          </cell>
          <cell r="I2320">
            <v>7</v>
          </cell>
        </row>
        <row r="2321">
          <cell r="B2321">
            <v>112</v>
          </cell>
          <cell r="I2321">
            <v>6</v>
          </cell>
        </row>
        <row r="2322">
          <cell r="B2322">
            <v>112</v>
          </cell>
          <cell r="I2322">
            <v>6.6</v>
          </cell>
        </row>
        <row r="2323">
          <cell r="B2323">
            <v>95</v>
          </cell>
          <cell r="I2323">
            <v>6.8</v>
          </cell>
        </row>
        <row r="2324">
          <cell r="B2324">
            <v>110</v>
          </cell>
          <cell r="I2324">
            <v>7.2</v>
          </cell>
        </row>
        <row r="2325">
          <cell r="B2325">
            <v>118</v>
          </cell>
          <cell r="I2325">
            <v>7.2</v>
          </cell>
        </row>
        <row r="2326">
          <cell r="B2326">
            <v>97</v>
          </cell>
          <cell r="I2326">
            <v>2.8</v>
          </cell>
        </row>
        <row r="2327">
          <cell r="B2327">
            <v>120</v>
          </cell>
          <cell r="I2327">
            <v>6.6</v>
          </cell>
        </row>
        <row r="2328">
          <cell r="B2328">
            <v>135</v>
          </cell>
          <cell r="I2328">
            <v>6.7</v>
          </cell>
        </row>
        <row r="2329">
          <cell r="B2329">
            <v>101</v>
          </cell>
          <cell r="I2329">
            <v>7</v>
          </cell>
        </row>
        <row r="2330">
          <cell r="B2330">
            <v>92</v>
          </cell>
          <cell r="I2330">
            <v>4.4000000000000004</v>
          </cell>
        </row>
        <row r="2331">
          <cell r="B2331">
            <v>92</v>
          </cell>
          <cell r="I2331">
            <v>6.2</v>
          </cell>
        </row>
        <row r="2332">
          <cell r="B2332">
            <v>161</v>
          </cell>
          <cell r="I2332">
            <v>7.3</v>
          </cell>
        </row>
        <row r="2333">
          <cell r="B2333">
            <v>92</v>
          </cell>
          <cell r="I2333">
            <v>5.0999999999999996</v>
          </cell>
        </row>
        <row r="2334">
          <cell r="B2334">
            <v>122</v>
          </cell>
          <cell r="I2334">
            <v>6.6</v>
          </cell>
        </row>
        <row r="2335">
          <cell r="B2335">
            <v>91</v>
          </cell>
          <cell r="I2335">
            <v>4.5</v>
          </cell>
        </row>
        <row r="2336">
          <cell r="B2336">
            <v>93</v>
          </cell>
          <cell r="I2336">
            <v>5.9</v>
          </cell>
        </row>
        <row r="2337">
          <cell r="B2337">
            <v>94</v>
          </cell>
          <cell r="I2337">
            <v>6.6</v>
          </cell>
        </row>
        <row r="2338">
          <cell r="B2338">
            <v>95</v>
          </cell>
          <cell r="I2338">
            <v>6.5</v>
          </cell>
        </row>
        <row r="2339">
          <cell r="B2339">
            <v>105</v>
          </cell>
          <cell r="I2339">
            <v>7.3</v>
          </cell>
        </row>
        <row r="2340">
          <cell r="B2340">
            <v>103</v>
          </cell>
          <cell r="I2340">
            <v>7.5</v>
          </cell>
        </row>
        <row r="2341">
          <cell r="B2341">
            <v>102</v>
          </cell>
          <cell r="I2341">
            <v>5.9</v>
          </cell>
        </row>
        <row r="2342">
          <cell r="B2342">
            <v>116</v>
          </cell>
          <cell r="I2342">
            <v>7.4</v>
          </cell>
        </row>
        <row r="2343">
          <cell r="B2343">
            <v>110</v>
          </cell>
          <cell r="I2343">
            <v>6.9</v>
          </cell>
        </row>
        <row r="2344">
          <cell r="B2344">
            <v>120</v>
          </cell>
          <cell r="I2344">
            <v>7.9</v>
          </cell>
        </row>
        <row r="2345">
          <cell r="B2345">
            <v>122</v>
          </cell>
          <cell r="I2345">
            <v>8.4</v>
          </cell>
        </row>
        <row r="2346">
          <cell r="B2346">
            <v>118</v>
          </cell>
          <cell r="I2346">
            <v>8</v>
          </cell>
        </row>
        <row r="2347">
          <cell r="B2347">
            <v>107</v>
          </cell>
          <cell r="I2347">
            <v>6</v>
          </cell>
        </row>
        <row r="2348">
          <cell r="B2348">
            <v>102</v>
          </cell>
          <cell r="I2348">
            <v>6.8</v>
          </cell>
        </row>
        <row r="2349">
          <cell r="B2349">
            <v>154</v>
          </cell>
          <cell r="I2349">
            <v>7.8</v>
          </cell>
        </row>
        <row r="2350">
          <cell r="B2350">
            <v>114</v>
          </cell>
          <cell r="I2350">
            <v>8.1</v>
          </cell>
        </row>
        <row r="2351">
          <cell r="B2351">
            <v>109</v>
          </cell>
          <cell r="I2351">
            <v>6.1</v>
          </cell>
        </row>
        <row r="2352">
          <cell r="B2352">
            <v>94</v>
          </cell>
          <cell r="I2352">
            <v>6.2</v>
          </cell>
        </row>
        <row r="2353">
          <cell r="B2353">
            <v>100</v>
          </cell>
          <cell r="I2353">
            <v>6.2</v>
          </cell>
        </row>
        <row r="2354">
          <cell r="B2354">
            <v>98</v>
          </cell>
          <cell r="I2354">
            <v>7.4</v>
          </cell>
        </row>
        <row r="2355">
          <cell r="B2355">
            <v>102</v>
          </cell>
          <cell r="I2355">
            <v>6.6</v>
          </cell>
        </row>
        <row r="2356">
          <cell r="B2356">
            <v>94</v>
          </cell>
          <cell r="I2356">
            <v>7.3</v>
          </cell>
        </row>
        <row r="2357">
          <cell r="B2357">
            <v>92</v>
          </cell>
          <cell r="I2357">
            <v>7.5</v>
          </cell>
        </row>
        <row r="2358">
          <cell r="B2358">
            <v>113</v>
          </cell>
          <cell r="I2358">
            <v>5.6</v>
          </cell>
        </row>
        <row r="2359">
          <cell r="B2359">
            <v>115</v>
          </cell>
          <cell r="I2359">
            <v>7.3</v>
          </cell>
        </row>
        <row r="2360">
          <cell r="B2360">
            <v>95</v>
          </cell>
          <cell r="I2360">
            <v>6.4</v>
          </cell>
        </row>
        <row r="2361">
          <cell r="B2361">
            <v>87</v>
          </cell>
          <cell r="I2361">
            <v>5</v>
          </cell>
        </row>
        <row r="2362">
          <cell r="B2362">
            <v>88</v>
          </cell>
          <cell r="I2362">
            <v>5.4</v>
          </cell>
        </row>
        <row r="2363">
          <cell r="B2363">
            <v>97</v>
          </cell>
          <cell r="I2363">
            <v>7.1</v>
          </cell>
        </row>
        <row r="2364">
          <cell r="B2364">
            <v>94</v>
          </cell>
          <cell r="I2364">
            <v>5.3</v>
          </cell>
        </row>
        <row r="2365">
          <cell r="B2365">
            <v>112</v>
          </cell>
          <cell r="I2365">
            <v>6.5</v>
          </cell>
        </row>
        <row r="2366">
          <cell r="B2366">
            <v>98</v>
          </cell>
          <cell r="I2366">
            <v>6.2</v>
          </cell>
        </row>
        <row r="2367">
          <cell r="B2367">
            <v>104</v>
          </cell>
          <cell r="I2367">
            <v>6.4</v>
          </cell>
        </row>
        <row r="2368">
          <cell r="B2368">
            <v>120</v>
          </cell>
          <cell r="I2368">
            <v>6.9</v>
          </cell>
        </row>
        <row r="2369">
          <cell r="B2369">
            <v>99</v>
          </cell>
          <cell r="I2369">
            <v>5.7</v>
          </cell>
        </row>
        <row r="2370">
          <cell r="B2370">
            <v>109</v>
          </cell>
          <cell r="I2370">
            <v>7.7</v>
          </cell>
        </row>
        <row r="2371">
          <cell r="B2371">
            <v>106</v>
          </cell>
          <cell r="I2371">
            <v>5.6</v>
          </cell>
        </row>
        <row r="2372">
          <cell r="B2372">
            <v>123</v>
          </cell>
          <cell r="I2372">
            <v>7.7</v>
          </cell>
        </row>
        <row r="2373">
          <cell r="B2373">
            <v>86</v>
          </cell>
          <cell r="I2373">
            <v>5.0999999999999996</v>
          </cell>
        </row>
        <row r="2374">
          <cell r="B2374">
            <v>120</v>
          </cell>
          <cell r="I2374">
            <v>6.8</v>
          </cell>
        </row>
        <row r="2375">
          <cell r="B2375">
            <v>227</v>
          </cell>
          <cell r="I2375">
            <v>8.4</v>
          </cell>
        </row>
        <row r="2376">
          <cell r="B2376">
            <v>119</v>
          </cell>
          <cell r="I2376">
            <v>4.9000000000000004</v>
          </cell>
        </row>
        <row r="2377">
          <cell r="B2377">
            <v>115</v>
          </cell>
          <cell r="I2377">
            <v>7.1</v>
          </cell>
        </row>
        <row r="2378">
          <cell r="B2378">
            <v>114</v>
          </cell>
          <cell r="I2378">
            <v>6.6</v>
          </cell>
        </row>
        <row r="2379">
          <cell r="B2379">
            <v>90</v>
          </cell>
          <cell r="I2379">
            <v>6.1</v>
          </cell>
        </row>
        <row r="2380">
          <cell r="B2380">
            <v>94</v>
          </cell>
          <cell r="I2380">
            <v>4.0999999999999996</v>
          </cell>
        </row>
        <row r="2381">
          <cell r="B2381">
            <v>98</v>
          </cell>
          <cell r="I2381">
            <v>8.1</v>
          </cell>
        </row>
        <row r="2382">
          <cell r="B2382">
            <v>126</v>
          </cell>
          <cell r="I2382">
            <v>7.6</v>
          </cell>
        </row>
        <row r="2383">
          <cell r="B2383">
            <v>100</v>
          </cell>
          <cell r="I2383">
            <v>7.8</v>
          </cell>
        </row>
        <row r="2384">
          <cell r="B2384">
            <v>89</v>
          </cell>
          <cell r="I2384">
            <v>4.5999999999999996</v>
          </cell>
        </row>
        <row r="2385">
          <cell r="B2385">
            <v>111</v>
          </cell>
          <cell r="I2385">
            <v>6</v>
          </cell>
        </row>
        <row r="2386">
          <cell r="B2386">
            <v>100</v>
          </cell>
          <cell r="I2386">
            <v>7</v>
          </cell>
        </row>
        <row r="2387">
          <cell r="B2387">
            <v>115</v>
          </cell>
          <cell r="I2387">
            <v>6.7</v>
          </cell>
        </row>
        <row r="2388">
          <cell r="B2388">
            <v>106</v>
          </cell>
          <cell r="I2388">
            <v>6.4</v>
          </cell>
        </row>
        <row r="2389">
          <cell r="B2389">
            <v>124</v>
          </cell>
          <cell r="I2389">
            <v>7.2</v>
          </cell>
        </row>
        <row r="2390">
          <cell r="B2390">
            <v>107</v>
          </cell>
          <cell r="I2390">
            <v>7.4</v>
          </cell>
        </row>
        <row r="2391">
          <cell r="B2391">
            <v>99</v>
          </cell>
          <cell r="I2391">
            <v>4.8</v>
          </cell>
        </row>
        <row r="2392">
          <cell r="B2392">
            <v>90</v>
          </cell>
          <cell r="I2392">
            <v>4</v>
          </cell>
        </row>
        <row r="2393">
          <cell r="B2393">
            <v>101</v>
          </cell>
          <cell r="I2393">
            <v>6.2</v>
          </cell>
        </row>
        <row r="2394">
          <cell r="B2394">
            <v>119</v>
          </cell>
          <cell r="I2394">
            <v>7.7</v>
          </cell>
        </row>
        <row r="2395">
          <cell r="B2395">
            <v>103</v>
          </cell>
          <cell r="I2395">
            <v>6.7</v>
          </cell>
        </row>
        <row r="2396">
          <cell r="B2396">
            <v>134</v>
          </cell>
          <cell r="I2396">
            <v>7.9</v>
          </cell>
        </row>
        <row r="2397">
          <cell r="B2397">
            <v>155</v>
          </cell>
          <cell r="I2397">
            <v>7.9</v>
          </cell>
        </row>
        <row r="2398">
          <cell r="B2398">
            <v>94</v>
          </cell>
          <cell r="I2398">
            <v>5.5</v>
          </cell>
        </row>
        <row r="2399">
          <cell r="B2399">
            <v>95</v>
          </cell>
          <cell r="I2399">
            <v>6.2</v>
          </cell>
        </row>
        <row r="2400">
          <cell r="B2400">
            <v>89</v>
          </cell>
          <cell r="I2400">
            <v>5.0999999999999996</v>
          </cell>
        </row>
        <row r="2401">
          <cell r="B2401">
            <v>97</v>
          </cell>
          <cell r="I2401">
            <v>4.0999999999999996</v>
          </cell>
        </row>
        <row r="2402">
          <cell r="B2402">
            <v>90</v>
          </cell>
          <cell r="I2402">
            <v>6.7</v>
          </cell>
        </row>
        <row r="2403">
          <cell r="B2403">
            <v>92</v>
          </cell>
          <cell r="I2403">
            <v>4.7</v>
          </cell>
        </row>
        <row r="2404">
          <cell r="B2404">
            <v>100</v>
          </cell>
          <cell r="I2404">
            <v>6.4</v>
          </cell>
        </row>
        <row r="2405">
          <cell r="B2405">
            <v>117</v>
          </cell>
          <cell r="I2405">
            <v>6.3</v>
          </cell>
        </row>
        <row r="2406">
          <cell r="B2406">
            <v>84</v>
          </cell>
          <cell r="I2406">
            <v>5.5</v>
          </cell>
        </row>
        <row r="2407">
          <cell r="B2407">
            <v>140</v>
          </cell>
          <cell r="I2407">
            <v>7.3</v>
          </cell>
        </row>
        <row r="2408">
          <cell r="B2408">
            <v>108</v>
          </cell>
          <cell r="I2408">
            <v>6.3</v>
          </cell>
        </row>
        <row r="2409">
          <cell r="B2409">
            <v>109</v>
          </cell>
          <cell r="I2409">
            <v>4.9000000000000004</v>
          </cell>
        </row>
        <row r="2410">
          <cell r="B2410">
            <v>131</v>
          </cell>
          <cell r="I2410">
            <v>7.6</v>
          </cell>
        </row>
        <row r="2411">
          <cell r="B2411">
            <v>114</v>
          </cell>
          <cell r="I2411">
            <v>6</v>
          </cell>
        </row>
        <row r="2412">
          <cell r="B2412">
            <v>97</v>
          </cell>
          <cell r="I2412">
            <v>6.2</v>
          </cell>
        </row>
        <row r="2413">
          <cell r="B2413">
            <v>122</v>
          </cell>
          <cell r="I2413">
            <v>6.8</v>
          </cell>
        </row>
        <row r="2414">
          <cell r="B2414">
            <v>87</v>
          </cell>
          <cell r="I2414">
            <v>4.5</v>
          </cell>
        </row>
        <row r="2415">
          <cell r="B2415">
            <v>85</v>
          </cell>
          <cell r="I2415">
            <v>5.7</v>
          </cell>
        </row>
        <row r="2416">
          <cell r="B2416">
            <v>101</v>
          </cell>
          <cell r="I2416">
            <v>4.5999999999999996</v>
          </cell>
        </row>
        <row r="2417">
          <cell r="B2417">
            <v>121</v>
          </cell>
          <cell r="I2417">
            <v>6.2</v>
          </cell>
        </row>
        <row r="2418">
          <cell r="B2418">
            <v>107</v>
          </cell>
          <cell r="I2418">
            <v>7</v>
          </cell>
        </row>
        <row r="2419">
          <cell r="B2419">
            <v>111</v>
          </cell>
          <cell r="I2419">
            <v>6.9</v>
          </cell>
        </row>
        <row r="2420">
          <cell r="B2420">
            <v>97</v>
          </cell>
          <cell r="I2420">
            <v>6.7</v>
          </cell>
        </row>
        <row r="2421">
          <cell r="B2421">
            <v>97</v>
          </cell>
          <cell r="I2421">
            <v>5.6</v>
          </cell>
        </row>
        <row r="2422">
          <cell r="B2422">
            <v>125</v>
          </cell>
          <cell r="I2422">
            <v>6.6</v>
          </cell>
        </row>
        <row r="2423">
          <cell r="B2423">
            <v>124</v>
          </cell>
          <cell r="I2423">
            <v>6.4</v>
          </cell>
        </row>
        <row r="2424">
          <cell r="B2424">
            <v>76</v>
          </cell>
          <cell r="I2424">
            <v>2.8</v>
          </cell>
        </row>
        <row r="2425">
          <cell r="B2425">
            <v>107</v>
          </cell>
          <cell r="I2425">
            <v>5.4</v>
          </cell>
        </row>
        <row r="2426">
          <cell r="B2426">
            <v>91</v>
          </cell>
          <cell r="I2426">
            <v>5</v>
          </cell>
        </row>
        <row r="2427">
          <cell r="B2427">
            <v>96</v>
          </cell>
          <cell r="I2427">
            <v>5.0999999999999996</v>
          </cell>
        </row>
        <row r="2428">
          <cell r="B2428">
            <v>142</v>
          </cell>
          <cell r="I2428">
            <v>8</v>
          </cell>
        </row>
        <row r="2429">
          <cell r="B2429">
            <v>103</v>
          </cell>
          <cell r="I2429">
            <v>5.9</v>
          </cell>
        </row>
        <row r="2430">
          <cell r="B2430">
            <v>117</v>
          </cell>
          <cell r="I2430">
            <v>8.1999999999999993</v>
          </cell>
        </row>
        <row r="2431">
          <cell r="B2431">
            <v>116</v>
          </cell>
          <cell r="I2431">
            <v>7</v>
          </cell>
        </row>
        <row r="2432">
          <cell r="B2432">
            <v>118</v>
          </cell>
          <cell r="I2432">
            <v>6.6</v>
          </cell>
        </row>
        <row r="2433">
          <cell r="B2433">
            <v>108</v>
          </cell>
          <cell r="I2433">
            <v>6.7</v>
          </cell>
        </row>
        <row r="2434">
          <cell r="B2434">
            <v>94</v>
          </cell>
          <cell r="I2434">
            <v>5.5</v>
          </cell>
        </row>
        <row r="2435">
          <cell r="B2435">
            <v>97</v>
          </cell>
          <cell r="I2435">
            <v>4.9000000000000004</v>
          </cell>
        </row>
        <row r="2436">
          <cell r="B2436">
            <v>97</v>
          </cell>
          <cell r="I2436">
            <v>6.9</v>
          </cell>
        </row>
        <row r="2437">
          <cell r="B2437">
            <v>91</v>
          </cell>
          <cell r="I2437">
            <v>5.6</v>
          </cell>
        </row>
        <row r="2438">
          <cell r="B2438">
            <v>107</v>
          </cell>
          <cell r="I2438">
            <v>8</v>
          </cell>
        </row>
        <row r="2439">
          <cell r="B2439">
            <v>95</v>
          </cell>
          <cell r="I2439">
            <v>5.3</v>
          </cell>
        </row>
        <row r="2440">
          <cell r="B2440">
            <v>102</v>
          </cell>
          <cell r="I2440">
            <v>6.2</v>
          </cell>
        </row>
        <row r="2441">
          <cell r="B2441">
            <v>88</v>
          </cell>
          <cell r="I2441">
            <v>5.3</v>
          </cell>
        </row>
        <row r="2442">
          <cell r="B2442">
            <v>106</v>
          </cell>
          <cell r="I2442">
            <v>6.6</v>
          </cell>
        </row>
        <row r="2443">
          <cell r="B2443">
            <v>92</v>
          </cell>
          <cell r="I2443">
            <v>7.2</v>
          </cell>
        </row>
        <row r="2444">
          <cell r="B2444">
            <v>105</v>
          </cell>
          <cell r="I2444">
            <v>4.5999999999999996</v>
          </cell>
        </row>
        <row r="2445">
          <cell r="B2445">
            <v>107</v>
          </cell>
          <cell r="I2445">
            <v>7.5</v>
          </cell>
        </row>
        <row r="2446">
          <cell r="B2446">
            <v>120</v>
          </cell>
          <cell r="I2446">
            <v>6.5</v>
          </cell>
        </row>
        <row r="2447">
          <cell r="B2447">
            <v>103</v>
          </cell>
          <cell r="I2447">
            <v>7.6</v>
          </cell>
        </row>
        <row r="2448">
          <cell r="B2448">
            <v>92</v>
          </cell>
          <cell r="I2448">
            <v>6.2</v>
          </cell>
        </row>
        <row r="2449">
          <cell r="B2449">
            <v>147</v>
          </cell>
          <cell r="I2449">
            <v>8</v>
          </cell>
        </row>
        <row r="2450">
          <cell r="B2450">
            <v>98</v>
          </cell>
          <cell r="I2450">
            <v>6.3</v>
          </cell>
        </row>
        <row r="2451">
          <cell r="B2451">
            <v>103</v>
          </cell>
          <cell r="I2451">
            <v>7.2</v>
          </cell>
        </row>
        <row r="2452">
          <cell r="B2452">
            <v>111</v>
          </cell>
          <cell r="I2452">
            <v>6.7</v>
          </cell>
        </row>
        <row r="2453">
          <cell r="B2453">
            <v>98</v>
          </cell>
          <cell r="I2453">
            <v>5.3</v>
          </cell>
        </row>
        <row r="2454">
          <cell r="B2454">
            <v>111</v>
          </cell>
          <cell r="I2454">
            <v>6.3</v>
          </cell>
        </row>
        <row r="2455">
          <cell r="B2455">
            <v>111</v>
          </cell>
          <cell r="I2455">
            <v>6.5</v>
          </cell>
        </row>
        <row r="2456">
          <cell r="B2456">
            <v>145</v>
          </cell>
          <cell r="I2456">
            <v>8.3000000000000007</v>
          </cell>
        </row>
        <row r="2457">
          <cell r="B2457">
            <v>84</v>
          </cell>
          <cell r="I2457">
            <v>7.2</v>
          </cell>
        </row>
        <row r="2458">
          <cell r="B2458">
            <v>115</v>
          </cell>
          <cell r="I2458">
            <v>6.8</v>
          </cell>
        </row>
        <row r="2459">
          <cell r="B2459">
            <v>105</v>
          </cell>
          <cell r="I2459">
            <v>6.4</v>
          </cell>
        </row>
        <row r="2460">
          <cell r="B2460">
            <v>98</v>
          </cell>
          <cell r="I2460">
            <v>6.9</v>
          </cell>
        </row>
        <row r="2461">
          <cell r="B2461">
            <v>110</v>
          </cell>
          <cell r="I2461">
            <v>6.2</v>
          </cell>
        </row>
        <row r="2462">
          <cell r="B2462">
            <v>103</v>
          </cell>
          <cell r="I2462">
            <v>6.1</v>
          </cell>
        </row>
        <row r="2463">
          <cell r="B2463">
            <v>90</v>
          </cell>
          <cell r="I2463">
            <v>5.0999999999999996</v>
          </cell>
        </row>
        <row r="2464">
          <cell r="B2464">
            <v>105</v>
          </cell>
          <cell r="I2464">
            <v>4.5</v>
          </cell>
        </row>
        <row r="2465">
          <cell r="B2465">
            <v>93</v>
          </cell>
          <cell r="I2465">
            <v>5.9</v>
          </cell>
        </row>
        <row r="2466">
          <cell r="B2466">
            <v>101</v>
          </cell>
          <cell r="I2466">
            <v>8.1</v>
          </cell>
        </row>
        <row r="2467">
          <cell r="B2467">
            <v>115</v>
          </cell>
          <cell r="I2467">
            <v>5.7</v>
          </cell>
        </row>
        <row r="2468">
          <cell r="B2468">
            <v>120</v>
          </cell>
          <cell r="I2468">
            <v>6.8</v>
          </cell>
        </row>
        <row r="2469">
          <cell r="B2469">
            <v>111</v>
          </cell>
          <cell r="I2469">
            <v>7.5</v>
          </cell>
        </row>
        <row r="2470">
          <cell r="B2470">
            <v>131</v>
          </cell>
          <cell r="I2470">
            <v>8.3000000000000007</v>
          </cell>
        </row>
        <row r="2471">
          <cell r="B2471">
            <v>139</v>
          </cell>
          <cell r="I2471">
            <v>7.4</v>
          </cell>
        </row>
        <row r="2472">
          <cell r="B2472">
            <v>120</v>
          </cell>
          <cell r="I2472">
            <v>8</v>
          </cell>
        </row>
        <row r="2473">
          <cell r="B2473">
            <v>119</v>
          </cell>
          <cell r="I2473">
            <v>6.9</v>
          </cell>
        </row>
        <row r="2474">
          <cell r="B2474">
            <v>125</v>
          </cell>
          <cell r="I2474">
            <v>6.9</v>
          </cell>
        </row>
        <row r="2475">
          <cell r="B2475">
            <v>108</v>
          </cell>
          <cell r="I2475">
            <v>5.5</v>
          </cell>
        </row>
        <row r="2476">
          <cell r="B2476">
            <v>145</v>
          </cell>
          <cell r="I2476">
            <v>7.2</v>
          </cell>
        </row>
        <row r="2477">
          <cell r="B2477">
            <v>98</v>
          </cell>
          <cell r="I2477">
            <v>6.9</v>
          </cell>
        </row>
        <row r="2478">
          <cell r="B2478">
            <v>101</v>
          </cell>
          <cell r="I2478">
            <v>5.5</v>
          </cell>
        </row>
        <row r="2479">
          <cell r="B2479">
            <v>109</v>
          </cell>
          <cell r="I2479">
            <v>5.2</v>
          </cell>
        </row>
        <row r="2480">
          <cell r="B2480">
            <v>123</v>
          </cell>
          <cell r="I2480">
            <v>7.1</v>
          </cell>
        </row>
        <row r="2481">
          <cell r="B2481">
            <v>99</v>
          </cell>
          <cell r="I2481">
            <v>5.5</v>
          </cell>
        </row>
        <row r="2482">
          <cell r="B2482">
            <v>107</v>
          </cell>
          <cell r="I2482">
            <v>6.7</v>
          </cell>
        </row>
        <row r="2483">
          <cell r="B2483">
            <v>81</v>
          </cell>
          <cell r="I2483">
            <v>5</v>
          </cell>
        </row>
        <row r="2484">
          <cell r="B2484">
            <v>105</v>
          </cell>
          <cell r="I2484">
            <v>6.4</v>
          </cell>
        </row>
        <row r="2485">
          <cell r="B2485">
            <v>82</v>
          </cell>
          <cell r="I2485">
            <v>6.6</v>
          </cell>
        </row>
        <row r="2486">
          <cell r="B2486">
            <v>109</v>
          </cell>
          <cell r="I2486">
            <v>5.9</v>
          </cell>
        </row>
        <row r="2487">
          <cell r="B2487">
            <v>95</v>
          </cell>
          <cell r="I2487">
            <v>5.7</v>
          </cell>
        </row>
        <row r="2488">
          <cell r="B2488">
            <v>100</v>
          </cell>
          <cell r="I2488">
            <v>4.5</v>
          </cell>
        </row>
        <row r="2489">
          <cell r="B2489">
            <v>91</v>
          </cell>
          <cell r="I2489">
            <v>5</v>
          </cell>
        </row>
        <row r="2490">
          <cell r="B2490">
            <v>90</v>
          </cell>
          <cell r="I2490">
            <v>4.5999999999999996</v>
          </cell>
        </row>
        <row r="2491">
          <cell r="B2491">
            <v>108</v>
          </cell>
          <cell r="I2491">
            <v>6.5</v>
          </cell>
        </row>
        <row r="2492">
          <cell r="B2492">
            <v>103</v>
          </cell>
          <cell r="I2492">
            <v>4.9000000000000004</v>
          </cell>
        </row>
        <row r="2493">
          <cell r="B2493">
            <v>96</v>
          </cell>
          <cell r="I2493">
            <v>6</v>
          </cell>
        </row>
        <row r="2494">
          <cell r="B2494">
            <v>117</v>
          </cell>
          <cell r="I2494">
            <v>6.9</v>
          </cell>
        </row>
        <row r="2495">
          <cell r="B2495">
            <v>93</v>
          </cell>
          <cell r="I2495">
            <v>5.7</v>
          </cell>
        </row>
        <row r="2496">
          <cell r="B2496">
            <v>115</v>
          </cell>
          <cell r="I2496">
            <v>6.9</v>
          </cell>
        </row>
        <row r="2497">
          <cell r="B2497">
            <v>85</v>
          </cell>
          <cell r="I2497">
            <v>4.4000000000000004</v>
          </cell>
        </row>
        <row r="2498">
          <cell r="B2498">
            <v>112</v>
          </cell>
          <cell r="I2498">
            <v>7</v>
          </cell>
        </row>
        <row r="2499">
          <cell r="B2499">
            <v>86</v>
          </cell>
          <cell r="I2499">
            <v>5.4</v>
          </cell>
        </row>
        <row r="2500">
          <cell r="B2500">
            <v>86</v>
          </cell>
          <cell r="I2500">
            <v>5.4</v>
          </cell>
        </row>
        <row r="2501">
          <cell r="B2501">
            <v>137</v>
          </cell>
          <cell r="I2501">
            <v>7.6</v>
          </cell>
        </row>
        <row r="2502">
          <cell r="B2502">
            <v>90</v>
          </cell>
          <cell r="I2502">
            <v>5.9</v>
          </cell>
        </row>
        <row r="2503">
          <cell r="B2503">
            <v>107</v>
          </cell>
          <cell r="I2503">
            <v>6.6</v>
          </cell>
        </row>
        <row r="2504">
          <cell r="B2504">
            <v>98</v>
          </cell>
          <cell r="I2504">
            <v>6.7</v>
          </cell>
        </row>
        <row r="2505">
          <cell r="B2505">
            <v>84</v>
          </cell>
          <cell r="I2505">
            <v>3.9</v>
          </cell>
        </row>
        <row r="2506">
          <cell r="B2506">
            <v>139</v>
          </cell>
          <cell r="I2506">
            <v>5.7</v>
          </cell>
        </row>
        <row r="2507">
          <cell r="B2507">
            <v>127</v>
          </cell>
          <cell r="I2507">
            <v>6.5</v>
          </cell>
        </row>
        <row r="2508">
          <cell r="B2508">
            <v>150</v>
          </cell>
          <cell r="I2508">
            <v>6.8</v>
          </cell>
        </row>
        <row r="2509">
          <cell r="B2509">
            <v>132</v>
          </cell>
          <cell r="I2509">
            <v>7.3</v>
          </cell>
        </row>
        <row r="2510">
          <cell r="B2510">
            <v>115</v>
          </cell>
          <cell r="I2510">
            <v>7</v>
          </cell>
        </row>
        <row r="2511">
          <cell r="B2511">
            <v>186</v>
          </cell>
          <cell r="I2511">
            <v>6.5</v>
          </cell>
        </row>
        <row r="2512">
          <cell r="B2512">
            <v>90</v>
          </cell>
          <cell r="I2512">
            <v>7.7</v>
          </cell>
        </row>
        <row r="2513">
          <cell r="B2513">
            <v>134</v>
          </cell>
          <cell r="I2513">
            <v>7.7</v>
          </cell>
        </row>
        <row r="2514">
          <cell r="B2514">
            <v>97</v>
          </cell>
          <cell r="I2514">
            <v>6.8</v>
          </cell>
        </row>
        <row r="2515">
          <cell r="B2515">
            <v>107</v>
          </cell>
          <cell r="I2515">
            <v>7.4</v>
          </cell>
        </row>
        <row r="2516">
          <cell r="B2516">
            <v>99</v>
          </cell>
          <cell r="I2516">
            <v>5.0999999999999996</v>
          </cell>
        </row>
        <row r="2517">
          <cell r="B2517">
            <v>124</v>
          </cell>
          <cell r="I2517">
            <v>7.4</v>
          </cell>
        </row>
        <row r="2518">
          <cell r="B2518">
            <v>110</v>
          </cell>
          <cell r="I2518">
            <v>7.2</v>
          </cell>
        </row>
        <row r="2519">
          <cell r="B2519">
            <v>178</v>
          </cell>
          <cell r="I2519">
            <v>8.3000000000000007</v>
          </cell>
        </row>
        <row r="2520">
          <cell r="B2520">
            <v>125</v>
          </cell>
          <cell r="I2520">
            <v>8.1</v>
          </cell>
        </row>
        <row r="2521">
          <cell r="B2521">
            <v>121</v>
          </cell>
          <cell r="I2521">
            <v>7.3</v>
          </cell>
        </row>
        <row r="2522">
          <cell r="B2522">
            <v>100</v>
          </cell>
          <cell r="I2522">
            <v>3.6</v>
          </cell>
        </row>
        <row r="2523">
          <cell r="B2523">
            <v>115</v>
          </cell>
          <cell r="I2523">
            <v>1.6</v>
          </cell>
        </row>
        <row r="2524">
          <cell r="B2524">
            <v>108</v>
          </cell>
          <cell r="I2524">
            <v>8</v>
          </cell>
        </row>
        <row r="2525">
          <cell r="B2525">
            <v>220</v>
          </cell>
          <cell r="I2525">
            <v>9</v>
          </cell>
        </row>
        <row r="2526">
          <cell r="B2526">
            <v>112</v>
          </cell>
          <cell r="I2526">
            <v>6.1</v>
          </cell>
        </row>
        <row r="2527">
          <cell r="B2527">
            <v>99</v>
          </cell>
          <cell r="I2527">
            <v>5.7</v>
          </cell>
        </row>
        <row r="2528">
          <cell r="B2528">
            <v>109</v>
          </cell>
          <cell r="I2528">
            <v>6.8</v>
          </cell>
        </row>
        <row r="2529">
          <cell r="B2529">
            <v>83</v>
          </cell>
          <cell r="I2529">
            <v>5.5</v>
          </cell>
        </row>
        <row r="2530">
          <cell r="B2530">
            <v>107</v>
          </cell>
          <cell r="I2530">
            <v>6.8</v>
          </cell>
        </row>
        <row r="2531">
          <cell r="B2531">
            <v>102</v>
          </cell>
          <cell r="I2531">
            <v>7.3</v>
          </cell>
        </row>
        <row r="2532">
          <cell r="B2532">
            <v>100</v>
          </cell>
          <cell r="I2532">
            <v>6.1</v>
          </cell>
        </row>
        <row r="2533">
          <cell r="B2533">
            <v>97</v>
          </cell>
          <cell r="I2533">
            <v>7.2</v>
          </cell>
        </row>
        <row r="2534">
          <cell r="B2534">
            <v>92</v>
          </cell>
          <cell r="I2534">
            <v>5.9</v>
          </cell>
        </row>
        <row r="2535">
          <cell r="B2535">
            <v>84</v>
          </cell>
          <cell r="I2535">
            <v>6.1</v>
          </cell>
        </row>
        <row r="2536">
          <cell r="B2536">
            <v>86</v>
          </cell>
          <cell r="I2536">
            <v>6.8</v>
          </cell>
        </row>
        <row r="2537">
          <cell r="B2537">
            <v>120</v>
          </cell>
          <cell r="I2537">
            <v>7.7</v>
          </cell>
        </row>
        <row r="2538">
          <cell r="B2538">
            <v>89</v>
          </cell>
          <cell r="I2538">
            <v>4.9000000000000004</v>
          </cell>
        </row>
        <row r="2539">
          <cell r="B2539">
            <v>117</v>
          </cell>
          <cell r="I2539">
            <v>6.1</v>
          </cell>
        </row>
        <row r="2540">
          <cell r="B2540">
            <v>97</v>
          </cell>
          <cell r="I2540">
            <v>2.5</v>
          </cell>
        </row>
        <row r="2541">
          <cell r="B2541">
            <v>91</v>
          </cell>
          <cell r="I2541">
            <v>6.1</v>
          </cell>
        </row>
        <row r="2542">
          <cell r="B2542">
            <v>100</v>
          </cell>
          <cell r="I2542">
            <v>5.9</v>
          </cell>
        </row>
        <row r="2543">
          <cell r="B2543">
            <v>72</v>
          </cell>
          <cell r="I2543">
            <v>5.7</v>
          </cell>
        </row>
        <row r="2544">
          <cell r="B2544">
            <v>84</v>
          </cell>
          <cell r="I2544">
            <v>5.6</v>
          </cell>
        </row>
        <row r="2545">
          <cell r="B2545">
            <v>126</v>
          </cell>
          <cell r="I2545">
            <v>7.2</v>
          </cell>
        </row>
        <row r="2546">
          <cell r="B2546">
            <v>108</v>
          </cell>
          <cell r="I2546">
            <v>7.7</v>
          </cell>
        </row>
        <row r="2547">
          <cell r="B2547">
            <v>112</v>
          </cell>
          <cell r="I2547">
            <v>7.8</v>
          </cell>
        </row>
        <row r="2548">
          <cell r="B2548">
            <v>90</v>
          </cell>
          <cell r="I2548">
            <v>6.1</v>
          </cell>
        </row>
        <row r="2549">
          <cell r="B2549">
            <v>91</v>
          </cell>
          <cell r="I2549">
            <v>5.8</v>
          </cell>
        </row>
        <row r="2550">
          <cell r="B2550">
            <v>135</v>
          </cell>
          <cell r="I2550">
            <v>6.5</v>
          </cell>
        </row>
        <row r="2551">
          <cell r="B2551">
            <v>141</v>
          </cell>
          <cell r="I2551">
            <v>7.9</v>
          </cell>
        </row>
        <row r="2552">
          <cell r="B2552">
            <v>104</v>
          </cell>
          <cell r="I2552">
            <v>6.3</v>
          </cell>
        </row>
        <row r="2553">
          <cell r="B2553">
            <v>84</v>
          </cell>
          <cell r="I2553">
            <v>3.8</v>
          </cell>
        </row>
        <row r="2554">
          <cell r="B2554">
            <v>118</v>
          </cell>
          <cell r="I2554">
            <v>8.3000000000000007</v>
          </cell>
        </row>
        <row r="2555">
          <cell r="B2555">
            <v>82</v>
          </cell>
          <cell r="I2555">
            <v>6.4</v>
          </cell>
        </row>
        <row r="2556">
          <cell r="B2556">
            <v>95</v>
          </cell>
          <cell r="I2556">
            <v>6.7</v>
          </cell>
        </row>
        <row r="2557">
          <cell r="B2557">
            <v>94</v>
          </cell>
          <cell r="I2557">
            <v>6.1</v>
          </cell>
        </row>
        <row r="2558">
          <cell r="B2558">
            <v>99</v>
          </cell>
          <cell r="I2558">
            <v>6</v>
          </cell>
        </row>
        <row r="2559">
          <cell r="B2559">
            <v>121</v>
          </cell>
          <cell r="I2559">
            <v>5.8</v>
          </cell>
        </row>
        <row r="2560">
          <cell r="B2560">
            <v>84</v>
          </cell>
          <cell r="I2560">
            <v>5.6</v>
          </cell>
        </row>
        <row r="2561">
          <cell r="B2561">
            <v>93</v>
          </cell>
          <cell r="I2561">
            <v>6.1</v>
          </cell>
        </row>
        <row r="2562">
          <cell r="B2562">
            <v>93</v>
          </cell>
          <cell r="I2562">
            <v>5.9</v>
          </cell>
        </row>
        <row r="2563">
          <cell r="B2563">
            <v>120</v>
          </cell>
          <cell r="I2563">
            <v>7.3</v>
          </cell>
        </row>
        <row r="2564">
          <cell r="B2564">
            <v>112</v>
          </cell>
          <cell r="I2564">
            <v>6.8</v>
          </cell>
        </row>
        <row r="2565">
          <cell r="B2565">
            <v>107</v>
          </cell>
          <cell r="I2565">
            <v>5.7</v>
          </cell>
        </row>
        <row r="2566">
          <cell r="B2566">
            <v>112</v>
          </cell>
          <cell r="I2566">
            <v>7.3</v>
          </cell>
        </row>
        <row r="2567">
          <cell r="B2567">
            <v>96</v>
          </cell>
          <cell r="I2567">
            <v>6.3</v>
          </cell>
        </row>
        <row r="2568">
          <cell r="B2568">
            <v>91</v>
          </cell>
          <cell r="I2568">
            <v>5.9</v>
          </cell>
        </row>
        <row r="2569">
          <cell r="B2569">
            <v>125</v>
          </cell>
          <cell r="I2569">
            <v>7.1</v>
          </cell>
        </row>
        <row r="2570">
          <cell r="B2570">
            <v>102</v>
          </cell>
          <cell r="I2570">
            <v>8</v>
          </cell>
        </row>
        <row r="2571">
          <cell r="B2571">
            <v>87</v>
          </cell>
          <cell r="I2571">
            <v>5.0999999999999996</v>
          </cell>
        </row>
        <row r="2572">
          <cell r="B2572">
            <v>118</v>
          </cell>
          <cell r="I2572">
            <v>7.1</v>
          </cell>
        </row>
        <row r="2573">
          <cell r="B2573">
            <v>115</v>
          </cell>
          <cell r="I2573">
            <v>6.5</v>
          </cell>
        </row>
        <row r="2574">
          <cell r="B2574">
            <v>91</v>
          </cell>
          <cell r="I2574">
            <v>4.5</v>
          </cell>
        </row>
        <row r="2575">
          <cell r="B2575">
            <v>88</v>
          </cell>
          <cell r="I2575">
            <v>6.6</v>
          </cell>
        </row>
        <row r="2576">
          <cell r="B2576">
            <v>127</v>
          </cell>
          <cell r="I2576">
            <v>4.3</v>
          </cell>
        </row>
        <row r="2577">
          <cell r="B2577">
            <v>94</v>
          </cell>
          <cell r="I2577">
            <v>6.7</v>
          </cell>
        </row>
        <row r="2578">
          <cell r="B2578">
            <v>115</v>
          </cell>
          <cell r="I2578">
            <v>6.8</v>
          </cell>
        </row>
        <row r="2579">
          <cell r="B2579">
            <v>90</v>
          </cell>
          <cell r="I2579">
            <v>5.4</v>
          </cell>
        </row>
        <row r="2580">
          <cell r="B2580">
            <v>102</v>
          </cell>
          <cell r="I2580">
            <v>6.6</v>
          </cell>
        </row>
        <row r="2581">
          <cell r="B2581">
            <v>117</v>
          </cell>
          <cell r="I2581">
            <v>7.3</v>
          </cell>
        </row>
        <row r="2582">
          <cell r="B2582">
            <v>109</v>
          </cell>
          <cell r="I2582">
            <v>6.9</v>
          </cell>
        </row>
        <row r="2583">
          <cell r="B2583">
            <v>121</v>
          </cell>
          <cell r="I2583">
            <v>8</v>
          </cell>
        </row>
        <row r="2584">
          <cell r="B2584">
            <v>100</v>
          </cell>
          <cell r="I2584">
            <v>7.8</v>
          </cell>
        </row>
        <row r="2585">
          <cell r="B2585">
            <v>109</v>
          </cell>
          <cell r="I2585">
            <v>6.1</v>
          </cell>
        </row>
        <row r="2586">
          <cell r="B2586">
            <v>101</v>
          </cell>
          <cell r="I2586">
            <v>5.0999999999999996</v>
          </cell>
        </row>
        <row r="2587">
          <cell r="B2587">
            <v>106</v>
          </cell>
          <cell r="I2587">
            <v>7.4</v>
          </cell>
        </row>
        <row r="2588">
          <cell r="B2588">
            <v>94</v>
          </cell>
          <cell r="I2588">
            <v>7.8</v>
          </cell>
        </row>
        <row r="2589">
          <cell r="B2589">
            <v>140</v>
          </cell>
          <cell r="I2589">
            <v>8</v>
          </cell>
        </row>
        <row r="2590">
          <cell r="B2590">
            <v>132</v>
          </cell>
          <cell r="I2590">
            <v>6.7</v>
          </cell>
        </row>
        <row r="2591">
          <cell r="B2591">
            <v>99</v>
          </cell>
          <cell r="I2591">
            <v>6.6</v>
          </cell>
        </row>
        <row r="2592">
          <cell r="B2592">
            <v>90</v>
          </cell>
          <cell r="I2592">
            <v>6.4</v>
          </cell>
        </row>
        <row r="2593">
          <cell r="B2593">
            <v>105</v>
          </cell>
          <cell r="I2593">
            <v>6.7</v>
          </cell>
        </row>
        <row r="2594">
          <cell r="B2594">
            <v>108</v>
          </cell>
          <cell r="I2594">
            <v>6.2</v>
          </cell>
        </row>
        <row r="2595">
          <cell r="B2595">
            <v>69</v>
          </cell>
          <cell r="I2595">
            <v>7.3</v>
          </cell>
        </row>
        <row r="2596">
          <cell r="B2596">
            <v>148</v>
          </cell>
          <cell r="I2596">
            <v>8.1</v>
          </cell>
        </row>
        <row r="2597">
          <cell r="B2597">
            <v>118</v>
          </cell>
          <cell r="I2597">
            <v>7</v>
          </cell>
        </row>
        <row r="2598">
          <cell r="B2598">
            <v>132</v>
          </cell>
          <cell r="I2598">
            <v>8</v>
          </cell>
        </row>
        <row r="2599">
          <cell r="B2599">
            <v>130</v>
          </cell>
          <cell r="I2599">
            <v>8</v>
          </cell>
        </row>
        <row r="2600">
          <cell r="B2600">
            <v>95</v>
          </cell>
          <cell r="I2600">
            <v>7</v>
          </cell>
        </row>
        <row r="2601">
          <cell r="B2601">
            <v>80</v>
          </cell>
          <cell r="I2601">
            <v>7.9</v>
          </cell>
        </row>
        <row r="2602">
          <cell r="B2602">
            <v>94</v>
          </cell>
          <cell r="I2602">
            <v>5.9</v>
          </cell>
        </row>
        <row r="2603">
          <cell r="B2603">
            <v>122</v>
          </cell>
          <cell r="I2603">
            <v>6.6</v>
          </cell>
        </row>
        <row r="2604">
          <cell r="B2604">
            <v>102</v>
          </cell>
          <cell r="I2604">
            <v>6.3</v>
          </cell>
        </row>
        <row r="2605">
          <cell r="B2605">
            <v>116</v>
          </cell>
          <cell r="I2605">
            <v>7.7</v>
          </cell>
        </row>
        <row r="2606">
          <cell r="B2606">
            <v>78</v>
          </cell>
          <cell r="I2606">
            <v>6.9</v>
          </cell>
        </row>
        <row r="2607">
          <cell r="B2607">
            <v>114</v>
          </cell>
          <cell r="I2607">
            <v>7.1</v>
          </cell>
        </row>
        <row r="2608">
          <cell r="B2608">
            <v>112</v>
          </cell>
          <cell r="I2608">
            <v>7.4</v>
          </cell>
        </row>
        <row r="2609">
          <cell r="B2609">
            <v>110</v>
          </cell>
          <cell r="I2609">
            <v>6.5</v>
          </cell>
        </row>
        <row r="2610">
          <cell r="B2610">
            <v>104</v>
          </cell>
          <cell r="I2610">
            <v>6.5</v>
          </cell>
        </row>
        <row r="2611">
          <cell r="B2611">
            <v>81</v>
          </cell>
          <cell r="I2611">
            <v>6.8</v>
          </cell>
        </row>
        <row r="2612">
          <cell r="B2612">
            <v>154</v>
          </cell>
          <cell r="I2612">
            <v>7.5</v>
          </cell>
        </row>
        <row r="2613">
          <cell r="B2613">
            <v>102</v>
          </cell>
          <cell r="I2613">
            <v>6.6</v>
          </cell>
        </row>
        <row r="2614">
          <cell r="B2614">
            <v>89</v>
          </cell>
          <cell r="I2614">
            <v>7.1</v>
          </cell>
        </row>
        <row r="2615">
          <cell r="B2615">
            <v>132</v>
          </cell>
          <cell r="I2615">
            <v>6.6</v>
          </cell>
        </row>
        <row r="2616">
          <cell r="B2616">
            <v>103</v>
          </cell>
          <cell r="I2616">
            <v>7</v>
          </cell>
        </row>
        <row r="2617">
          <cell r="B2617">
            <v>93</v>
          </cell>
          <cell r="I2617">
            <v>3.3</v>
          </cell>
        </row>
        <row r="2618">
          <cell r="B2618">
            <v>93</v>
          </cell>
          <cell r="I2618">
            <v>6.7</v>
          </cell>
        </row>
        <row r="2619">
          <cell r="B2619">
            <v>96</v>
          </cell>
          <cell r="I2619">
            <v>6.8</v>
          </cell>
        </row>
        <row r="2620">
          <cell r="B2620">
            <v>89</v>
          </cell>
          <cell r="I2620">
            <v>6</v>
          </cell>
        </row>
        <row r="2621">
          <cell r="B2621">
            <v>92</v>
          </cell>
          <cell r="I2621">
            <v>5.4</v>
          </cell>
        </row>
        <row r="2622">
          <cell r="B2622">
            <v>97</v>
          </cell>
          <cell r="I2622">
            <v>4.3</v>
          </cell>
        </row>
        <row r="2623">
          <cell r="B2623">
            <v>93</v>
          </cell>
          <cell r="I2623">
            <v>6.2</v>
          </cell>
        </row>
        <row r="2624">
          <cell r="B2624">
            <v>89</v>
          </cell>
          <cell r="I2624">
            <v>7.7</v>
          </cell>
        </row>
        <row r="2625">
          <cell r="B2625">
            <v>123</v>
          </cell>
          <cell r="I2625">
            <v>7.4</v>
          </cell>
        </row>
        <row r="2626">
          <cell r="B2626">
            <v>93</v>
          </cell>
          <cell r="I2626">
            <v>5.9</v>
          </cell>
        </row>
        <row r="2627">
          <cell r="B2627">
            <v>133</v>
          </cell>
          <cell r="I2627">
            <v>7.8</v>
          </cell>
        </row>
        <row r="2628">
          <cell r="B2628">
            <v>121</v>
          </cell>
          <cell r="I2628">
            <v>7.4</v>
          </cell>
        </row>
        <row r="2629">
          <cell r="B2629">
            <v>102</v>
          </cell>
          <cell r="I2629">
            <v>6.5</v>
          </cell>
        </row>
        <row r="2630">
          <cell r="B2630">
            <v>99</v>
          </cell>
          <cell r="I2630">
            <v>7</v>
          </cell>
        </row>
        <row r="2631">
          <cell r="B2631">
            <v>98</v>
          </cell>
          <cell r="I2631">
            <v>7.6</v>
          </cell>
        </row>
        <row r="2632">
          <cell r="B2632">
            <v>118</v>
          </cell>
          <cell r="I2632">
            <v>6.9</v>
          </cell>
        </row>
        <row r="2633">
          <cell r="B2633">
            <v>104</v>
          </cell>
          <cell r="I2633">
            <v>5.3</v>
          </cell>
        </row>
        <row r="2634">
          <cell r="B2634">
            <v>109</v>
          </cell>
          <cell r="I2634">
            <v>6.4</v>
          </cell>
        </row>
        <row r="2635">
          <cell r="B2635">
            <v>115</v>
          </cell>
          <cell r="I2635">
            <v>7.8</v>
          </cell>
        </row>
        <row r="2636">
          <cell r="B2636">
            <v>92</v>
          </cell>
          <cell r="I2636">
            <v>6.7</v>
          </cell>
        </row>
        <row r="2637">
          <cell r="B2637">
            <v>91</v>
          </cell>
          <cell r="I2637">
            <v>5.3</v>
          </cell>
        </row>
        <row r="2638">
          <cell r="B2638">
            <v>94</v>
          </cell>
          <cell r="I2638">
            <v>6.3</v>
          </cell>
        </row>
        <row r="2639">
          <cell r="B2639">
            <v>93</v>
          </cell>
          <cell r="I2639">
            <v>7</v>
          </cell>
        </row>
        <row r="2640">
          <cell r="B2640">
            <v>100</v>
          </cell>
          <cell r="I2640">
            <v>6.6</v>
          </cell>
        </row>
        <row r="2641">
          <cell r="B2641">
            <v>293</v>
          </cell>
          <cell r="I2641">
            <v>8.4</v>
          </cell>
        </row>
        <row r="2642">
          <cell r="B2642">
            <v>93</v>
          </cell>
          <cell r="I2642">
            <v>5.4</v>
          </cell>
        </row>
        <row r="2643">
          <cell r="B2643">
            <v>123</v>
          </cell>
          <cell r="I2643">
            <v>7.8</v>
          </cell>
        </row>
        <row r="2644">
          <cell r="B2644">
            <v>119</v>
          </cell>
          <cell r="I2644">
            <v>7.6</v>
          </cell>
        </row>
        <row r="2645">
          <cell r="B2645">
            <v>107</v>
          </cell>
          <cell r="I2645">
            <v>6.6</v>
          </cell>
        </row>
        <row r="2646">
          <cell r="B2646">
            <v>106</v>
          </cell>
          <cell r="I2646">
            <v>6.4</v>
          </cell>
        </row>
        <row r="2647">
          <cell r="B2647">
            <v>109</v>
          </cell>
          <cell r="I2647">
            <v>7</v>
          </cell>
        </row>
        <row r="2648">
          <cell r="B2648">
            <v>81</v>
          </cell>
          <cell r="I2648">
            <v>5.7</v>
          </cell>
        </row>
        <row r="2649">
          <cell r="B2649">
            <v>95</v>
          </cell>
          <cell r="I2649">
            <v>5.9</v>
          </cell>
        </row>
        <row r="2650">
          <cell r="B2650">
            <v>86</v>
          </cell>
          <cell r="I2650">
            <v>6.3</v>
          </cell>
        </row>
        <row r="2651">
          <cell r="B2651">
            <v>113</v>
          </cell>
          <cell r="I2651">
            <v>6.3</v>
          </cell>
        </row>
        <row r="2652">
          <cell r="B2652">
            <v>122</v>
          </cell>
          <cell r="I2652">
            <v>6.2</v>
          </cell>
        </row>
        <row r="2653">
          <cell r="B2653">
            <v>90</v>
          </cell>
          <cell r="I2653">
            <v>2.1</v>
          </cell>
        </row>
        <row r="2654">
          <cell r="B2654">
            <v>108</v>
          </cell>
          <cell r="I2654">
            <v>5</v>
          </cell>
        </row>
        <row r="2655">
          <cell r="B2655">
            <v>113</v>
          </cell>
          <cell r="I2655">
            <v>5.3</v>
          </cell>
        </row>
        <row r="2656">
          <cell r="B2656">
            <v>110</v>
          </cell>
          <cell r="I2656">
            <v>7.1</v>
          </cell>
        </row>
        <row r="2657">
          <cell r="B2657">
            <v>109</v>
          </cell>
          <cell r="I2657">
            <v>7</v>
          </cell>
        </row>
        <row r="2658">
          <cell r="B2658">
            <v>110</v>
          </cell>
          <cell r="I2658">
            <v>7</v>
          </cell>
        </row>
        <row r="2659">
          <cell r="B2659">
            <v>101</v>
          </cell>
          <cell r="I2659">
            <v>7.1</v>
          </cell>
        </row>
        <row r="2660">
          <cell r="B2660">
            <v>97</v>
          </cell>
          <cell r="I2660">
            <v>7</v>
          </cell>
        </row>
        <row r="2661">
          <cell r="B2661">
            <v>172</v>
          </cell>
          <cell r="I2661">
            <v>7.7</v>
          </cell>
        </row>
        <row r="2662">
          <cell r="B2662">
            <v>104</v>
          </cell>
          <cell r="I2662">
            <v>7.1</v>
          </cell>
        </row>
        <row r="2663">
          <cell r="B2663">
            <v>99</v>
          </cell>
          <cell r="I2663">
            <v>6.8</v>
          </cell>
        </row>
        <row r="2664">
          <cell r="B2664">
            <v>129</v>
          </cell>
          <cell r="I2664">
            <v>7.5</v>
          </cell>
        </row>
        <row r="2665">
          <cell r="B2665">
            <v>91</v>
          </cell>
          <cell r="I2665">
            <v>6.3</v>
          </cell>
        </row>
        <row r="2666">
          <cell r="B2666">
            <v>100</v>
          </cell>
          <cell r="I2666">
            <v>7.3</v>
          </cell>
        </row>
        <row r="2667">
          <cell r="B2667">
            <v>111</v>
          </cell>
          <cell r="I2667">
            <v>6.8</v>
          </cell>
        </row>
        <row r="2668">
          <cell r="B2668">
            <v>114</v>
          </cell>
          <cell r="I2668">
            <v>7.2</v>
          </cell>
        </row>
        <row r="2669">
          <cell r="B2669">
            <v>86</v>
          </cell>
          <cell r="I2669">
            <v>6.4</v>
          </cell>
        </row>
        <row r="2670">
          <cell r="B2670">
            <v>107</v>
          </cell>
          <cell r="I2670">
            <v>6</v>
          </cell>
        </row>
        <row r="2671">
          <cell r="B2671">
            <v>90</v>
          </cell>
          <cell r="I2671">
            <v>6.4</v>
          </cell>
        </row>
        <row r="2672">
          <cell r="B2672">
            <v>120</v>
          </cell>
          <cell r="I2672">
            <v>7.5</v>
          </cell>
        </row>
        <row r="2673">
          <cell r="B2673">
            <v>134</v>
          </cell>
          <cell r="I2673">
            <v>7.1</v>
          </cell>
        </row>
        <row r="2674">
          <cell r="B2674">
            <v>110</v>
          </cell>
          <cell r="I2674">
            <v>4.5999999999999996</v>
          </cell>
        </row>
        <row r="2675">
          <cell r="B2675">
            <v>132</v>
          </cell>
          <cell r="I2675">
            <v>7.7</v>
          </cell>
        </row>
        <row r="2676">
          <cell r="B2676">
            <v>113</v>
          </cell>
          <cell r="I2676">
            <v>5.6</v>
          </cell>
        </row>
        <row r="2677">
          <cell r="B2677">
            <v>111</v>
          </cell>
          <cell r="I2677">
            <v>7.5</v>
          </cell>
        </row>
        <row r="2678">
          <cell r="B2678">
            <v>99</v>
          </cell>
          <cell r="I2678">
            <v>5.8</v>
          </cell>
        </row>
        <row r="2679">
          <cell r="B2679">
            <v>104</v>
          </cell>
          <cell r="I2679">
            <v>8.3000000000000007</v>
          </cell>
        </row>
        <row r="2680">
          <cell r="B2680">
            <v>103</v>
          </cell>
          <cell r="I2680">
            <v>6.6</v>
          </cell>
        </row>
        <row r="2681">
          <cell r="B2681">
            <v>134</v>
          </cell>
          <cell r="I2681">
            <v>7.5</v>
          </cell>
        </row>
        <row r="2682">
          <cell r="B2682">
            <v>106</v>
          </cell>
          <cell r="I2682">
            <v>7.2</v>
          </cell>
        </row>
        <row r="2683">
          <cell r="B2683">
            <v>125</v>
          </cell>
          <cell r="I2683">
            <v>8.6999999999999993</v>
          </cell>
        </row>
        <row r="2684">
          <cell r="B2684">
            <v>109</v>
          </cell>
          <cell r="I2684">
            <v>6</v>
          </cell>
        </row>
        <row r="2685">
          <cell r="B2685">
            <v>200</v>
          </cell>
          <cell r="I2685">
            <v>8</v>
          </cell>
        </row>
        <row r="2686">
          <cell r="B2686">
            <v>112</v>
          </cell>
          <cell r="I2686">
            <v>4.5</v>
          </cell>
        </row>
        <row r="2687">
          <cell r="B2687">
            <v>116</v>
          </cell>
          <cell r="I2687">
            <v>7.9</v>
          </cell>
        </row>
        <row r="2688">
          <cell r="B2688">
            <v>120</v>
          </cell>
          <cell r="I2688">
            <v>7.5</v>
          </cell>
        </row>
        <row r="2689">
          <cell r="B2689">
            <v>107</v>
          </cell>
          <cell r="I2689">
            <v>6.8</v>
          </cell>
        </row>
        <row r="2690">
          <cell r="B2690">
            <v>107</v>
          </cell>
          <cell r="I2690">
            <v>7.2</v>
          </cell>
        </row>
        <row r="2691">
          <cell r="B2691">
            <v>81</v>
          </cell>
          <cell r="I2691">
            <v>7.1</v>
          </cell>
        </row>
        <row r="2692">
          <cell r="B2692">
            <v>101</v>
          </cell>
          <cell r="I2692">
            <v>7.4</v>
          </cell>
        </row>
        <row r="2693">
          <cell r="B2693">
            <v>122</v>
          </cell>
          <cell r="I2693">
            <v>7.6</v>
          </cell>
        </row>
        <row r="2694">
          <cell r="B2694">
            <v>97</v>
          </cell>
          <cell r="I2694">
            <v>6.9</v>
          </cell>
        </row>
        <row r="2695">
          <cell r="B2695">
            <v>92</v>
          </cell>
          <cell r="I2695">
            <v>6</v>
          </cell>
        </row>
        <row r="2696">
          <cell r="B2696">
            <v>110</v>
          </cell>
          <cell r="I2696">
            <v>7.3</v>
          </cell>
        </row>
        <row r="2697">
          <cell r="B2697">
            <v>86</v>
          </cell>
          <cell r="I2697">
            <v>4.5999999999999996</v>
          </cell>
        </row>
        <row r="2698">
          <cell r="B2698">
            <v>91</v>
          </cell>
          <cell r="I2698">
            <v>6</v>
          </cell>
        </row>
        <row r="2699">
          <cell r="B2699">
            <v>100</v>
          </cell>
          <cell r="I2699">
            <v>5.5</v>
          </cell>
        </row>
        <row r="2700">
          <cell r="B2700">
            <v>111</v>
          </cell>
          <cell r="I2700">
            <v>7.5</v>
          </cell>
        </row>
        <row r="2701">
          <cell r="B2701">
            <v>89</v>
          </cell>
          <cell r="I2701">
            <v>6.3</v>
          </cell>
        </row>
        <row r="2702">
          <cell r="B2702">
            <v>84</v>
          </cell>
          <cell r="I2702">
            <v>5.0999999999999996</v>
          </cell>
        </row>
        <row r="2703">
          <cell r="B2703">
            <v>98</v>
          </cell>
          <cell r="I2703">
            <v>6.8</v>
          </cell>
        </row>
        <row r="2704">
          <cell r="B2704">
            <v>95</v>
          </cell>
          <cell r="I2704">
            <v>5.3</v>
          </cell>
        </row>
        <row r="2705">
          <cell r="B2705">
            <v>100</v>
          </cell>
          <cell r="I2705">
            <v>7.3</v>
          </cell>
        </row>
        <row r="2706">
          <cell r="B2706">
            <v>109</v>
          </cell>
          <cell r="I2706">
            <v>7.3</v>
          </cell>
        </row>
        <row r="2707">
          <cell r="B2707">
            <v>118</v>
          </cell>
          <cell r="I2707">
            <v>7.1</v>
          </cell>
        </row>
        <row r="2708">
          <cell r="B2708">
            <v>88</v>
          </cell>
          <cell r="I2708">
            <v>7.6</v>
          </cell>
        </row>
        <row r="2709">
          <cell r="B2709">
            <v>86</v>
          </cell>
          <cell r="I2709">
            <v>5.3</v>
          </cell>
        </row>
        <row r="2710">
          <cell r="B2710">
            <v>118</v>
          </cell>
          <cell r="I2710">
            <v>7.8</v>
          </cell>
        </row>
        <row r="2711">
          <cell r="B2711">
            <v>125</v>
          </cell>
          <cell r="I2711">
            <v>7.7</v>
          </cell>
        </row>
        <row r="2712">
          <cell r="B2712">
            <v>125</v>
          </cell>
          <cell r="I2712">
            <v>7.7</v>
          </cell>
        </row>
        <row r="2713">
          <cell r="B2713">
            <v>94</v>
          </cell>
          <cell r="I2713">
            <v>5.4</v>
          </cell>
        </row>
        <row r="2714">
          <cell r="B2714">
            <v>113</v>
          </cell>
          <cell r="I2714">
            <v>6.2</v>
          </cell>
        </row>
        <row r="2715">
          <cell r="B2715">
            <v>104</v>
          </cell>
          <cell r="I2715">
            <v>7.4</v>
          </cell>
        </row>
        <row r="2716">
          <cell r="B2716">
            <v>95</v>
          </cell>
          <cell r="I2716">
            <v>6.2</v>
          </cell>
        </row>
        <row r="2717">
          <cell r="B2717">
            <v>102</v>
          </cell>
          <cell r="I2717">
            <v>5.0999999999999996</v>
          </cell>
        </row>
        <row r="2718">
          <cell r="B2718">
            <v>104</v>
          </cell>
          <cell r="I2718">
            <v>6.8</v>
          </cell>
        </row>
        <row r="2719">
          <cell r="B2719">
            <v>95</v>
          </cell>
          <cell r="I2719">
            <v>5.8</v>
          </cell>
        </row>
        <row r="2720">
          <cell r="B2720">
            <v>118</v>
          </cell>
          <cell r="I2720">
            <v>6.4</v>
          </cell>
        </row>
        <row r="2721">
          <cell r="B2721">
            <v>193</v>
          </cell>
          <cell r="I2721">
            <v>6</v>
          </cell>
        </row>
        <row r="2722">
          <cell r="B2722">
            <v>97</v>
          </cell>
          <cell r="I2722">
            <v>6.9</v>
          </cell>
        </row>
        <row r="2723">
          <cell r="B2723">
            <v>98</v>
          </cell>
          <cell r="I2723">
            <v>5.5</v>
          </cell>
        </row>
        <row r="2724">
          <cell r="B2724">
            <v>103</v>
          </cell>
          <cell r="I2724">
            <v>5.4</v>
          </cell>
        </row>
        <row r="2725">
          <cell r="B2725">
            <v>161</v>
          </cell>
          <cell r="I2725">
            <v>8.3000000000000007</v>
          </cell>
        </row>
        <row r="2726">
          <cell r="B2726">
            <v>120</v>
          </cell>
          <cell r="I2726">
            <v>7.9</v>
          </cell>
        </row>
        <row r="2727">
          <cell r="B2727">
            <v>97</v>
          </cell>
          <cell r="I2727">
            <v>6.5</v>
          </cell>
        </row>
        <row r="2728">
          <cell r="B2728">
            <v>99</v>
          </cell>
          <cell r="I2728">
            <v>6.4</v>
          </cell>
        </row>
        <row r="2729">
          <cell r="B2729">
            <v>145</v>
          </cell>
          <cell r="I2729">
            <v>6.6</v>
          </cell>
        </row>
        <row r="2730">
          <cell r="B2730">
            <v>126</v>
          </cell>
          <cell r="I2730">
            <v>8.3000000000000007</v>
          </cell>
        </row>
        <row r="2731">
          <cell r="B2731">
            <v>121</v>
          </cell>
          <cell r="I2731">
            <v>6.2</v>
          </cell>
        </row>
        <row r="2732">
          <cell r="B2732">
            <v>117</v>
          </cell>
          <cell r="I2732">
            <v>6.9</v>
          </cell>
        </row>
        <row r="2733">
          <cell r="B2733">
            <v>98</v>
          </cell>
          <cell r="I2733">
            <v>5.9</v>
          </cell>
        </row>
        <row r="2734">
          <cell r="B2734">
            <v>109</v>
          </cell>
          <cell r="I2734">
            <v>6.1</v>
          </cell>
        </row>
        <row r="2735">
          <cell r="B2735">
            <v>95</v>
          </cell>
          <cell r="I2735">
            <v>5.8</v>
          </cell>
        </row>
        <row r="2736">
          <cell r="B2736">
            <v>96</v>
          </cell>
          <cell r="I2736">
            <v>5.9</v>
          </cell>
        </row>
        <row r="2737">
          <cell r="B2737">
            <v>101</v>
          </cell>
          <cell r="I2737">
            <v>5.5</v>
          </cell>
        </row>
        <row r="2738">
          <cell r="B2738">
            <v>107</v>
          </cell>
          <cell r="I2738">
            <v>5</v>
          </cell>
        </row>
        <row r="2739">
          <cell r="B2739">
            <v>119</v>
          </cell>
          <cell r="I2739">
            <v>7</v>
          </cell>
        </row>
        <row r="2740">
          <cell r="B2740">
            <v>100</v>
          </cell>
          <cell r="I2740">
            <v>6.4</v>
          </cell>
        </row>
        <row r="2741">
          <cell r="B2741">
            <v>98</v>
          </cell>
          <cell r="I2741">
            <v>5.9</v>
          </cell>
        </row>
        <row r="2742">
          <cell r="B2742">
            <v>92</v>
          </cell>
          <cell r="I2742">
            <v>7</v>
          </cell>
        </row>
        <row r="2743">
          <cell r="B2743">
            <v>90</v>
          </cell>
          <cell r="I2743">
            <v>6.1</v>
          </cell>
        </row>
        <row r="2744">
          <cell r="B2744">
            <v>90</v>
          </cell>
          <cell r="I2744">
            <v>6.9</v>
          </cell>
        </row>
        <row r="2745">
          <cell r="B2745">
            <v>153</v>
          </cell>
          <cell r="I2745">
            <v>7.5</v>
          </cell>
        </row>
        <row r="2746">
          <cell r="B2746">
            <v>124</v>
          </cell>
          <cell r="I2746">
            <v>7.3</v>
          </cell>
        </row>
        <row r="2747">
          <cell r="B2747">
            <v>82</v>
          </cell>
          <cell r="I2747">
            <v>6.5</v>
          </cell>
        </row>
        <row r="2748">
          <cell r="B2748">
            <v>107</v>
          </cell>
          <cell r="I2748">
            <v>6.2</v>
          </cell>
        </row>
        <row r="2749">
          <cell r="B2749">
            <v>97</v>
          </cell>
          <cell r="I2749">
            <v>6</v>
          </cell>
        </row>
        <row r="2750">
          <cell r="B2750">
            <v>80</v>
          </cell>
          <cell r="I2750">
            <v>6.3</v>
          </cell>
        </row>
        <row r="2751">
          <cell r="B2751">
            <v>85</v>
          </cell>
          <cell r="I2751">
            <v>5.8</v>
          </cell>
        </row>
        <row r="2752">
          <cell r="B2752">
            <v>97</v>
          </cell>
          <cell r="I2752">
            <v>6.1</v>
          </cell>
        </row>
        <row r="2753">
          <cell r="B2753">
            <v>109</v>
          </cell>
          <cell r="I2753">
            <v>6.9</v>
          </cell>
        </row>
        <row r="2754">
          <cell r="B2754">
            <v>140</v>
          </cell>
          <cell r="I2754">
            <v>5.4</v>
          </cell>
        </row>
        <row r="2755">
          <cell r="B2755">
            <v>90</v>
          </cell>
          <cell r="I2755">
            <v>6.7</v>
          </cell>
        </row>
        <row r="2756">
          <cell r="B2756">
            <v>130</v>
          </cell>
          <cell r="I2756">
            <v>7.4</v>
          </cell>
        </row>
        <row r="2757">
          <cell r="B2757">
            <v>98</v>
          </cell>
          <cell r="I2757">
            <v>5.6</v>
          </cell>
        </row>
        <row r="2758">
          <cell r="B2758">
            <v>101</v>
          </cell>
          <cell r="I2758">
            <v>6.5</v>
          </cell>
        </row>
        <row r="2759">
          <cell r="B2759">
            <v>114</v>
          </cell>
          <cell r="I2759">
            <v>6.5</v>
          </cell>
        </row>
        <row r="2760">
          <cell r="B2760">
            <v>100</v>
          </cell>
          <cell r="I2760">
            <v>5.8</v>
          </cell>
        </row>
        <row r="2761">
          <cell r="B2761">
            <v>85</v>
          </cell>
          <cell r="I2761">
            <v>5</v>
          </cell>
        </row>
        <row r="2762">
          <cell r="B2762">
            <v>103</v>
          </cell>
          <cell r="I2762">
            <v>5.5</v>
          </cell>
        </row>
        <row r="2763">
          <cell r="B2763">
            <v>100</v>
          </cell>
          <cell r="I2763">
            <v>6.5</v>
          </cell>
        </row>
        <row r="2764">
          <cell r="B2764">
            <v>114</v>
          </cell>
          <cell r="I2764">
            <v>7.2</v>
          </cell>
        </row>
        <row r="2765">
          <cell r="B2765">
            <v>97</v>
          </cell>
          <cell r="I2765">
            <v>5.2</v>
          </cell>
        </row>
        <row r="2766">
          <cell r="B2766">
            <v>116</v>
          </cell>
          <cell r="I2766">
            <v>5.7</v>
          </cell>
        </row>
        <row r="2767">
          <cell r="B2767">
            <v>96</v>
          </cell>
          <cell r="I2767">
            <v>4.7</v>
          </cell>
        </row>
        <row r="2768">
          <cell r="B2768">
            <v>98</v>
          </cell>
          <cell r="I2768">
            <v>5.9</v>
          </cell>
        </row>
        <row r="2769">
          <cell r="B2769">
            <v>105</v>
          </cell>
          <cell r="I2769">
            <v>6.8</v>
          </cell>
        </row>
        <row r="2770">
          <cell r="B2770">
            <v>123</v>
          </cell>
          <cell r="I2770">
            <v>5.9</v>
          </cell>
        </row>
        <row r="2771">
          <cell r="B2771">
            <v>93</v>
          </cell>
          <cell r="I2771">
            <v>7.7</v>
          </cell>
        </row>
        <row r="2772">
          <cell r="B2772">
            <v>97</v>
          </cell>
          <cell r="I2772">
            <v>4.4000000000000004</v>
          </cell>
        </row>
        <row r="2773">
          <cell r="B2773">
            <v>122</v>
          </cell>
          <cell r="I2773">
            <v>6.6</v>
          </cell>
        </row>
        <row r="2774">
          <cell r="B2774">
            <v>101</v>
          </cell>
          <cell r="I2774">
            <v>6.7</v>
          </cell>
        </row>
        <row r="2775">
          <cell r="B2775">
            <v>100</v>
          </cell>
          <cell r="I2775">
            <v>5.5</v>
          </cell>
        </row>
        <row r="2776">
          <cell r="B2776">
            <v>129</v>
          </cell>
          <cell r="I2776">
            <v>6.5</v>
          </cell>
        </row>
        <row r="2777">
          <cell r="B2777">
            <v>81</v>
          </cell>
          <cell r="I2777">
            <v>6.2</v>
          </cell>
        </row>
        <row r="2778">
          <cell r="B2778">
            <v>96</v>
          </cell>
          <cell r="I2778">
            <v>7.1</v>
          </cell>
        </row>
        <row r="2779">
          <cell r="B2779">
            <v>84</v>
          </cell>
          <cell r="I2779">
            <v>6.1</v>
          </cell>
        </row>
        <row r="2780">
          <cell r="B2780">
            <v>110</v>
          </cell>
          <cell r="I2780">
            <v>6</v>
          </cell>
        </row>
        <row r="2781">
          <cell r="B2781">
            <v>130</v>
          </cell>
          <cell r="I2781">
            <v>7.4</v>
          </cell>
        </row>
        <row r="2782">
          <cell r="B2782">
            <v>84</v>
          </cell>
          <cell r="I2782">
            <v>5.9</v>
          </cell>
        </row>
        <row r="2783">
          <cell r="B2783">
            <v>106</v>
          </cell>
          <cell r="I2783">
            <v>4.0999999999999996</v>
          </cell>
        </row>
        <row r="2784">
          <cell r="B2784">
            <v>76</v>
          </cell>
          <cell r="I2784">
            <v>5.9</v>
          </cell>
        </row>
        <row r="2785">
          <cell r="B2785">
            <v>99</v>
          </cell>
          <cell r="I2785">
            <v>7</v>
          </cell>
        </row>
        <row r="2786">
          <cell r="B2786">
            <v>96</v>
          </cell>
          <cell r="I2786">
            <v>6.8</v>
          </cell>
        </row>
        <row r="2787">
          <cell r="B2787">
            <v>104</v>
          </cell>
          <cell r="I2787">
            <v>7.4</v>
          </cell>
        </row>
        <row r="2788">
          <cell r="B2788">
            <v>108</v>
          </cell>
          <cell r="I2788">
            <v>7.1</v>
          </cell>
        </row>
        <row r="2789">
          <cell r="B2789">
            <v>108</v>
          </cell>
          <cell r="I2789">
            <v>7</v>
          </cell>
        </row>
        <row r="2790">
          <cell r="B2790">
            <v>87</v>
          </cell>
          <cell r="I2790">
            <v>5.8</v>
          </cell>
        </row>
        <row r="2791">
          <cell r="B2791">
            <v>89</v>
          </cell>
          <cell r="I2791">
            <v>7.8</v>
          </cell>
        </row>
        <row r="2792">
          <cell r="B2792">
            <v>97</v>
          </cell>
          <cell r="I2792">
            <v>6.5</v>
          </cell>
        </row>
        <row r="2793">
          <cell r="B2793">
            <v>106</v>
          </cell>
          <cell r="I2793">
            <v>7</v>
          </cell>
        </row>
        <row r="2794">
          <cell r="B2794">
            <v>100</v>
          </cell>
          <cell r="I2794">
            <v>6.3</v>
          </cell>
        </row>
        <row r="2795">
          <cell r="B2795">
            <v>89</v>
          </cell>
          <cell r="I2795">
            <v>5.3</v>
          </cell>
        </row>
        <row r="2796">
          <cell r="B2796">
            <v>95</v>
          </cell>
          <cell r="I2796">
            <v>5.5</v>
          </cell>
        </row>
        <row r="2797">
          <cell r="B2797">
            <v>97</v>
          </cell>
          <cell r="I2797">
            <v>7.4</v>
          </cell>
        </row>
        <row r="2798">
          <cell r="B2798">
            <v>94</v>
          </cell>
          <cell r="I2798">
            <v>4.3</v>
          </cell>
        </row>
        <row r="2799">
          <cell r="B2799">
            <v>95</v>
          </cell>
          <cell r="I2799">
            <v>5.2</v>
          </cell>
        </row>
        <row r="2800">
          <cell r="B2800">
            <v>101</v>
          </cell>
          <cell r="I2800">
            <v>6.7</v>
          </cell>
        </row>
        <row r="2801">
          <cell r="B2801">
            <v>101</v>
          </cell>
          <cell r="I2801">
            <v>8.6</v>
          </cell>
        </row>
        <row r="2802">
          <cell r="B2802">
            <v>82</v>
          </cell>
          <cell r="I2802">
            <v>6.1</v>
          </cell>
        </row>
        <row r="2803">
          <cell r="B2803">
            <v>74</v>
          </cell>
          <cell r="I2803">
            <v>5.8</v>
          </cell>
        </row>
        <row r="2804">
          <cell r="B2804">
            <v>130</v>
          </cell>
          <cell r="I2804">
            <v>7.7</v>
          </cell>
        </row>
        <row r="2805">
          <cell r="B2805">
            <v>112</v>
          </cell>
          <cell r="I2805">
            <v>8</v>
          </cell>
        </row>
        <row r="2806">
          <cell r="B2806">
            <v>96</v>
          </cell>
          <cell r="I2806">
            <v>5.6</v>
          </cell>
        </row>
        <row r="2807">
          <cell r="B2807">
            <v>89</v>
          </cell>
          <cell r="I2807">
            <v>6.7</v>
          </cell>
        </row>
        <row r="2808">
          <cell r="B2808">
            <v>121</v>
          </cell>
          <cell r="I2808">
            <v>6.6</v>
          </cell>
        </row>
        <row r="2809">
          <cell r="B2809">
            <v>85</v>
          </cell>
          <cell r="I2809">
            <v>4.0999999999999996</v>
          </cell>
        </row>
        <row r="2810">
          <cell r="B2810">
            <v>120</v>
          </cell>
          <cell r="I2810">
            <v>7.3</v>
          </cell>
        </row>
        <row r="2811">
          <cell r="B2811">
            <v>106</v>
          </cell>
          <cell r="I2811">
            <v>7.1</v>
          </cell>
        </row>
        <row r="2812">
          <cell r="B2812">
            <v>83</v>
          </cell>
          <cell r="I2812">
            <v>6.5</v>
          </cell>
        </row>
        <row r="2813">
          <cell r="B2813">
            <v>120</v>
          </cell>
          <cell r="I2813">
            <v>7</v>
          </cell>
        </row>
        <row r="2814">
          <cell r="B2814">
            <v>111</v>
          </cell>
          <cell r="I2814">
            <v>5.5</v>
          </cell>
        </row>
        <row r="2815">
          <cell r="B2815">
            <v>100</v>
          </cell>
          <cell r="I2815">
            <v>6.6</v>
          </cell>
        </row>
        <row r="2816">
          <cell r="B2816">
            <v>89</v>
          </cell>
          <cell r="I2816">
            <v>7.1</v>
          </cell>
        </row>
        <row r="2817">
          <cell r="B2817">
            <v>115</v>
          </cell>
          <cell r="I2817">
            <v>7.9</v>
          </cell>
        </row>
        <row r="2818">
          <cell r="B2818">
            <v>135</v>
          </cell>
          <cell r="I2818">
            <v>7.1</v>
          </cell>
        </row>
        <row r="2819">
          <cell r="B2819">
            <v>92</v>
          </cell>
          <cell r="I2819">
            <v>5.6</v>
          </cell>
        </row>
        <row r="2820">
          <cell r="B2820">
            <v>120</v>
          </cell>
          <cell r="I2820">
            <v>7.3</v>
          </cell>
        </row>
        <row r="2821">
          <cell r="B2821">
            <v>97</v>
          </cell>
          <cell r="I2821">
            <v>3.3</v>
          </cell>
        </row>
        <row r="2822">
          <cell r="B2822">
            <v>135</v>
          </cell>
          <cell r="I2822">
            <v>6.5</v>
          </cell>
        </row>
        <row r="2823">
          <cell r="B2823">
            <v>93</v>
          </cell>
          <cell r="I2823">
            <v>4.8</v>
          </cell>
        </row>
        <row r="2824">
          <cell r="B2824">
            <v>118</v>
          </cell>
          <cell r="I2824">
            <v>5.2</v>
          </cell>
        </row>
        <row r="2825">
          <cell r="B2825">
            <v>97</v>
          </cell>
          <cell r="I2825">
            <v>6.3</v>
          </cell>
        </row>
        <row r="2826">
          <cell r="B2826">
            <v>98</v>
          </cell>
          <cell r="I2826">
            <v>7.2</v>
          </cell>
        </row>
        <row r="2827">
          <cell r="B2827">
            <v>98</v>
          </cell>
          <cell r="I2827">
            <v>6.8</v>
          </cell>
        </row>
        <row r="2828">
          <cell r="B2828">
            <v>101</v>
          </cell>
          <cell r="I2828">
            <v>5.7</v>
          </cell>
        </row>
        <row r="2829">
          <cell r="B2829">
            <v>132</v>
          </cell>
          <cell r="I2829">
            <v>7.2</v>
          </cell>
        </row>
        <row r="2830">
          <cell r="B2830">
            <v>106</v>
          </cell>
          <cell r="I2830">
            <v>6.9</v>
          </cell>
        </row>
        <row r="2831">
          <cell r="B2831">
            <v>87</v>
          </cell>
          <cell r="I2831">
            <v>6.2</v>
          </cell>
        </row>
        <row r="2832">
          <cell r="B2832">
            <v>98</v>
          </cell>
          <cell r="I2832">
            <v>6.7</v>
          </cell>
        </row>
        <row r="2833">
          <cell r="B2833">
            <v>96</v>
          </cell>
          <cell r="I2833">
            <v>6.5</v>
          </cell>
        </row>
        <row r="2834">
          <cell r="B2834">
            <v>104</v>
          </cell>
          <cell r="I2834">
            <v>7.2</v>
          </cell>
        </row>
        <row r="2835">
          <cell r="B2835">
            <v>93</v>
          </cell>
          <cell r="I2835">
            <v>5.3</v>
          </cell>
        </row>
        <row r="2836">
          <cell r="B2836">
            <v>95</v>
          </cell>
          <cell r="I2836">
            <v>6.7</v>
          </cell>
        </row>
        <row r="2837">
          <cell r="B2837">
            <v>89</v>
          </cell>
          <cell r="I2837">
            <v>3.6</v>
          </cell>
        </row>
        <row r="2838">
          <cell r="B2838">
            <v>107</v>
          </cell>
          <cell r="I2838">
            <v>5.7</v>
          </cell>
        </row>
        <row r="2839">
          <cell r="B2839">
            <v>85</v>
          </cell>
          <cell r="I2839">
            <v>7.3</v>
          </cell>
        </row>
        <row r="2840">
          <cell r="B2840">
            <v>93</v>
          </cell>
          <cell r="I2840">
            <v>5</v>
          </cell>
        </row>
        <row r="2841">
          <cell r="B2841">
            <v>101</v>
          </cell>
          <cell r="I2841">
            <v>6.6</v>
          </cell>
        </row>
        <row r="2842">
          <cell r="B2842">
            <v>103</v>
          </cell>
          <cell r="I2842">
            <v>6.6</v>
          </cell>
        </row>
        <row r="2843">
          <cell r="B2843">
            <v>111</v>
          </cell>
          <cell r="I2843">
            <v>7.3</v>
          </cell>
        </row>
        <row r="2844">
          <cell r="B2844">
            <v>86</v>
          </cell>
          <cell r="I2844">
            <v>6.2</v>
          </cell>
        </row>
        <row r="2845">
          <cell r="B2845">
            <v>90</v>
          </cell>
          <cell r="I2845">
            <v>6.6</v>
          </cell>
        </row>
        <row r="2846">
          <cell r="B2846">
            <v>82</v>
          </cell>
          <cell r="I2846">
            <v>6.3</v>
          </cell>
        </row>
        <row r="2847">
          <cell r="B2847">
            <v>83</v>
          </cell>
          <cell r="I2847">
            <v>3.3</v>
          </cell>
        </row>
        <row r="2848">
          <cell r="B2848">
            <v>125</v>
          </cell>
          <cell r="I2848">
            <v>6.2</v>
          </cell>
        </row>
        <row r="2849">
          <cell r="B2849">
            <v>86</v>
          </cell>
          <cell r="I2849">
            <v>3.5</v>
          </cell>
        </row>
        <row r="2850">
          <cell r="B2850">
            <v>91</v>
          </cell>
          <cell r="I2850">
            <v>5.5</v>
          </cell>
        </row>
        <row r="2851">
          <cell r="B2851">
            <v>90</v>
          </cell>
          <cell r="I2851">
            <v>5.9</v>
          </cell>
        </row>
        <row r="2852">
          <cell r="B2852">
            <v>90</v>
          </cell>
          <cell r="I2852">
            <v>4.7</v>
          </cell>
        </row>
        <row r="2853">
          <cell r="B2853">
            <v>93</v>
          </cell>
          <cell r="I2853">
            <v>3.9</v>
          </cell>
        </row>
        <row r="2854">
          <cell r="B2854">
            <v>104</v>
          </cell>
          <cell r="I2854">
            <v>6.1</v>
          </cell>
        </row>
        <row r="2855">
          <cell r="B2855">
            <v>85</v>
          </cell>
          <cell r="I2855">
            <v>6.7</v>
          </cell>
        </row>
        <row r="2856">
          <cell r="B2856">
            <v>81</v>
          </cell>
          <cell r="I2856">
            <v>6.9</v>
          </cell>
        </row>
        <row r="2857">
          <cell r="B2857">
            <v>135</v>
          </cell>
          <cell r="I2857">
            <v>7.3</v>
          </cell>
        </row>
        <row r="2858">
          <cell r="B2858">
            <v>144</v>
          </cell>
          <cell r="I2858">
            <v>6.7</v>
          </cell>
        </row>
        <row r="2859">
          <cell r="B2859">
            <v>98</v>
          </cell>
          <cell r="I2859">
            <v>6.1</v>
          </cell>
        </row>
        <row r="2860">
          <cell r="B2860">
            <v>117</v>
          </cell>
          <cell r="I2860">
            <v>6.9</v>
          </cell>
        </row>
        <row r="2861">
          <cell r="B2861">
            <v>127</v>
          </cell>
          <cell r="I2861">
            <v>7.9</v>
          </cell>
        </row>
        <row r="2862">
          <cell r="B2862">
            <v>98</v>
          </cell>
          <cell r="I2862">
            <v>4.5</v>
          </cell>
        </row>
        <row r="2863">
          <cell r="B2863">
            <v>197</v>
          </cell>
          <cell r="I2863">
            <v>7.6</v>
          </cell>
        </row>
        <row r="2864">
          <cell r="B2864">
            <v>104</v>
          </cell>
          <cell r="I2864">
            <v>7.5</v>
          </cell>
        </row>
        <row r="2865">
          <cell r="B2865">
            <v>90</v>
          </cell>
          <cell r="I2865">
            <v>6</v>
          </cell>
        </row>
        <row r="2866">
          <cell r="B2866">
            <v>130</v>
          </cell>
          <cell r="I2866">
            <v>7.1</v>
          </cell>
        </row>
        <row r="2867">
          <cell r="B2867">
            <v>176</v>
          </cell>
          <cell r="I2867">
            <v>6.9</v>
          </cell>
        </row>
        <row r="2868">
          <cell r="B2868">
            <v>116</v>
          </cell>
          <cell r="I2868">
            <v>8.5</v>
          </cell>
        </row>
        <row r="2869">
          <cell r="B2869">
            <v>88</v>
          </cell>
          <cell r="I2869">
            <v>7.5</v>
          </cell>
        </row>
        <row r="2870">
          <cell r="B2870">
            <v>106</v>
          </cell>
          <cell r="I2870">
            <v>6.6</v>
          </cell>
        </row>
        <row r="2871">
          <cell r="B2871">
            <v>181</v>
          </cell>
          <cell r="I2871">
            <v>8</v>
          </cell>
        </row>
        <row r="2872">
          <cell r="B2872">
            <v>130</v>
          </cell>
          <cell r="I2872">
            <v>7</v>
          </cell>
        </row>
        <row r="2873">
          <cell r="B2873">
            <v>123</v>
          </cell>
          <cell r="I2873">
            <v>6.8</v>
          </cell>
        </row>
        <row r="2874">
          <cell r="B2874">
            <v>120</v>
          </cell>
          <cell r="I2874">
            <v>6.7</v>
          </cell>
        </row>
        <row r="2875">
          <cell r="B2875">
            <v>87</v>
          </cell>
          <cell r="I2875">
            <v>6.5</v>
          </cell>
        </row>
        <row r="2876">
          <cell r="B2876">
            <v>123</v>
          </cell>
          <cell r="I2876">
            <v>8</v>
          </cell>
        </row>
        <row r="2877">
          <cell r="B2877">
            <v>103</v>
          </cell>
          <cell r="I2877">
            <v>6.5</v>
          </cell>
        </row>
        <row r="2878">
          <cell r="B2878">
            <v>91</v>
          </cell>
          <cell r="I2878">
            <v>4.9000000000000004</v>
          </cell>
        </row>
        <row r="2879">
          <cell r="B2879">
            <v>88</v>
          </cell>
          <cell r="I2879">
            <v>7.1</v>
          </cell>
        </row>
        <row r="2880">
          <cell r="B2880">
            <v>126</v>
          </cell>
          <cell r="I2880">
            <v>7</v>
          </cell>
        </row>
        <row r="2881">
          <cell r="B2881">
            <v>120</v>
          </cell>
          <cell r="I2881">
            <v>7</v>
          </cell>
        </row>
        <row r="2882">
          <cell r="B2882">
            <v>94</v>
          </cell>
          <cell r="I2882">
            <v>4.5</v>
          </cell>
        </row>
        <row r="2883">
          <cell r="B2883">
            <v>137</v>
          </cell>
          <cell r="I2883">
            <v>7.7</v>
          </cell>
        </row>
        <row r="2884">
          <cell r="B2884">
            <v>119</v>
          </cell>
          <cell r="I2884">
            <v>6.7</v>
          </cell>
        </row>
        <row r="2885">
          <cell r="B2885">
            <v>99</v>
          </cell>
          <cell r="I2885">
            <v>7</v>
          </cell>
        </row>
        <row r="2886">
          <cell r="B2886">
            <v>79</v>
          </cell>
          <cell r="I2886">
            <v>6.5</v>
          </cell>
        </row>
        <row r="2887">
          <cell r="B2887">
            <v>95</v>
          </cell>
          <cell r="I2887">
            <v>6.2</v>
          </cell>
        </row>
        <row r="2888">
          <cell r="B2888">
            <v>103</v>
          </cell>
          <cell r="I2888">
            <v>5.7</v>
          </cell>
        </row>
        <row r="2889">
          <cell r="B2889">
            <v>92</v>
          </cell>
          <cell r="I2889">
            <v>6.4</v>
          </cell>
        </row>
        <row r="2890">
          <cell r="B2890">
            <v>84</v>
          </cell>
          <cell r="I2890">
            <v>5.4</v>
          </cell>
        </row>
        <row r="2891">
          <cell r="B2891">
            <v>300</v>
          </cell>
          <cell r="I2891">
            <v>6.6</v>
          </cell>
        </row>
        <row r="2892">
          <cell r="B2892">
            <v>120</v>
          </cell>
          <cell r="I2892">
            <v>6.1</v>
          </cell>
        </row>
        <row r="2893">
          <cell r="B2893">
            <v>121</v>
          </cell>
          <cell r="I2893">
            <v>7.6</v>
          </cell>
        </row>
        <row r="2894">
          <cell r="B2894">
            <v>97</v>
          </cell>
          <cell r="I2894">
            <v>6.2</v>
          </cell>
        </row>
        <row r="2895">
          <cell r="B2895">
            <v>86</v>
          </cell>
          <cell r="I2895">
            <v>6.6</v>
          </cell>
        </row>
        <row r="2896">
          <cell r="B2896">
            <v>45</v>
          </cell>
          <cell r="I2896">
            <v>7.3</v>
          </cell>
        </row>
        <row r="2897">
          <cell r="B2897">
            <v>97</v>
          </cell>
          <cell r="I2897">
            <v>4.2</v>
          </cell>
        </row>
        <row r="2898">
          <cell r="B2898">
            <v>93</v>
          </cell>
          <cell r="I2898">
            <v>6.5</v>
          </cell>
        </row>
        <row r="2899">
          <cell r="B2899">
            <v>84</v>
          </cell>
          <cell r="I2899">
            <v>6.5</v>
          </cell>
        </row>
        <row r="2900">
          <cell r="B2900">
            <v>96</v>
          </cell>
          <cell r="I2900">
            <v>5.7</v>
          </cell>
        </row>
        <row r="2901">
          <cell r="B2901">
            <v>112</v>
          </cell>
          <cell r="I2901">
            <v>7.3</v>
          </cell>
        </row>
        <row r="2902">
          <cell r="B2902">
            <v>125</v>
          </cell>
          <cell r="I2902">
            <v>6.9</v>
          </cell>
        </row>
        <row r="2903">
          <cell r="B2903">
            <v>96</v>
          </cell>
          <cell r="I2903">
            <v>5</v>
          </cell>
        </row>
        <row r="2904">
          <cell r="B2904">
            <v>103</v>
          </cell>
          <cell r="I2904">
            <v>7.3</v>
          </cell>
        </row>
        <row r="2905">
          <cell r="B2905">
            <v>101</v>
          </cell>
          <cell r="I2905">
            <v>6.5</v>
          </cell>
        </row>
        <row r="2906">
          <cell r="B2906">
            <v>104</v>
          </cell>
          <cell r="I2906">
            <v>2.1</v>
          </cell>
        </row>
        <row r="2907">
          <cell r="B2907">
            <v>119</v>
          </cell>
          <cell r="I2907">
            <v>7</v>
          </cell>
        </row>
        <row r="2908">
          <cell r="B2908">
            <v>128</v>
          </cell>
          <cell r="I2908">
            <v>8</v>
          </cell>
        </row>
        <row r="2909">
          <cell r="B2909">
            <v>106</v>
          </cell>
          <cell r="I2909">
            <v>6.9</v>
          </cell>
        </row>
        <row r="2910">
          <cell r="B2910">
            <v>126</v>
          </cell>
          <cell r="I2910">
            <v>7.1</v>
          </cell>
        </row>
        <row r="2911">
          <cell r="B2911">
            <v>150</v>
          </cell>
          <cell r="I2911">
            <v>6.7</v>
          </cell>
        </row>
        <row r="2912">
          <cell r="B2912">
            <v>178</v>
          </cell>
          <cell r="I2912">
            <v>8.9</v>
          </cell>
        </row>
        <row r="2913">
          <cell r="B2913">
            <v>117</v>
          </cell>
          <cell r="I2913">
            <v>7.9</v>
          </cell>
        </row>
        <row r="2914">
          <cell r="B2914">
            <v>119</v>
          </cell>
          <cell r="I2914">
            <v>5.6</v>
          </cell>
        </row>
        <row r="2915">
          <cell r="B2915">
            <v>174</v>
          </cell>
          <cell r="I2915">
            <v>8</v>
          </cell>
        </row>
        <row r="2916">
          <cell r="B2916">
            <v>111</v>
          </cell>
          <cell r="I2916">
            <v>6.2</v>
          </cell>
        </row>
        <row r="2917">
          <cell r="B2917">
            <v>101</v>
          </cell>
          <cell r="I2917">
            <v>7.9</v>
          </cell>
        </row>
        <row r="2918">
          <cell r="B2918">
            <v>89</v>
          </cell>
          <cell r="I2918">
            <v>8.1</v>
          </cell>
        </row>
        <row r="2919">
          <cell r="B2919">
            <v>113</v>
          </cell>
          <cell r="I2919">
            <v>7.6</v>
          </cell>
        </row>
        <row r="2920">
          <cell r="B2920">
            <v>95</v>
          </cell>
          <cell r="I2920">
            <v>3.5</v>
          </cell>
        </row>
        <row r="2921">
          <cell r="B2921">
            <v>112</v>
          </cell>
          <cell r="I2921">
            <v>7.6</v>
          </cell>
        </row>
        <row r="2922">
          <cell r="B2922">
            <v>109</v>
          </cell>
          <cell r="I2922">
            <v>6.5</v>
          </cell>
        </row>
        <row r="2923">
          <cell r="B2923">
            <v>108</v>
          </cell>
          <cell r="I2923">
            <v>5.6</v>
          </cell>
        </row>
        <row r="2924">
          <cell r="B2924">
            <v>100</v>
          </cell>
          <cell r="I2924">
            <v>7.7</v>
          </cell>
        </row>
        <row r="2925">
          <cell r="B2925">
            <v>90</v>
          </cell>
          <cell r="I2925">
            <v>5.2</v>
          </cell>
        </row>
        <row r="2926">
          <cell r="B2926">
            <v>94</v>
          </cell>
          <cell r="I2926">
            <v>6.1</v>
          </cell>
        </row>
        <row r="2927">
          <cell r="B2927">
            <v>111</v>
          </cell>
          <cell r="I2927">
            <v>7.4</v>
          </cell>
        </row>
        <row r="2928">
          <cell r="B2928">
            <v>142</v>
          </cell>
          <cell r="I2928">
            <v>6.8</v>
          </cell>
        </row>
        <row r="2929">
          <cell r="B2929">
            <v>107</v>
          </cell>
          <cell r="I2929">
            <v>6.4</v>
          </cell>
        </row>
        <row r="2930">
          <cell r="B2930">
            <v>91</v>
          </cell>
          <cell r="I2930">
            <v>5.7</v>
          </cell>
        </row>
        <row r="2931">
          <cell r="B2931">
            <v>82</v>
          </cell>
          <cell r="I2931">
            <v>6.7</v>
          </cell>
        </row>
        <row r="2932">
          <cell r="B2932">
            <v>97</v>
          </cell>
          <cell r="I2932">
            <v>5.6</v>
          </cell>
        </row>
        <row r="2933">
          <cell r="B2933">
            <v>102</v>
          </cell>
          <cell r="I2933">
            <v>7.6</v>
          </cell>
        </row>
        <row r="2934">
          <cell r="B2934">
            <v>93</v>
          </cell>
          <cell r="I2934">
            <v>6.5</v>
          </cell>
        </row>
        <row r="2935">
          <cell r="B2935">
            <v>138</v>
          </cell>
          <cell r="I2935">
            <v>6.3</v>
          </cell>
        </row>
        <row r="2936">
          <cell r="B2936">
            <v>93</v>
          </cell>
          <cell r="I2936">
            <v>7.1</v>
          </cell>
        </row>
        <row r="2937">
          <cell r="B2937">
            <v>92</v>
          </cell>
          <cell r="I2937">
            <v>7.1</v>
          </cell>
        </row>
        <row r="2938">
          <cell r="B2938">
            <v>92</v>
          </cell>
          <cell r="I2938">
            <v>6.9</v>
          </cell>
        </row>
        <row r="2939">
          <cell r="B2939">
            <v>104</v>
          </cell>
          <cell r="I2939">
            <v>5.4</v>
          </cell>
        </row>
        <row r="2940">
          <cell r="B2940">
            <v>89</v>
          </cell>
          <cell r="I2940">
            <v>5.0999999999999996</v>
          </cell>
        </row>
        <row r="2941">
          <cell r="B2941">
            <v>92</v>
          </cell>
          <cell r="I2941">
            <v>5.3</v>
          </cell>
        </row>
        <row r="2942">
          <cell r="B2942">
            <v>90</v>
          </cell>
          <cell r="I2942">
            <v>7.3</v>
          </cell>
        </row>
        <row r="2943">
          <cell r="B2943">
            <v>129</v>
          </cell>
          <cell r="I2943">
            <v>7.3</v>
          </cell>
        </row>
        <row r="2944">
          <cell r="B2944">
            <v>111</v>
          </cell>
          <cell r="I2944">
            <v>7.1</v>
          </cell>
        </row>
        <row r="2945">
          <cell r="B2945">
            <v>79</v>
          </cell>
          <cell r="I2945">
            <v>6</v>
          </cell>
        </row>
        <row r="2946">
          <cell r="B2946">
            <v>104</v>
          </cell>
          <cell r="I2946">
            <v>6.6</v>
          </cell>
        </row>
        <row r="2947">
          <cell r="B2947">
            <v>101</v>
          </cell>
          <cell r="I2947">
            <v>7.2</v>
          </cell>
        </row>
        <row r="2948">
          <cell r="B2948">
            <v>113</v>
          </cell>
          <cell r="I2948">
            <v>7.2</v>
          </cell>
        </row>
        <row r="2949">
          <cell r="B2949">
            <v>92</v>
          </cell>
          <cell r="I2949">
            <v>6.9</v>
          </cell>
        </row>
        <row r="2950">
          <cell r="B2950">
            <v>106</v>
          </cell>
          <cell r="I2950">
            <v>6.8</v>
          </cell>
        </row>
        <row r="2951">
          <cell r="B2951">
            <v>75</v>
          </cell>
          <cell r="I2951">
            <v>7.7</v>
          </cell>
        </row>
        <row r="2952">
          <cell r="B2952">
            <v>104</v>
          </cell>
          <cell r="I2952">
            <v>7.4</v>
          </cell>
        </row>
        <row r="2953">
          <cell r="B2953">
            <v>108</v>
          </cell>
          <cell r="I2953">
            <v>6.5</v>
          </cell>
        </row>
        <row r="2954">
          <cell r="B2954">
            <v>99</v>
          </cell>
          <cell r="I2954">
            <v>6.4</v>
          </cell>
        </row>
        <row r="2955">
          <cell r="B2955">
            <v>109</v>
          </cell>
          <cell r="I2955">
            <v>5.6</v>
          </cell>
        </row>
        <row r="2956">
          <cell r="B2956">
            <v>93</v>
          </cell>
          <cell r="I2956">
            <v>6.8</v>
          </cell>
        </row>
        <row r="2957">
          <cell r="B2957">
            <v>99</v>
          </cell>
          <cell r="I2957">
            <v>5.5</v>
          </cell>
        </row>
        <row r="2958">
          <cell r="B2958">
            <v>98</v>
          </cell>
          <cell r="I2958">
            <v>6.9</v>
          </cell>
        </row>
        <row r="2959">
          <cell r="B2959">
            <v>95</v>
          </cell>
          <cell r="I2959">
            <v>6</v>
          </cell>
        </row>
        <row r="2960">
          <cell r="B2960">
            <v>107</v>
          </cell>
          <cell r="I2960">
            <v>6.4</v>
          </cell>
        </row>
        <row r="2961">
          <cell r="B2961">
            <v>102</v>
          </cell>
          <cell r="I2961">
            <v>6.6</v>
          </cell>
        </row>
        <row r="2962">
          <cell r="B2962">
            <v>97</v>
          </cell>
          <cell r="I2962">
            <v>5.3</v>
          </cell>
        </row>
        <row r="2963">
          <cell r="B2963">
            <v>124</v>
          </cell>
          <cell r="I2963">
            <v>8.1</v>
          </cell>
        </row>
        <row r="2964">
          <cell r="B2964">
            <v>90</v>
          </cell>
          <cell r="I2964">
            <v>6.9</v>
          </cell>
        </row>
        <row r="2965">
          <cell r="B2965">
            <v>90</v>
          </cell>
          <cell r="I2965">
            <v>6.5</v>
          </cell>
        </row>
        <row r="2966">
          <cell r="B2966">
            <v>99</v>
          </cell>
          <cell r="I2966">
            <v>7.4</v>
          </cell>
        </row>
        <row r="2967">
          <cell r="B2967">
            <v>115</v>
          </cell>
          <cell r="I2967">
            <v>6.9</v>
          </cell>
        </row>
        <row r="2968">
          <cell r="B2968">
            <v>89</v>
          </cell>
          <cell r="I2968">
            <v>6.7</v>
          </cell>
        </row>
        <row r="2969">
          <cell r="B2969">
            <v>92</v>
          </cell>
          <cell r="I2969">
            <v>7.6</v>
          </cell>
        </row>
        <row r="2970">
          <cell r="B2970">
            <v>94</v>
          </cell>
          <cell r="I2970">
            <v>5.4</v>
          </cell>
        </row>
        <row r="2971">
          <cell r="B2971">
            <v>100</v>
          </cell>
          <cell r="I2971">
            <v>7.3</v>
          </cell>
        </row>
        <row r="2972">
          <cell r="B2972">
            <v>109</v>
          </cell>
          <cell r="I2972">
            <v>6</v>
          </cell>
        </row>
        <row r="2973">
          <cell r="B2973">
            <v>105</v>
          </cell>
          <cell r="I2973">
            <v>7.2</v>
          </cell>
        </row>
        <row r="2974">
          <cell r="B2974">
            <v>102</v>
          </cell>
          <cell r="I2974">
            <v>6</v>
          </cell>
        </row>
        <row r="2975">
          <cell r="B2975">
            <v>97</v>
          </cell>
          <cell r="I2975">
            <v>3.1</v>
          </cell>
        </row>
        <row r="2976">
          <cell r="B2976">
            <v>118</v>
          </cell>
          <cell r="I2976">
            <v>6.9</v>
          </cell>
        </row>
        <row r="2977">
          <cell r="B2977">
            <v>92</v>
          </cell>
          <cell r="I2977">
            <v>6.2</v>
          </cell>
        </row>
        <row r="2978">
          <cell r="B2978">
            <v>103</v>
          </cell>
          <cell r="I2978">
            <v>6.9</v>
          </cell>
        </row>
        <row r="2979">
          <cell r="B2979">
            <v>93</v>
          </cell>
          <cell r="I2979">
            <v>6.3</v>
          </cell>
        </row>
        <row r="2980">
          <cell r="B2980">
            <v>113</v>
          </cell>
          <cell r="I2980">
            <v>6.7</v>
          </cell>
        </row>
        <row r="2981">
          <cell r="B2981">
            <v>153</v>
          </cell>
          <cell r="I2981">
            <v>5.4</v>
          </cell>
        </row>
        <row r="2982">
          <cell r="B2982">
            <v>89</v>
          </cell>
          <cell r="I2982">
            <v>8</v>
          </cell>
        </row>
        <row r="2983">
          <cell r="B2983">
            <v>118</v>
          </cell>
          <cell r="I2983">
            <v>7</v>
          </cell>
        </row>
        <row r="2984">
          <cell r="B2984">
            <v>97</v>
          </cell>
          <cell r="I2984">
            <v>7.2</v>
          </cell>
        </row>
        <row r="2985">
          <cell r="B2985">
            <v>100</v>
          </cell>
          <cell r="I2985">
            <v>3.5</v>
          </cell>
        </row>
        <row r="2986">
          <cell r="B2986">
            <v>96</v>
          </cell>
          <cell r="I2986">
            <v>7.5</v>
          </cell>
        </row>
        <row r="2987">
          <cell r="B2987">
            <v>120</v>
          </cell>
          <cell r="I2987">
            <v>6.7</v>
          </cell>
        </row>
        <row r="2988">
          <cell r="B2988">
            <v>175</v>
          </cell>
          <cell r="I2988">
            <v>9.1999999999999993</v>
          </cell>
        </row>
        <row r="2989">
          <cell r="B2989">
            <v>95</v>
          </cell>
          <cell r="I2989">
            <v>6.1</v>
          </cell>
        </row>
        <row r="2990">
          <cell r="B2990">
            <v>95</v>
          </cell>
          <cell r="I2990">
            <v>7.7</v>
          </cell>
        </row>
        <row r="2991">
          <cell r="B2991">
            <v>121</v>
          </cell>
          <cell r="I2991">
            <v>7.6</v>
          </cell>
        </row>
        <row r="2992">
          <cell r="B2992">
            <v>110</v>
          </cell>
          <cell r="I2992">
            <v>6.1</v>
          </cell>
        </row>
        <row r="2993">
          <cell r="B2993">
            <v>96</v>
          </cell>
          <cell r="I2993">
            <v>4.9000000000000004</v>
          </cell>
        </row>
        <row r="2994">
          <cell r="B2994">
            <v>121</v>
          </cell>
          <cell r="I2994">
            <v>6.8</v>
          </cell>
        </row>
        <row r="2995">
          <cell r="B2995">
            <v>95</v>
          </cell>
          <cell r="I2995">
            <v>7</v>
          </cell>
        </row>
        <row r="2996">
          <cell r="B2996">
            <v>112</v>
          </cell>
          <cell r="I2996">
            <v>5.7</v>
          </cell>
        </row>
        <row r="2997">
          <cell r="B2997">
            <v>93</v>
          </cell>
          <cell r="I2997">
            <v>7.5</v>
          </cell>
        </row>
        <row r="2998">
          <cell r="B2998">
            <v>110</v>
          </cell>
          <cell r="I2998">
            <v>7.4</v>
          </cell>
        </row>
        <row r="2999">
          <cell r="B2999">
            <v>104</v>
          </cell>
          <cell r="I2999">
            <v>7.2</v>
          </cell>
        </row>
        <row r="3000">
          <cell r="B3000">
            <v>119</v>
          </cell>
          <cell r="I3000">
            <v>6.8</v>
          </cell>
        </row>
        <row r="3001">
          <cell r="B3001">
            <v>125</v>
          </cell>
          <cell r="I3001">
            <v>6.8</v>
          </cell>
        </row>
        <row r="3002">
          <cell r="B3002">
            <v>96</v>
          </cell>
          <cell r="I3002">
            <v>5.2</v>
          </cell>
        </row>
        <row r="3003">
          <cell r="B3003">
            <v>100</v>
          </cell>
          <cell r="I3003">
            <v>7.2</v>
          </cell>
        </row>
        <row r="3004">
          <cell r="B3004">
            <v>89</v>
          </cell>
          <cell r="I3004">
            <v>4</v>
          </cell>
        </row>
        <row r="3005">
          <cell r="B3005">
            <v>92</v>
          </cell>
          <cell r="I3005">
            <v>6.8</v>
          </cell>
        </row>
        <row r="3006">
          <cell r="B3006">
            <v>109</v>
          </cell>
          <cell r="I3006">
            <v>6.9</v>
          </cell>
        </row>
        <row r="3007">
          <cell r="B3007">
            <v>103</v>
          </cell>
          <cell r="I3007">
            <v>7.3</v>
          </cell>
        </row>
        <row r="3008">
          <cell r="B3008">
            <v>95</v>
          </cell>
          <cell r="I3008">
            <v>6.1</v>
          </cell>
        </row>
        <row r="3009">
          <cell r="B3009">
            <v>105</v>
          </cell>
          <cell r="I3009">
            <v>6</v>
          </cell>
        </row>
        <row r="3010">
          <cell r="B3010">
            <v>106</v>
          </cell>
          <cell r="I3010">
            <v>7</v>
          </cell>
        </row>
        <row r="3011">
          <cell r="B3011">
            <v>100</v>
          </cell>
          <cell r="I3011">
            <v>7.1</v>
          </cell>
        </row>
        <row r="3012">
          <cell r="B3012">
            <v>103</v>
          </cell>
          <cell r="I3012">
            <v>6.2</v>
          </cell>
        </row>
        <row r="3013">
          <cell r="B3013">
            <v>116</v>
          </cell>
          <cell r="I3013">
            <v>6.9</v>
          </cell>
        </row>
        <row r="3014">
          <cell r="B3014">
            <v>99</v>
          </cell>
          <cell r="I3014">
            <v>7.6</v>
          </cell>
        </row>
        <row r="3015">
          <cell r="B3015">
            <v>164</v>
          </cell>
          <cell r="I3015">
            <v>7.6</v>
          </cell>
        </row>
        <row r="3016">
          <cell r="B3016">
            <v>96</v>
          </cell>
          <cell r="I3016">
            <v>6.4</v>
          </cell>
        </row>
        <row r="3017">
          <cell r="B3017">
            <v>122</v>
          </cell>
          <cell r="I3017">
            <v>6.2</v>
          </cell>
        </row>
        <row r="3018">
          <cell r="B3018">
            <v>94</v>
          </cell>
          <cell r="I3018">
            <v>7.5</v>
          </cell>
        </row>
        <row r="3019">
          <cell r="B3019">
            <v>93</v>
          </cell>
          <cell r="I3019">
            <v>2</v>
          </cell>
        </row>
        <row r="3020">
          <cell r="B3020">
            <v>96</v>
          </cell>
          <cell r="I3020">
            <v>6.2</v>
          </cell>
        </row>
        <row r="3021">
          <cell r="B3021">
            <v>113</v>
          </cell>
          <cell r="I3021">
            <v>6.5</v>
          </cell>
        </row>
        <row r="3022">
          <cell r="B3022">
            <v>192</v>
          </cell>
          <cell r="I3022">
            <v>7.9</v>
          </cell>
        </row>
        <row r="3023">
          <cell r="B3023">
            <v>99</v>
          </cell>
          <cell r="I3023">
            <v>6.8</v>
          </cell>
        </row>
        <row r="3024">
          <cell r="B3024">
            <v>91</v>
          </cell>
          <cell r="I3024">
            <v>6.3</v>
          </cell>
        </row>
        <row r="3025">
          <cell r="B3025">
            <v>100</v>
          </cell>
          <cell r="I3025">
            <v>6.3</v>
          </cell>
        </row>
        <row r="3026">
          <cell r="B3026">
            <v>105</v>
          </cell>
          <cell r="I3026">
            <v>6.6</v>
          </cell>
        </row>
        <row r="3027">
          <cell r="B3027">
            <v>99</v>
          </cell>
          <cell r="I3027">
            <v>6.4</v>
          </cell>
        </row>
        <row r="3028">
          <cell r="B3028">
            <v>112</v>
          </cell>
          <cell r="I3028">
            <v>7.5</v>
          </cell>
        </row>
        <row r="3029">
          <cell r="B3029">
            <v>99</v>
          </cell>
          <cell r="I3029">
            <v>6.5</v>
          </cell>
        </row>
        <row r="3030">
          <cell r="B3030">
            <v>125</v>
          </cell>
          <cell r="I3030">
            <v>7.2</v>
          </cell>
        </row>
        <row r="3031">
          <cell r="B3031">
            <v>107</v>
          </cell>
          <cell r="I3031">
            <v>6.3</v>
          </cell>
        </row>
        <row r="3032">
          <cell r="B3032">
            <v>107</v>
          </cell>
          <cell r="I3032">
            <v>7</v>
          </cell>
        </row>
        <row r="3033">
          <cell r="B3033">
            <v>97</v>
          </cell>
          <cell r="I3033">
            <v>6.3</v>
          </cell>
        </row>
        <row r="3034">
          <cell r="B3034">
            <v>95</v>
          </cell>
          <cell r="I3034">
            <v>2.2999999999999998</v>
          </cell>
        </row>
        <row r="3035">
          <cell r="B3035">
            <v>106</v>
          </cell>
          <cell r="I3035">
            <v>7.1</v>
          </cell>
        </row>
        <row r="3036">
          <cell r="B3036">
            <v>103</v>
          </cell>
          <cell r="I3036">
            <v>6.2</v>
          </cell>
        </row>
        <row r="3037">
          <cell r="B3037">
            <v>96</v>
          </cell>
          <cell r="I3037">
            <v>6.7</v>
          </cell>
        </row>
        <row r="3038">
          <cell r="B3038">
            <v>103</v>
          </cell>
          <cell r="I3038">
            <v>6.5</v>
          </cell>
        </row>
        <row r="3039">
          <cell r="B3039">
            <v>108</v>
          </cell>
          <cell r="I3039">
            <v>5.9</v>
          </cell>
        </row>
        <row r="3040">
          <cell r="B3040">
            <v>118</v>
          </cell>
          <cell r="I3040">
            <v>6</v>
          </cell>
        </row>
        <row r="3041">
          <cell r="B3041">
            <v>97</v>
          </cell>
          <cell r="I3041">
            <v>6.9</v>
          </cell>
        </row>
        <row r="3042">
          <cell r="B3042">
            <v>115</v>
          </cell>
          <cell r="I3042">
            <v>7.3</v>
          </cell>
        </row>
        <row r="3043">
          <cell r="B3043">
            <v>102</v>
          </cell>
          <cell r="I3043">
            <v>7.7</v>
          </cell>
        </row>
        <row r="3044">
          <cell r="B3044">
            <v>125</v>
          </cell>
          <cell r="I3044">
            <v>7.3</v>
          </cell>
        </row>
        <row r="3045">
          <cell r="B3045">
            <v>108</v>
          </cell>
          <cell r="I3045">
            <v>7</v>
          </cell>
        </row>
        <row r="3046">
          <cell r="B3046">
            <v>101</v>
          </cell>
          <cell r="I3046">
            <v>6.4</v>
          </cell>
        </row>
        <row r="3047">
          <cell r="B3047">
            <v>101</v>
          </cell>
          <cell r="I3047">
            <v>5.6</v>
          </cell>
        </row>
        <row r="3048">
          <cell r="B3048">
            <v>139</v>
          </cell>
          <cell r="I3048">
            <v>8.1999999999999993</v>
          </cell>
        </row>
        <row r="3049">
          <cell r="B3049">
            <v>125</v>
          </cell>
          <cell r="I3049">
            <v>6.5</v>
          </cell>
        </row>
        <row r="3050">
          <cell r="B3050">
            <v>115</v>
          </cell>
          <cell r="I3050">
            <v>8.1</v>
          </cell>
        </row>
        <row r="3051">
          <cell r="B3051">
            <v>99</v>
          </cell>
          <cell r="I3051">
            <v>5.4</v>
          </cell>
        </row>
        <row r="3052">
          <cell r="B3052">
            <v>88</v>
          </cell>
          <cell r="I3052">
            <v>6.3</v>
          </cell>
        </row>
        <row r="3053">
          <cell r="B3053">
            <v>112</v>
          </cell>
          <cell r="I3053">
            <v>7.8</v>
          </cell>
        </row>
        <row r="3054">
          <cell r="B3054">
            <v>108</v>
          </cell>
          <cell r="I3054">
            <v>6.8</v>
          </cell>
        </row>
        <row r="3055">
          <cell r="B3055">
            <v>104</v>
          </cell>
          <cell r="I3055">
            <v>7.1</v>
          </cell>
        </row>
        <row r="3056">
          <cell r="B3056">
            <v>108</v>
          </cell>
          <cell r="I3056">
            <v>6.2</v>
          </cell>
        </row>
        <row r="3057">
          <cell r="B3057">
            <v>102</v>
          </cell>
          <cell r="I3057">
            <v>7.3</v>
          </cell>
        </row>
        <row r="3058">
          <cell r="B3058">
            <v>88</v>
          </cell>
          <cell r="I3058">
            <v>5.9</v>
          </cell>
        </row>
        <row r="3059">
          <cell r="B3059">
            <v>91</v>
          </cell>
          <cell r="I3059">
            <v>3.6</v>
          </cell>
        </row>
        <row r="3060">
          <cell r="B3060">
            <v>141</v>
          </cell>
          <cell r="I3060">
            <v>7.7</v>
          </cell>
        </row>
        <row r="3061">
          <cell r="B3061">
            <v>101</v>
          </cell>
          <cell r="I3061">
            <v>7.3</v>
          </cell>
        </row>
        <row r="3062">
          <cell r="B3062">
            <v>105</v>
          </cell>
          <cell r="I3062">
            <v>7.4</v>
          </cell>
        </row>
        <row r="3063">
          <cell r="B3063">
            <v>100</v>
          </cell>
          <cell r="I3063">
            <v>6.6</v>
          </cell>
        </row>
        <row r="3064">
          <cell r="B3064">
            <v>116</v>
          </cell>
          <cell r="I3064">
            <v>6.9</v>
          </cell>
        </row>
        <row r="3065">
          <cell r="B3065">
            <v>97</v>
          </cell>
          <cell r="I3065">
            <v>6.8</v>
          </cell>
        </row>
        <row r="3066">
          <cell r="B3066">
            <v>106</v>
          </cell>
          <cell r="I3066">
            <v>7.3</v>
          </cell>
        </row>
        <row r="3067">
          <cell r="B3067">
            <v>105</v>
          </cell>
          <cell r="I3067">
            <v>7.2</v>
          </cell>
        </row>
        <row r="3068">
          <cell r="B3068">
            <v>122</v>
          </cell>
          <cell r="I3068">
            <v>7.7</v>
          </cell>
        </row>
        <row r="3069">
          <cell r="B3069">
            <v>107</v>
          </cell>
          <cell r="I3069">
            <v>8.1</v>
          </cell>
        </row>
        <row r="3070">
          <cell r="B3070">
            <v>121</v>
          </cell>
          <cell r="I3070">
            <v>7.7</v>
          </cell>
        </row>
        <row r="3071">
          <cell r="B3071">
            <v>98</v>
          </cell>
          <cell r="I3071">
            <v>7.6</v>
          </cell>
        </row>
        <row r="3072">
          <cell r="B3072">
            <v>123</v>
          </cell>
          <cell r="I3072">
            <v>7.2</v>
          </cell>
        </row>
        <row r="3073">
          <cell r="B3073">
            <v>110</v>
          </cell>
          <cell r="I3073">
            <v>7.2</v>
          </cell>
        </row>
        <row r="3074">
          <cell r="B3074">
            <v>120</v>
          </cell>
          <cell r="I3074">
            <v>8.1</v>
          </cell>
        </row>
        <row r="3075">
          <cell r="B3075">
            <v>122</v>
          </cell>
          <cell r="I3075">
            <v>7.5</v>
          </cell>
        </row>
        <row r="3076">
          <cell r="B3076">
            <v>110</v>
          </cell>
          <cell r="I3076">
            <v>8.1</v>
          </cell>
        </row>
        <row r="3077">
          <cell r="B3077">
            <v>139</v>
          </cell>
          <cell r="I3077">
            <v>7.8</v>
          </cell>
        </row>
        <row r="3078">
          <cell r="B3078">
            <v>124</v>
          </cell>
          <cell r="I3078">
            <v>7.8</v>
          </cell>
        </row>
        <row r="3079">
          <cell r="B3079">
            <v>152</v>
          </cell>
          <cell r="I3079">
            <v>7.6</v>
          </cell>
        </row>
        <row r="3080">
          <cell r="B3080">
            <v>98</v>
          </cell>
          <cell r="I3080">
            <v>7.4</v>
          </cell>
        </row>
        <row r="3081">
          <cell r="B3081">
            <v>106</v>
          </cell>
          <cell r="I3081">
            <v>6.3</v>
          </cell>
        </row>
        <row r="3082">
          <cell r="B3082">
            <v>106</v>
          </cell>
          <cell r="I3082">
            <v>6.9</v>
          </cell>
        </row>
        <row r="3083">
          <cell r="B3083">
            <v>106</v>
          </cell>
          <cell r="I3083">
            <v>8.6</v>
          </cell>
        </row>
        <row r="3084">
          <cell r="B3084">
            <v>89</v>
          </cell>
          <cell r="I3084">
            <v>5.0999999999999996</v>
          </cell>
        </row>
        <row r="3085">
          <cell r="B3085">
            <v>94</v>
          </cell>
          <cell r="I3085">
            <v>6.4</v>
          </cell>
        </row>
        <row r="3086">
          <cell r="B3086">
            <v>109</v>
          </cell>
          <cell r="I3086">
            <v>7.9</v>
          </cell>
        </row>
        <row r="3087">
          <cell r="B3087">
            <v>144</v>
          </cell>
          <cell r="I3087">
            <v>6.9</v>
          </cell>
        </row>
        <row r="3088">
          <cell r="B3088">
            <v>90</v>
          </cell>
          <cell r="I3088">
            <v>7.5</v>
          </cell>
        </row>
        <row r="3089">
          <cell r="B3089">
            <v>106</v>
          </cell>
          <cell r="I3089">
            <v>7.2</v>
          </cell>
        </row>
        <row r="3090">
          <cell r="B3090">
            <v>121</v>
          </cell>
          <cell r="I3090">
            <v>5.8</v>
          </cell>
        </row>
        <row r="3091">
          <cell r="B3091">
            <v>89</v>
          </cell>
          <cell r="I3091">
            <v>2.9</v>
          </cell>
        </row>
        <row r="3092">
          <cell r="B3092">
            <v>104</v>
          </cell>
          <cell r="I3092">
            <v>6.2</v>
          </cell>
        </row>
        <row r="3093">
          <cell r="B3093">
            <v>99</v>
          </cell>
          <cell r="I3093">
            <v>6.8</v>
          </cell>
        </row>
        <row r="3094">
          <cell r="B3094">
            <v>98</v>
          </cell>
          <cell r="I3094">
            <v>6.1</v>
          </cell>
        </row>
        <row r="3095">
          <cell r="B3095">
            <v>121</v>
          </cell>
          <cell r="I3095">
            <v>7.7</v>
          </cell>
        </row>
        <row r="3096">
          <cell r="B3096">
            <v>96</v>
          </cell>
          <cell r="I3096">
            <v>5.2</v>
          </cell>
        </row>
        <row r="3097">
          <cell r="B3097">
            <v>99</v>
          </cell>
          <cell r="I3097">
            <v>6.8</v>
          </cell>
        </row>
        <row r="3098">
          <cell r="B3098">
            <v>42</v>
          </cell>
          <cell r="I3098">
            <v>6.5</v>
          </cell>
        </row>
        <row r="3099">
          <cell r="B3099">
            <v>122</v>
          </cell>
          <cell r="I3099">
            <v>7</v>
          </cell>
        </row>
        <row r="3100">
          <cell r="B3100">
            <v>101</v>
          </cell>
          <cell r="I3100">
            <v>5.9</v>
          </cell>
        </row>
        <row r="3101">
          <cell r="B3101">
            <v>102</v>
          </cell>
          <cell r="I3101">
            <v>7.1</v>
          </cell>
        </row>
        <row r="3102">
          <cell r="B3102">
            <v>84</v>
          </cell>
          <cell r="I3102">
            <v>5.5</v>
          </cell>
        </row>
        <row r="3103">
          <cell r="B3103">
            <v>104</v>
          </cell>
          <cell r="I3103">
            <v>7.4</v>
          </cell>
        </row>
        <row r="3104">
          <cell r="B3104">
            <v>96</v>
          </cell>
          <cell r="I3104">
            <v>7.3</v>
          </cell>
        </row>
        <row r="3105">
          <cell r="B3105">
            <v>94</v>
          </cell>
          <cell r="I3105">
            <v>4.5999999999999996</v>
          </cell>
        </row>
        <row r="3106">
          <cell r="B3106">
            <v>90</v>
          </cell>
          <cell r="I3106">
            <v>7.2</v>
          </cell>
        </row>
        <row r="3107">
          <cell r="B3107">
            <v>90</v>
          </cell>
          <cell r="I3107">
            <v>5.0999999999999996</v>
          </cell>
        </row>
        <row r="3108">
          <cell r="B3108">
            <v>106</v>
          </cell>
          <cell r="I3108">
            <v>6.7</v>
          </cell>
        </row>
        <row r="3109">
          <cell r="B3109">
            <v>96</v>
          </cell>
          <cell r="I3109">
            <v>5.3</v>
          </cell>
        </row>
        <row r="3110">
          <cell r="B3110">
            <v>95</v>
          </cell>
          <cell r="I3110">
            <v>7.8</v>
          </cell>
        </row>
        <row r="3111">
          <cell r="B3111">
            <v>99</v>
          </cell>
          <cell r="I3111">
            <v>6.7</v>
          </cell>
        </row>
        <row r="3112">
          <cell r="B3112">
            <v>99</v>
          </cell>
          <cell r="I3112">
            <v>7.2</v>
          </cell>
        </row>
        <row r="3113">
          <cell r="B3113">
            <v>95</v>
          </cell>
          <cell r="I3113">
            <v>5.8</v>
          </cell>
        </row>
        <row r="3114">
          <cell r="B3114">
            <v>99</v>
          </cell>
          <cell r="I3114">
            <v>7</v>
          </cell>
        </row>
        <row r="3115">
          <cell r="B3115">
            <v>107</v>
          </cell>
          <cell r="I3115">
            <v>3.8</v>
          </cell>
        </row>
        <row r="3116">
          <cell r="B3116">
            <v>90</v>
          </cell>
          <cell r="I3116">
            <v>5.7</v>
          </cell>
        </row>
        <row r="3117">
          <cell r="B3117">
            <v>96</v>
          </cell>
          <cell r="I3117">
            <v>6.7</v>
          </cell>
        </row>
        <row r="3118">
          <cell r="B3118">
            <v>104</v>
          </cell>
          <cell r="I3118">
            <v>6.1</v>
          </cell>
        </row>
        <row r="3119">
          <cell r="B3119">
            <v>97</v>
          </cell>
          <cell r="I3119">
            <v>6.2</v>
          </cell>
        </row>
        <row r="3120">
          <cell r="B3120">
            <v>107</v>
          </cell>
          <cell r="I3120">
            <v>6.2</v>
          </cell>
        </row>
        <row r="3121">
          <cell r="B3121">
            <v>85</v>
          </cell>
          <cell r="I3121">
            <v>4.7</v>
          </cell>
        </row>
        <row r="3122">
          <cell r="B3122">
            <v>95</v>
          </cell>
          <cell r="I3122">
            <v>6.3</v>
          </cell>
        </row>
        <row r="3123">
          <cell r="B3123">
            <v>111</v>
          </cell>
          <cell r="I3123">
            <v>7.3</v>
          </cell>
        </row>
        <row r="3124">
          <cell r="B3124">
            <v>86</v>
          </cell>
          <cell r="I3124">
            <v>5.8</v>
          </cell>
        </row>
        <row r="3125">
          <cell r="B3125">
            <v>103</v>
          </cell>
          <cell r="I3125">
            <v>7.1</v>
          </cell>
        </row>
        <row r="3126">
          <cell r="B3126">
            <v>111</v>
          </cell>
          <cell r="I3126">
            <v>7.1</v>
          </cell>
        </row>
        <row r="3127">
          <cell r="B3127">
            <v>112</v>
          </cell>
          <cell r="I3127">
            <v>6.7</v>
          </cell>
        </row>
        <row r="3128">
          <cell r="B3128">
            <v>141</v>
          </cell>
          <cell r="I3128">
            <v>6.9</v>
          </cell>
        </row>
        <row r="3129">
          <cell r="B3129">
            <v>95</v>
          </cell>
          <cell r="I3129">
            <v>2.1</v>
          </cell>
        </row>
        <row r="3130">
          <cell r="B3130">
            <v>85</v>
          </cell>
          <cell r="I3130">
            <v>6.6</v>
          </cell>
        </row>
        <row r="3131">
          <cell r="B3131">
            <v>129</v>
          </cell>
          <cell r="I3131">
            <v>8.3000000000000007</v>
          </cell>
        </row>
        <row r="3132">
          <cell r="B3132">
            <v>125</v>
          </cell>
          <cell r="I3132">
            <v>7.2</v>
          </cell>
        </row>
        <row r="3133">
          <cell r="B3133">
            <v>116</v>
          </cell>
          <cell r="I3133">
            <v>5.6</v>
          </cell>
        </row>
        <row r="3134">
          <cell r="B3134">
            <v>105</v>
          </cell>
          <cell r="I3134">
            <v>7.7</v>
          </cell>
        </row>
        <row r="3135">
          <cell r="B3135">
            <v>90</v>
          </cell>
          <cell r="I3135">
            <v>6.6</v>
          </cell>
        </row>
        <row r="3136">
          <cell r="B3136">
            <v>111</v>
          </cell>
          <cell r="I3136">
            <v>7.4</v>
          </cell>
        </row>
        <row r="3137">
          <cell r="B3137">
            <v>91</v>
          </cell>
          <cell r="I3137">
            <v>7.1</v>
          </cell>
        </row>
        <row r="3138">
          <cell r="B3138">
            <v>97</v>
          </cell>
          <cell r="I3138">
            <v>7.9</v>
          </cell>
        </row>
        <row r="3139">
          <cell r="B3139">
            <v>92</v>
          </cell>
          <cell r="I3139">
            <v>6.7</v>
          </cell>
        </row>
        <row r="3140">
          <cell r="B3140">
            <v>104</v>
          </cell>
          <cell r="I3140">
            <v>6.6</v>
          </cell>
        </row>
        <row r="3141">
          <cell r="B3141">
            <v>120</v>
          </cell>
          <cell r="I3141">
            <v>7.9</v>
          </cell>
        </row>
        <row r="3142">
          <cell r="B3142">
            <v>99</v>
          </cell>
          <cell r="I3142">
            <v>4.9000000000000004</v>
          </cell>
        </row>
        <row r="3143">
          <cell r="B3143">
            <v>93</v>
          </cell>
          <cell r="I3143">
            <v>7.2</v>
          </cell>
        </row>
        <row r="3144">
          <cell r="B3144">
            <v>99</v>
          </cell>
          <cell r="I3144">
            <v>6.1</v>
          </cell>
        </row>
        <row r="3145">
          <cell r="B3145">
            <v>96</v>
          </cell>
          <cell r="I3145">
            <v>5.3</v>
          </cell>
        </row>
        <row r="3146">
          <cell r="B3146">
            <v>96</v>
          </cell>
          <cell r="I3146">
            <v>5</v>
          </cell>
        </row>
        <row r="3147">
          <cell r="B3147">
            <v>100</v>
          </cell>
          <cell r="I3147">
            <v>7.6</v>
          </cell>
        </row>
        <row r="3148">
          <cell r="B3148">
            <v>98</v>
          </cell>
          <cell r="I3148">
            <v>7.6</v>
          </cell>
        </row>
        <row r="3149">
          <cell r="B3149">
            <v>106</v>
          </cell>
          <cell r="I3149">
            <v>6.6</v>
          </cell>
        </row>
        <row r="3150">
          <cell r="B3150">
            <v>95</v>
          </cell>
          <cell r="I3150">
            <v>6.6</v>
          </cell>
        </row>
        <row r="3151">
          <cell r="B3151">
            <v>104</v>
          </cell>
          <cell r="I3151">
            <v>7.3</v>
          </cell>
        </row>
        <row r="3152">
          <cell r="B3152">
            <v>87</v>
          </cell>
          <cell r="I3152">
            <v>6.6</v>
          </cell>
        </row>
        <row r="3153">
          <cell r="B3153">
            <v>81</v>
          </cell>
          <cell r="I3153">
            <v>6.9</v>
          </cell>
        </row>
        <row r="3154">
          <cell r="B3154">
            <v>94</v>
          </cell>
          <cell r="I3154">
            <v>5.8</v>
          </cell>
        </row>
        <row r="3155">
          <cell r="B3155">
            <v>89</v>
          </cell>
          <cell r="I3155">
            <v>4.4000000000000004</v>
          </cell>
        </row>
        <row r="3156">
          <cell r="B3156">
            <v>88</v>
          </cell>
          <cell r="I3156">
            <v>6.6</v>
          </cell>
        </row>
        <row r="3157">
          <cell r="B3157">
            <v>115</v>
          </cell>
          <cell r="I3157">
            <v>7.6</v>
          </cell>
        </row>
        <row r="3158">
          <cell r="B3158">
            <v>96</v>
          </cell>
          <cell r="I3158">
            <v>4.5999999999999996</v>
          </cell>
        </row>
        <row r="3159">
          <cell r="B3159">
            <v>135</v>
          </cell>
          <cell r="I3159">
            <v>6.8</v>
          </cell>
        </row>
        <row r="3160">
          <cell r="B3160">
            <v>93</v>
          </cell>
          <cell r="I3160">
            <v>4.9000000000000004</v>
          </cell>
        </row>
        <row r="3161">
          <cell r="B3161">
            <v>109</v>
          </cell>
          <cell r="I3161">
            <v>7.3</v>
          </cell>
        </row>
        <row r="3162">
          <cell r="B3162">
            <v>101</v>
          </cell>
          <cell r="I3162">
            <v>5</v>
          </cell>
        </row>
        <row r="3163">
          <cell r="B3163">
            <v>117</v>
          </cell>
          <cell r="I3163">
            <v>8</v>
          </cell>
        </row>
        <row r="3164">
          <cell r="B3164">
            <v>83</v>
          </cell>
          <cell r="I3164">
            <v>5.2</v>
          </cell>
        </row>
        <row r="3165">
          <cell r="B3165">
            <v>113</v>
          </cell>
          <cell r="I3165">
            <v>8.5</v>
          </cell>
        </row>
        <row r="3166">
          <cell r="B3166">
            <v>104</v>
          </cell>
          <cell r="I3166">
            <v>6.5</v>
          </cell>
        </row>
        <row r="3167">
          <cell r="B3167">
            <v>97</v>
          </cell>
          <cell r="I3167">
            <v>7.4</v>
          </cell>
        </row>
        <row r="3168">
          <cell r="B3168">
            <v>110</v>
          </cell>
          <cell r="I3168">
            <v>7.7</v>
          </cell>
        </row>
        <row r="3169">
          <cell r="B3169">
            <v>103</v>
          </cell>
          <cell r="I3169">
            <v>7.4</v>
          </cell>
        </row>
        <row r="3170">
          <cell r="B3170">
            <v>94</v>
          </cell>
          <cell r="I3170">
            <v>5.0999999999999996</v>
          </cell>
        </row>
        <row r="3171">
          <cell r="B3171">
            <v>77</v>
          </cell>
          <cell r="I3171">
            <v>5</v>
          </cell>
        </row>
        <row r="3172">
          <cell r="B3172">
            <v>134</v>
          </cell>
          <cell r="I3172">
            <v>7.2</v>
          </cell>
        </row>
        <row r="3173">
          <cell r="B3173">
            <v>90</v>
          </cell>
          <cell r="I3173">
            <v>6.4</v>
          </cell>
        </row>
        <row r="3174">
          <cell r="B3174">
            <v>104</v>
          </cell>
          <cell r="I3174">
            <v>5.6</v>
          </cell>
        </row>
        <row r="3175">
          <cell r="B3175">
            <v>93</v>
          </cell>
          <cell r="I3175">
            <v>6.1</v>
          </cell>
        </row>
        <row r="3176">
          <cell r="B3176">
            <v>106</v>
          </cell>
          <cell r="I3176">
            <v>5.2</v>
          </cell>
        </row>
        <row r="3177">
          <cell r="B3177">
            <v>109</v>
          </cell>
          <cell r="I3177">
            <v>7.3</v>
          </cell>
        </row>
        <row r="3178">
          <cell r="B3178">
            <v>101</v>
          </cell>
          <cell r="I3178">
            <v>7.5</v>
          </cell>
        </row>
        <row r="3179">
          <cell r="B3179">
            <v>100</v>
          </cell>
          <cell r="I3179">
            <v>4.5</v>
          </cell>
        </row>
        <row r="3180">
          <cell r="B3180">
            <v>95</v>
          </cell>
          <cell r="I3180">
            <v>6.6</v>
          </cell>
        </row>
        <row r="3181">
          <cell r="B3181">
            <v>94</v>
          </cell>
          <cell r="I3181">
            <v>5.3</v>
          </cell>
        </row>
        <row r="3182">
          <cell r="B3182">
            <v>93</v>
          </cell>
          <cell r="I3182">
            <v>4.9000000000000004</v>
          </cell>
        </row>
        <row r="3183">
          <cell r="B3183">
            <v>106</v>
          </cell>
          <cell r="I3183">
            <v>7.7</v>
          </cell>
        </row>
        <row r="3184">
          <cell r="B3184">
            <v>99</v>
          </cell>
          <cell r="I3184">
            <v>8</v>
          </cell>
        </row>
        <row r="3185">
          <cell r="B3185">
            <v>82</v>
          </cell>
          <cell r="I3185">
            <v>3.8</v>
          </cell>
        </row>
        <row r="3186">
          <cell r="B3186">
            <v>135</v>
          </cell>
          <cell r="I3186">
            <v>7.6</v>
          </cell>
        </row>
        <row r="3187">
          <cell r="B3187">
            <v>88</v>
          </cell>
          <cell r="I3187">
            <v>5.9</v>
          </cell>
        </row>
        <row r="3188">
          <cell r="B3188">
            <v>89</v>
          </cell>
          <cell r="I3188">
            <v>6.2</v>
          </cell>
        </row>
        <row r="3189">
          <cell r="B3189">
            <v>110</v>
          </cell>
          <cell r="I3189">
            <v>7.2</v>
          </cell>
        </row>
        <row r="3190">
          <cell r="B3190">
            <v>107</v>
          </cell>
          <cell r="I3190">
            <v>6.3</v>
          </cell>
        </row>
        <row r="3191">
          <cell r="B3191">
            <v>86</v>
          </cell>
          <cell r="I3191">
            <v>5.2</v>
          </cell>
        </row>
        <row r="3192">
          <cell r="B3192">
            <v>91</v>
          </cell>
          <cell r="I3192">
            <v>6.9</v>
          </cell>
        </row>
        <row r="3193">
          <cell r="B3193">
            <v>103</v>
          </cell>
          <cell r="I3193">
            <v>6.8</v>
          </cell>
        </row>
        <row r="3194">
          <cell r="B3194">
            <v>92</v>
          </cell>
          <cell r="I3194">
            <v>3.5</v>
          </cell>
        </row>
        <row r="3195">
          <cell r="B3195">
            <v>99</v>
          </cell>
          <cell r="I3195">
            <v>6.1</v>
          </cell>
        </row>
        <row r="3196">
          <cell r="B3196">
            <v>96</v>
          </cell>
          <cell r="I3196">
            <v>4.5</v>
          </cell>
        </row>
        <row r="3197">
          <cell r="B3197">
            <v>82</v>
          </cell>
          <cell r="I3197">
            <v>5.9</v>
          </cell>
        </row>
        <row r="3198">
          <cell r="B3198">
            <v>92</v>
          </cell>
          <cell r="I3198">
            <v>6.9</v>
          </cell>
        </row>
        <row r="3199">
          <cell r="B3199">
            <v>112</v>
          </cell>
          <cell r="I3199">
            <v>7.7</v>
          </cell>
        </row>
        <row r="3200">
          <cell r="B3200">
            <v>90</v>
          </cell>
          <cell r="I3200">
            <v>5.3</v>
          </cell>
        </row>
        <row r="3201">
          <cell r="B3201">
            <v>150</v>
          </cell>
          <cell r="I3201">
            <v>7</v>
          </cell>
        </row>
        <row r="3202">
          <cell r="B3202">
            <v>91</v>
          </cell>
          <cell r="I3202">
            <v>6.6</v>
          </cell>
        </row>
        <row r="3203">
          <cell r="B3203">
            <v>95</v>
          </cell>
          <cell r="I3203">
            <v>6.4</v>
          </cell>
        </row>
        <row r="3204">
          <cell r="B3204">
            <v>97</v>
          </cell>
          <cell r="I3204">
            <v>7.9</v>
          </cell>
        </row>
        <row r="3205">
          <cell r="B3205">
            <v>41</v>
          </cell>
          <cell r="I3205">
            <v>6.9</v>
          </cell>
        </row>
        <row r="3206">
          <cell r="B3206">
            <v>112</v>
          </cell>
          <cell r="I3206">
            <v>7.7</v>
          </cell>
        </row>
        <row r="3207">
          <cell r="B3207">
            <v>122</v>
          </cell>
          <cell r="I3207">
            <v>7.2</v>
          </cell>
        </row>
        <row r="3208">
          <cell r="B3208">
            <v>110</v>
          </cell>
          <cell r="I3208">
            <v>6.8</v>
          </cell>
        </row>
        <row r="3209">
          <cell r="B3209">
            <v>108</v>
          </cell>
          <cell r="I3209">
            <v>7.4</v>
          </cell>
        </row>
        <row r="3210">
          <cell r="B3210">
            <v>121</v>
          </cell>
          <cell r="I3210">
            <v>4.5999999999999996</v>
          </cell>
        </row>
        <row r="3211">
          <cell r="B3211">
            <v>97</v>
          </cell>
          <cell r="I3211">
            <v>6.4</v>
          </cell>
        </row>
        <row r="3212">
          <cell r="B3212">
            <v>116</v>
          </cell>
          <cell r="I3212">
            <v>7</v>
          </cell>
        </row>
        <row r="3213">
          <cell r="B3213">
            <v>94</v>
          </cell>
          <cell r="I3213">
            <v>7.7</v>
          </cell>
        </row>
        <row r="3214">
          <cell r="B3214">
            <v>103</v>
          </cell>
          <cell r="I3214">
            <v>6.8</v>
          </cell>
        </row>
        <row r="3215">
          <cell r="B3215">
            <v>112</v>
          </cell>
          <cell r="I3215">
            <v>7</v>
          </cell>
        </row>
        <row r="3216">
          <cell r="B3216">
            <v>91</v>
          </cell>
          <cell r="I3216">
            <v>7</v>
          </cell>
        </row>
        <row r="3217">
          <cell r="B3217">
            <v>98</v>
          </cell>
          <cell r="I3217">
            <v>6.3</v>
          </cell>
        </row>
        <row r="3218">
          <cell r="B3218">
            <v>95</v>
          </cell>
          <cell r="I3218">
            <v>7.1</v>
          </cell>
        </row>
        <row r="3219">
          <cell r="B3219">
            <v>99</v>
          </cell>
          <cell r="I3219">
            <v>4.4000000000000004</v>
          </cell>
        </row>
        <row r="3220">
          <cell r="B3220">
            <v>91</v>
          </cell>
          <cell r="I3220">
            <v>7.1</v>
          </cell>
        </row>
        <row r="3221">
          <cell r="B3221">
            <v>97</v>
          </cell>
          <cell r="I3221">
            <v>6.1</v>
          </cell>
        </row>
        <row r="3222">
          <cell r="B3222">
            <v>90</v>
          </cell>
          <cell r="I3222">
            <v>7.3</v>
          </cell>
        </row>
        <row r="3223">
          <cell r="B3223">
            <v>90</v>
          </cell>
          <cell r="I3223">
            <v>6.2</v>
          </cell>
        </row>
        <row r="3224">
          <cell r="B3224">
            <v>94</v>
          </cell>
          <cell r="I3224">
            <v>6.2</v>
          </cell>
        </row>
        <row r="3225">
          <cell r="B3225">
            <v>90</v>
          </cell>
          <cell r="I3225">
            <v>6.2</v>
          </cell>
        </row>
        <row r="3226">
          <cell r="B3226">
            <v>103</v>
          </cell>
          <cell r="I3226">
            <v>3.3</v>
          </cell>
        </row>
        <row r="3227">
          <cell r="B3227">
            <v>105</v>
          </cell>
          <cell r="I3227">
            <v>7.5</v>
          </cell>
        </row>
        <row r="3228">
          <cell r="B3228">
            <v>113</v>
          </cell>
          <cell r="I3228">
            <v>7.4</v>
          </cell>
        </row>
        <row r="3229">
          <cell r="B3229">
            <v>99</v>
          </cell>
          <cell r="I3229">
            <v>7.3</v>
          </cell>
        </row>
        <row r="3230">
          <cell r="B3230">
            <v>148</v>
          </cell>
          <cell r="I3230">
            <v>8</v>
          </cell>
        </row>
        <row r="3231">
          <cell r="B3231">
            <v>93</v>
          </cell>
          <cell r="I3231">
            <v>5.9</v>
          </cell>
        </row>
        <row r="3232">
          <cell r="B3232">
            <v>94</v>
          </cell>
          <cell r="I3232">
            <v>6.8</v>
          </cell>
        </row>
        <row r="3233">
          <cell r="B3233">
            <v>121</v>
          </cell>
          <cell r="I3233">
            <v>7.4</v>
          </cell>
        </row>
        <row r="3234">
          <cell r="B3234">
            <v>118</v>
          </cell>
          <cell r="I3234">
            <v>6.7</v>
          </cell>
        </row>
        <row r="3235">
          <cell r="B3235">
            <v>101</v>
          </cell>
          <cell r="I3235">
            <v>5.5</v>
          </cell>
        </row>
        <row r="3236">
          <cell r="B3236">
            <v>90</v>
          </cell>
          <cell r="I3236">
            <v>5.7</v>
          </cell>
        </row>
        <row r="3237">
          <cell r="B3237">
            <v>100</v>
          </cell>
          <cell r="I3237">
            <v>7.2</v>
          </cell>
        </row>
        <row r="3238">
          <cell r="B3238">
            <v>97</v>
          </cell>
          <cell r="I3238">
            <v>5.9</v>
          </cell>
        </row>
        <row r="3239">
          <cell r="B3239">
            <v>96</v>
          </cell>
          <cell r="I3239">
            <v>6.7</v>
          </cell>
        </row>
        <row r="3240">
          <cell r="B3240">
            <v>117</v>
          </cell>
          <cell r="I3240">
            <v>7.1</v>
          </cell>
        </row>
        <row r="3241">
          <cell r="B3241">
            <v>108</v>
          </cell>
          <cell r="I3241">
            <v>7.7</v>
          </cell>
        </row>
        <row r="3242">
          <cell r="B3242">
            <v>109</v>
          </cell>
          <cell r="I3242">
            <v>7.4</v>
          </cell>
        </row>
        <row r="3243">
          <cell r="B3243">
            <v>102</v>
          </cell>
          <cell r="I3243">
            <v>8.4</v>
          </cell>
        </row>
        <row r="3244">
          <cell r="B3244">
            <v>115</v>
          </cell>
          <cell r="I3244">
            <v>7.2</v>
          </cell>
        </row>
        <row r="3245">
          <cell r="B3245">
            <v>98</v>
          </cell>
          <cell r="I3245">
            <v>5.4</v>
          </cell>
        </row>
        <row r="3246">
          <cell r="B3246">
            <v>133</v>
          </cell>
          <cell r="I3246">
            <v>8.1</v>
          </cell>
        </row>
        <row r="3247">
          <cell r="B3247">
            <v>122</v>
          </cell>
          <cell r="I3247">
            <v>7.8</v>
          </cell>
        </row>
        <row r="3248">
          <cell r="B3248">
            <v>106</v>
          </cell>
          <cell r="I3248">
            <v>6.8</v>
          </cell>
        </row>
        <row r="3249">
          <cell r="B3249">
            <v>112</v>
          </cell>
          <cell r="I3249">
            <v>7.7</v>
          </cell>
        </row>
        <row r="3250">
          <cell r="B3250">
            <v>99</v>
          </cell>
          <cell r="I3250">
            <v>6.5</v>
          </cell>
        </row>
        <row r="3251">
          <cell r="B3251">
            <v>110</v>
          </cell>
          <cell r="I3251">
            <v>7.3</v>
          </cell>
        </row>
        <row r="3252">
          <cell r="B3252">
            <v>104</v>
          </cell>
          <cell r="I3252">
            <v>5.9</v>
          </cell>
        </row>
        <row r="3253">
          <cell r="B3253">
            <v>133</v>
          </cell>
          <cell r="I3253">
            <v>8.6999999999999993</v>
          </cell>
        </row>
        <row r="3254">
          <cell r="B3254">
            <v>103</v>
          </cell>
          <cell r="I3254">
            <v>5.8</v>
          </cell>
        </row>
        <row r="3255">
          <cell r="B3255">
            <v>112</v>
          </cell>
          <cell r="I3255">
            <v>6.1</v>
          </cell>
        </row>
        <row r="3256">
          <cell r="B3256">
            <v>101</v>
          </cell>
          <cell r="I3256">
            <v>7.6</v>
          </cell>
        </row>
        <row r="3257">
          <cell r="B3257">
            <v>133</v>
          </cell>
          <cell r="I3257">
            <v>7.2</v>
          </cell>
        </row>
        <row r="3258">
          <cell r="B3258">
            <v>104</v>
          </cell>
          <cell r="I3258">
            <v>6.5</v>
          </cell>
        </row>
        <row r="3259">
          <cell r="B3259">
            <v>112</v>
          </cell>
          <cell r="I3259">
            <v>7.3</v>
          </cell>
        </row>
        <row r="3260">
          <cell r="B3260">
            <v>94</v>
          </cell>
          <cell r="I3260">
            <v>6.2</v>
          </cell>
        </row>
        <row r="3261">
          <cell r="B3261">
            <v>90</v>
          </cell>
          <cell r="I3261">
            <v>5</v>
          </cell>
        </row>
        <row r="3262">
          <cell r="B3262">
            <v>101</v>
          </cell>
          <cell r="I3262">
            <v>7.8</v>
          </cell>
        </row>
        <row r="3263">
          <cell r="B3263">
            <v>93</v>
          </cell>
          <cell r="I3263">
            <v>8.1</v>
          </cell>
        </row>
        <row r="3264">
          <cell r="B3264">
            <v>152</v>
          </cell>
          <cell r="I3264">
            <v>6.7</v>
          </cell>
        </row>
        <row r="3265">
          <cell r="B3265">
            <v>112</v>
          </cell>
          <cell r="I3265">
            <v>7.1</v>
          </cell>
        </row>
        <row r="3266">
          <cell r="B3266">
            <v>95</v>
          </cell>
          <cell r="I3266">
            <v>5.6</v>
          </cell>
        </row>
        <row r="3267">
          <cell r="B3267">
            <v>111</v>
          </cell>
          <cell r="I3267">
            <v>7.6</v>
          </cell>
        </row>
        <row r="3268">
          <cell r="B3268">
            <v>91</v>
          </cell>
          <cell r="I3268">
            <v>4.5999999999999996</v>
          </cell>
        </row>
        <row r="3269">
          <cell r="B3269">
            <v>106</v>
          </cell>
          <cell r="I3269">
            <v>7.1</v>
          </cell>
        </row>
        <row r="3270">
          <cell r="B3270">
            <v>93</v>
          </cell>
          <cell r="I3270">
            <v>7.3</v>
          </cell>
        </row>
        <row r="3271">
          <cell r="B3271">
            <v>93</v>
          </cell>
          <cell r="I3271">
            <v>4</v>
          </cell>
        </row>
        <row r="3272">
          <cell r="B3272">
            <v>165</v>
          </cell>
          <cell r="I3272">
            <v>8</v>
          </cell>
        </row>
        <row r="3273">
          <cell r="B3273">
            <v>96</v>
          </cell>
          <cell r="I3273">
            <v>6.7</v>
          </cell>
        </row>
        <row r="3274">
          <cell r="B3274">
            <v>93</v>
          </cell>
          <cell r="I3274">
            <v>4.5999999999999996</v>
          </cell>
        </row>
        <row r="3275">
          <cell r="B3275">
            <v>82</v>
          </cell>
          <cell r="I3275">
            <v>4</v>
          </cell>
        </row>
        <row r="3276">
          <cell r="B3276">
            <v>101</v>
          </cell>
          <cell r="I3276">
            <v>7</v>
          </cell>
        </row>
        <row r="3277">
          <cell r="B3277">
            <v>81</v>
          </cell>
          <cell r="I3277">
            <v>5.9</v>
          </cell>
        </row>
        <row r="3278">
          <cell r="B3278">
            <v>105</v>
          </cell>
          <cell r="I3278">
            <v>7.5</v>
          </cell>
        </row>
        <row r="3279">
          <cell r="B3279">
            <v>86</v>
          </cell>
          <cell r="I3279">
            <v>4.7</v>
          </cell>
        </row>
        <row r="3280">
          <cell r="B3280">
            <v>110</v>
          </cell>
          <cell r="I3280">
            <v>6.7</v>
          </cell>
        </row>
        <row r="3281">
          <cell r="B3281">
            <v>110</v>
          </cell>
          <cell r="I3281">
            <v>6.7</v>
          </cell>
        </row>
        <row r="3282">
          <cell r="B3282">
            <v>104</v>
          </cell>
          <cell r="I3282">
            <v>7.1</v>
          </cell>
        </row>
        <row r="3283">
          <cell r="B3283">
            <v>96</v>
          </cell>
          <cell r="I3283">
            <v>2.7</v>
          </cell>
        </row>
        <row r="3284">
          <cell r="B3284">
            <v>110</v>
          </cell>
          <cell r="I3284">
            <v>7.3</v>
          </cell>
        </row>
        <row r="3285">
          <cell r="B3285">
            <v>84</v>
          </cell>
          <cell r="I3285">
            <v>7.6</v>
          </cell>
        </row>
        <row r="3286">
          <cell r="B3286">
            <v>94</v>
          </cell>
          <cell r="I3286">
            <v>5.8</v>
          </cell>
        </row>
        <row r="3287">
          <cell r="B3287">
            <v>93</v>
          </cell>
          <cell r="I3287">
            <v>6.5</v>
          </cell>
        </row>
        <row r="3288">
          <cell r="B3288">
            <v>96</v>
          </cell>
          <cell r="I3288">
            <v>6.6</v>
          </cell>
        </row>
        <row r="3289">
          <cell r="B3289">
            <v>101</v>
          </cell>
          <cell r="I3289">
            <v>6.9</v>
          </cell>
        </row>
        <row r="3290">
          <cell r="B3290">
            <v>102</v>
          </cell>
          <cell r="I3290">
            <v>8.5</v>
          </cell>
        </row>
        <row r="3291">
          <cell r="B3291">
            <v>87</v>
          </cell>
          <cell r="I3291">
            <v>4.8</v>
          </cell>
        </row>
        <row r="3292">
          <cell r="B3292">
            <v>99</v>
          </cell>
          <cell r="I3292">
            <v>7</v>
          </cell>
        </row>
        <row r="3293">
          <cell r="B3293">
            <v>106</v>
          </cell>
          <cell r="I3293">
            <v>5.4</v>
          </cell>
        </row>
        <row r="3294">
          <cell r="B3294">
            <v>117</v>
          </cell>
          <cell r="I3294">
            <v>6.9</v>
          </cell>
        </row>
        <row r="3295">
          <cell r="B3295">
            <v>99</v>
          </cell>
          <cell r="I3295">
            <v>6.6</v>
          </cell>
        </row>
        <row r="3296">
          <cell r="B3296">
            <v>102</v>
          </cell>
          <cell r="I3296">
            <v>5.9</v>
          </cell>
        </row>
        <row r="3297">
          <cell r="B3297">
            <v>85</v>
          </cell>
          <cell r="I3297">
            <v>6.3</v>
          </cell>
        </row>
        <row r="3298">
          <cell r="B3298">
            <v>86</v>
          </cell>
          <cell r="I3298">
            <v>6.3</v>
          </cell>
        </row>
        <row r="3299">
          <cell r="B3299">
            <v>120</v>
          </cell>
          <cell r="I3299">
            <v>7.7</v>
          </cell>
        </row>
        <row r="3300">
          <cell r="B3300">
            <v>106</v>
          </cell>
          <cell r="I3300">
            <v>7</v>
          </cell>
        </row>
        <row r="3301">
          <cell r="B3301">
            <v>103</v>
          </cell>
          <cell r="I3301">
            <v>6.3</v>
          </cell>
        </row>
        <row r="3302">
          <cell r="B3302">
            <v>93</v>
          </cell>
          <cell r="I3302">
            <v>5.9</v>
          </cell>
        </row>
        <row r="3303">
          <cell r="B3303">
            <v>112</v>
          </cell>
          <cell r="I3303">
            <v>6.2</v>
          </cell>
        </row>
        <row r="3304">
          <cell r="B3304">
            <v>113</v>
          </cell>
          <cell r="I3304">
            <v>7.7</v>
          </cell>
        </row>
        <row r="3305">
          <cell r="B3305">
            <v>98</v>
          </cell>
          <cell r="I3305">
            <v>6.5</v>
          </cell>
        </row>
        <row r="3306">
          <cell r="B3306">
            <v>92</v>
          </cell>
          <cell r="I3306">
            <v>5.8</v>
          </cell>
        </row>
        <row r="3307">
          <cell r="B3307">
            <v>106</v>
          </cell>
          <cell r="I3307">
            <v>6.1</v>
          </cell>
        </row>
        <row r="3308">
          <cell r="B3308">
            <v>93</v>
          </cell>
          <cell r="I3308">
            <v>5.2</v>
          </cell>
        </row>
        <row r="3309">
          <cell r="B3309">
            <v>226</v>
          </cell>
          <cell r="I3309">
            <v>8.1999999999999993</v>
          </cell>
        </row>
        <row r="3310">
          <cell r="B3310">
            <v>104</v>
          </cell>
          <cell r="I3310">
            <v>6</v>
          </cell>
        </row>
        <row r="3311">
          <cell r="B3311">
            <v>152</v>
          </cell>
          <cell r="I3311">
            <v>6.8</v>
          </cell>
        </row>
        <row r="3312">
          <cell r="B3312">
            <v>107</v>
          </cell>
          <cell r="I3312">
            <v>7</v>
          </cell>
        </row>
        <row r="3313">
          <cell r="B3313">
            <v>95</v>
          </cell>
          <cell r="I3313">
            <v>6.8</v>
          </cell>
        </row>
        <row r="3314">
          <cell r="B3314">
            <v>102</v>
          </cell>
          <cell r="I3314">
            <v>7.1</v>
          </cell>
        </row>
        <row r="3315">
          <cell r="B3315">
            <v>99</v>
          </cell>
          <cell r="I3315">
            <v>6.9</v>
          </cell>
        </row>
        <row r="3316">
          <cell r="B3316">
            <v>109</v>
          </cell>
          <cell r="I3316">
            <v>6.9</v>
          </cell>
        </row>
        <row r="3317">
          <cell r="B3317">
            <v>91</v>
          </cell>
          <cell r="I3317">
            <v>7.2</v>
          </cell>
        </row>
        <row r="3318">
          <cell r="B3318">
            <v>88</v>
          </cell>
          <cell r="I3318">
            <v>7.8</v>
          </cell>
        </row>
        <row r="3319">
          <cell r="B3319">
            <v>97</v>
          </cell>
          <cell r="I3319">
            <v>7.3</v>
          </cell>
        </row>
        <row r="3320">
          <cell r="B3320">
            <v>97</v>
          </cell>
          <cell r="I3320">
            <v>7.5</v>
          </cell>
        </row>
        <row r="3321">
          <cell r="B3321">
            <v>85</v>
          </cell>
          <cell r="I3321">
            <v>6</v>
          </cell>
        </row>
        <row r="3322">
          <cell r="B3322">
            <v>92</v>
          </cell>
          <cell r="I3322">
            <v>6.8</v>
          </cell>
        </row>
        <row r="3323">
          <cell r="B3323">
            <v>93</v>
          </cell>
          <cell r="I3323">
            <v>3.9</v>
          </cell>
        </row>
        <row r="3324">
          <cell r="B3324">
            <v>96</v>
          </cell>
          <cell r="I3324">
            <v>6.1</v>
          </cell>
        </row>
        <row r="3325">
          <cell r="B3325">
            <v>105</v>
          </cell>
          <cell r="I3325">
            <v>7.5</v>
          </cell>
        </row>
        <row r="3326">
          <cell r="B3326">
            <v>129</v>
          </cell>
          <cell r="I3326">
            <v>8.1999999999999993</v>
          </cell>
        </row>
        <row r="3327">
          <cell r="B3327">
            <v>37</v>
          </cell>
          <cell r="I3327">
            <v>7.8</v>
          </cell>
        </row>
        <row r="3328">
          <cell r="B3328">
            <v>81</v>
          </cell>
          <cell r="I3328">
            <v>5.2</v>
          </cell>
        </row>
        <row r="3329">
          <cell r="B3329">
            <v>106</v>
          </cell>
          <cell r="I3329">
            <v>6.8</v>
          </cell>
        </row>
        <row r="3330">
          <cell r="B3330">
            <v>103</v>
          </cell>
          <cell r="I3330">
            <v>7</v>
          </cell>
        </row>
        <row r="3331">
          <cell r="B3331">
            <v>101</v>
          </cell>
          <cell r="I3331">
            <v>6.5</v>
          </cell>
        </row>
        <row r="3332">
          <cell r="B3332">
            <v>98</v>
          </cell>
          <cell r="I3332">
            <v>6.4</v>
          </cell>
        </row>
        <row r="3333">
          <cell r="B3333">
            <v>91</v>
          </cell>
          <cell r="I3333">
            <v>5.3</v>
          </cell>
        </row>
        <row r="3334">
          <cell r="B3334">
            <v>105</v>
          </cell>
          <cell r="I3334">
            <v>4.7</v>
          </cell>
        </row>
        <row r="3335">
          <cell r="B3335">
            <v>100</v>
          </cell>
          <cell r="I3335">
            <v>7</v>
          </cell>
        </row>
        <row r="3336">
          <cell r="B3336">
            <v>80</v>
          </cell>
          <cell r="I3336">
            <v>7.6</v>
          </cell>
        </row>
        <row r="3337">
          <cell r="B3337">
            <v>107</v>
          </cell>
          <cell r="I3337">
            <v>7.1</v>
          </cell>
        </row>
        <row r="3338">
          <cell r="B3338">
            <v>92</v>
          </cell>
          <cell r="I3338">
            <v>6.5</v>
          </cell>
        </row>
        <row r="3339">
          <cell r="B3339">
            <v>107</v>
          </cell>
          <cell r="I3339">
            <v>8.5</v>
          </cell>
        </row>
        <row r="3340">
          <cell r="B3340">
            <v>135</v>
          </cell>
          <cell r="I3340">
            <v>8.6999999999999993</v>
          </cell>
        </row>
        <row r="3341">
          <cell r="B3341">
            <v>99</v>
          </cell>
          <cell r="I3341">
            <v>7.1</v>
          </cell>
        </row>
        <row r="3342">
          <cell r="B3342">
            <v>115</v>
          </cell>
          <cell r="I3342">
            <v>8.3000000000000007</v>
          </cell>
        </row>
        <row r="3343">
          <cell r="B3343">
            <v>91</v>
          </cell>
          <cell r="I3343">
            <v>7.4</v>
          </cell>
        </row>
        <row r="3344">
          <cell r="B3344">
            <v>92</v>
          </cell>
          <cell r="I3344">
            <v>6.4</v>
          </cell>
        </row>
        <row r="3345">
          <cell r="B3345">
            <v>101</v>
          </cell>
          <cell r="I3345">
            <v>7.5</v>
          </cell>
        </row>
        <row r="3346">
          <cell r="B3346">
            <v>105</v>
          </cell>
          <cell r="I3346">
            <v>7.2</v>
          </cell>
        </row>
        <row r="3347">
          <cell r="B3347">
            <v>109</v>
          </cell>
          <cell r="I3347">
            <v>7.6</v>
          </cell>
        </row>
        <row r="3348">
          <cell r="B3348">
            <v>110</v>
          </cell>
          <cell r="I3348">
            <v>7.8</v>
          </cell>
        </row>
        <row r="3349">
          <cell r="B3349">
            <v>94</v>
          </cell>
          <cell r="I3349">
            <v>8.1999999999999993</v>
          </cell>
        </row>
        <row r="3350">
          <cell r="B3350">
            <v>115</v>
          </cell>
          <cell r="I3350">
            <v>6.6</v>
          </cell>
        </row>
        <row r="3351">
          <cell r="B3351">
            <v>98</v>
          </cell>
          <cell r="I3351">
            <v>5.7</v>
          </cell>
        </row>
        <row r="3352">
          <cell r="B3352">
            <v>91</v>
          </cell>
          <cell r="I3352">
            <v>7.4</v>
          </cell>
        </row>
        <row r="3353">
          <cell r="B3353">
            <v>120</v>
          </cell>
          <cell r="I3353">
            <v>8</v>
          </cell>
        </row>
        <row r="3354">
          <cell r="B3354">
            <v>87</v>
          </cell>
          <cell r="I3354">
            <v>5.4</v>
          </cell>
        </row>
        <row r="3355">
          <cell r="B3355">
            <v>117</v>
          </cell>
          <cell r="I3355">
            <v>7.4</v>
          </cell>
        </row>
        <row r="3356">
          <cell r="B3356">
            <v>85</v>
          </cell>
          <cell r="I3356">
            <v>5.7</v>
          </cell>
        </row>
        <row r="3357">
          <cell r="B3357">
            <v>110</v>
          </cell>
          <cell r="I3357">
            <v>6.8</v>
          </cell>
        </row>
        <row r="3358">
          <cell r="B3358">
            <v>113</v>
          </cell>
          <cell r="I3358">
            <v>5.4</v>
          </cell>
        </row>
        <row r="3359">
          <cell r="B3359">
            <v>98</v>
          </cell>
          <cell r="I3359">
            <v>5.0999999999999996</v>
          </cell>
        </row>
        <row r="3360">
          <cell r="B3360">
            <v>86</v>
          </cell>
          <cell r="I3360">
            <v>5.9</v>
          </cell>
        </row>
        <row r="3361">
          <cell r="B3361">
            <v>161</v>
          </cell>
          <cell r="I3361">
            <v>8.1999999999999993</v>
          </cell>
        </row>
        <row r="3362">
          <cell r="B3362">
            <v>100</v>
          </cell>
          <cell r="I3362">
            <v>5.3</v>
          </cell>
        </row>
        <row r="3363">
          <cell r="B3363">
            <v>91</v>
          </cell>
          <cell r="I3363">
            <v>4.3</v>
          </cell>
        </row>
        <row r="3364">
          <cell r="B3364">
            <v>100</v>
          </cell>
          <cell r="I3364">
            <v>7.2</v>
          </cell>
        </row>
        <row r="3365">
          <cell r="B3365">
            <v>84</v>
          </cell>
          <cell r="I3365">
            <v>5.9</v>
          </cell>
        </row>
        <row r="3366">
          <cell r="B3366">
            <v>99</v>
          </cell>
          <cell r="I3366">
            <v>3</v>
          </cell>
        </row>
        <row r="3367">
          <cell r="B3367">
            <v>109</v>
          </cell>
          <cell r="I3367">
            <v>7.9</v>
          </cell>
        </row>
        <row r="3368">
          <cell r="B3368">
            <v>95</v>
          </cell>
          <cell r="I3368">
            <v>3.2</v>
          </cell>
        </row>
        <row r="3369">
          <cell r="B3369">
            <v>97</v>
          </cell>
          <cell r="I3369">
            <v>6.5</v>
          </cell>
        </row>
        <row r="3370">
          <cell r="B3370">
            <v>90</v>
          </cell>
          <cell r="I3370">
            <v>7</v>
          </cell>
        </row>
        <row r="3371">
          <cell r="B3371">
            <v>96</v>
          </cell>
          <cell r="I3371">
            <v>6.9</v>
          </cell>
        </row>
        <row r="3372">
          <cell r="B3372">
            <v>82</v>
          </cell>
          <cell r="I3372">
            <v>4.4000000000000004</v>
          </cell>
        </row>
        <row r="3373">
          <cell r="B3373">
            <v>109</v>
          </cell>
          <cell r="I3373">
            <v>6</v>
          </cell>
        </row>
        <row r="3374">
          <cell r="B3374">
            <v>98</v>
          </cell>
          <cell r="I3374">
            <v>5.3</v>
          </cell>
        </row>
        <row r="3375">
          <cell r="B3375">
            <v>95</v>
          </cell>
          <cell r="I3375">
            <v>5.3</v>
          </cell>
        </row>
        <row r="3376">
          <cell r="B3376">
            <v>104</v>
          </cell>
          <cell r="I3376">
            <v>7.1</v>
          </cell>
        </row>
        <row r="3377">
          <cell r="B3377">
            <v>87</v>
          </cell>
          <cell r="I3377">
            <v>5.4</v>
          </cell>
        </row>
        <row r="3378">
          <cell r="B3378">
            <v>108</v>
          </cell>
          <cell r="I3378">
            <v>6.9</v>
          </cell>
        </row>
        <row r="3379">
          <cell r="B3379">
            <v>94</v>
          </cell>
          <cell r="I3379">
            <v>7.3</v>
          </cell>
        </row>
        <row r="3380">
          <cell r="B3380">
            <v>134</v>
          </cell>
          <cell r="I3380">
            <v>7.8</v>
          </cell>
        </row>
        <row r="3381">
          <cell r="B3381">
            <v>89</v>
          </cell>
          <cell r="I3381">
            <v>6.6</v>
          </cell>
        </row>
        <row r="3382">
          <cell r="B3382">
            <v>102</v>
          </cell>
          <cell r="I3382">
            <v>5.4</v>
          </cell>
        </row>
        <row r="3383">
          <cell r="B3383">
            <v>120</v>
          </cell>
          <cell r="I3383">
            <v>8.4</v>
          </cell>
        </row>
        <row r="3384">
          <cell r="B3384">
            <v>110</v>
          </cell>
          <cell r="I3384">
            <v>6.3</v>
          </cell>
        </row>
        <row r="3385">
          <cell r="B3385">
            <v>86</v>
          </cell>
          <cell r="I3385">
            <v>6.1</v>
          </cell>
        </row>
        <row r="3386">
          <cell r="B3386">
            <v>101</v>
          </cell>
          <cell r="I3386">
            <v>5</v>
          </cell>
        </row>
        <row r="3387">
          <cell r="B3387">
            <v>87</v>
          </cell>
          <cell r="I3387">
            <v>5.3</v>
          </cell>
        </row>
        <row r="3388">
          <cell r="B3388">
            <v>93</v>
          </cell>
          <cell r="I3388">
            <v>5.3</v>
          </cell>
        </row>
        <row r="3389">
          <cell r="B3389">
            <v>98</v>
          </cell>
          <cell r="I3389">
            <v>7.4</v>
          </cell>
        </row>
        <row r="3390">
          <cell r="B3390">
            <v>100</v>
          </cell>
          <cell r="I3390">
            <v>5.9</v>
          </cell>
        </row>
        <row r="3391">
          <cell r="B3391">
            <v>88</v>
          </cell>
          <cell r="I3391">
            <v>4.0999999999999996</v>
          </cell>
        </row>
        <row r="3392">
          <cell r="B3392">
            <v>97</v>
          </cell>
          <cell r="I3392">
            <v>6.7</v>
          </cell>
        </row>
        <row r="3393">
          <cell r="B3393">
            <v>122</v>
          </cell>
          <cell r="I3393">
            <v>5.8</v>
          </cell>
        </row>
        <row r="3394">
          <cell r="B3394">
            <v>96</v>
          </cell>
          <cell r="I3394">
            <v>5.9</v>
          </cell>
        </row>
        <row r="3395">
          <cell r="B3395">
            <v>113</v>
          </cell>
          <cell r="I3395">
            <v>8</v>
          </cell>
        </row>
        <row r="3396">
          <cell r="B3396">
            <v>105</v>
          </cell>
          <cell r="I3396">
            <v>6.5</v>
          </cell>
        </row>
        <row r="3397">
          <cell r="B3397">
            <v>93</v>
          </cell>
          <cell r="I3397">
            <v>6.4</v>
          </cell>
        </row>
        <row r="3398">
          <cell r="B3398">
            <v>89</v>
          </cell>
          <cell r="I3398">
            <v>6.8</v>
          </cell>
        </row>
        <row r="3399">
          <cell r="B3399">
            <v>116</v>
          </cell>
          <cell r="I3399">
            <v>7.4</v>
          </cell>
        </row>
        <row r="3400">
          <cell r="B3400">
            <v>120</v>
          </cell>
          <cell r="I3400">
            <v>8.3000000000000007</v>
          </cell>
        </row>
        <row r="3401">
          <cell r="B3401">
            <v>88</v>
          </cell>
          <cell r="I3401">
            <v>5.3</v>
          </cell>
        </row>
        <row r="3402">
          <cell r="B3402">
            <v>102</v>
          </cell>
          <cell r="I3402">
            <v>8.1</v>
          </cell>
        </row>
        <row r="3403">
          <cell r="B3403">
            <v>106</v>
          </cell>
          <cell r="I3403">
            <v>8</v>
          </cell>
        </row>
        <row r="3404">
          <cell r="B3404">
            <v>95</v>
          </cell>
          <cell r="I3404">
            <v>5.7</v>
          </cell>
        </row>
        <row r="3405">
          <cell r="B3405">
            <v>113</v>
          </cell>
          <cell r="I3405">
            <v>7.1</v>
          </cell>
        </row>
        <row r="3406">
          <cell r="B3406">
            <v>93</v>
          </cell>
          <cell r="I3406">
            <v>7.8</v>
          </cell>
        </row>
        <row r="3407">
          <cell r="B3407">
            <v>97</v>
          </cell>
          <cell r="I3407">
            <v>5.9</v>
          </cell>
        </row>
        <row r="3408">
          <cell r="B3408">
            <v>140</v>
          </cell>
          <cell r="I3408">
            <v>7.8</v>
          </cell>
        </row>
        <row r="3409">
          <cell r="B3409">
            <v>86</v>
          </cell>
          <cell r="I3409">
            <v>6</v>
          </cell>
        </row>
        <row r="3410">
          <cell r="B3410">
            <v>66</v>
          </cell>
          <cell r="I3410">
            <v>7.2</v>
          </cell>
        </row>
        <row r="3411">
          <cell r="B3411">
            <v>86</v>
          </cell>
          <cell r="I3411">
            <v>5.0999999999999996</v>
          </cell>
        </row>
        <row r="3412">
          <cell r="B3412">
            <v>87</v>
          </cell>
          <cell r="I3412">
            <v>5.0999999999999996</v>
          </cell>
        </row>
        <row r="3413">
          <cell r="B3413">
            <v>149</v>
          </cell>
          <cell r="I3413">
            <v>6.9</v>
          </cell>
        </row>
        <row r="3414">
          <cell r="B3414">
            <v>98</v>
          </cell>
          <cell r="I3414">
            <v>4.5999999999999996</v>
          </cell>
        </row>
        <row r="3415">
          <cell r="B3415">
            <v>75</v>
          </cell>
          <cell r="I3415">
            <v>6.7</v>
          </cell>
        </row>
        <row r="3416">
          <cell r="B3416">
            <v>104</v>
          </cell>
          <cell r="I3416">
            <v>7.1</v>
          </cell>
        </row>
        <row r="3417">
          <cell r="B3417">
            <v>102</v>
          </cell>
          <cell r="I3417">
            <v>7.6</v>
          </cell>
        </row>
        <row r="3418">
          <cell r="B3418">
            <v>105</v>
          </cell>
          <cell r="I3418">
            <v>8.1</v>
          </cell>
        </row>
        <row r="3419">
          <cell r="B3419">
            <v>107</v>
          </cell>
          <cell r="I3419">
            <v>7</v>
          </cell>
        </row>
        <row r="3420">
          <cell r="B3420">
            <v>89</v>
          </cell>
          <cell r="I3420">
            <v>7.1</v>
          </cell>
        </row>
        <row r="3421">
          <cell r="B3421">
            <v>106</v>
          </cell>
          <cell r="I3421">
            <v>7.6</v>
          </cell>
        </row>
        <row r="3422">
          <cell r="B3422">
            <v>95</v>
          </cell>
          <cell r="I3422">
            <v>7.1</v>
          </cell>
        </row>
        <row r="3423">
          <cell r="B3423">
            <v>34</v>
          </cell>
          <cell r="I3423">
            <v>7.1</v>
          </cell>
        </row>
        <row r="3424">
          <cell r="B3424">
            <v>101</v>
          </cell>
          <cell r="I3424">
            <v>7.7</v>
          </cell>
        </row>
        <row r="3425">
          <cell r="B3425">
            <v>112</v>
          </cell>
          <cell r="I3425">
            <v>7.6</v>
          </cell>
        </row>
        <row r="3426">
          <cell r="B3426">
            <v>100</v>
          </cell>
          <cell r="I3426">
            <v>6.6</v>
          </cell>
        </row>
        <row r="3427">
          <cell r="B3427">
            <v>100</v>
          </cell>
          <cell r="I3427">
            <v>5.7</v>
          </cell>
        </row>
        <row r="3428">
          <cell r="B3428">
            <v>80</v>
          </cell>
          <cell r="I3428">
            <v>7.1</v>
          </cell>
        </row>
        <row r="3429">
          <cell r="B3429">
            <v>106</v>
          </cell>
          <cell r="I3429">
            <v>6.2</v>
          </cell>
        </row>
        <row r="3430">
          <cell r="B3430">
            <v>103</v>
          </cell>
          <cell r="I3430">
            <v>6.1</v>
          </cell>
        </row>
        <row r="3431">
          <cell r="B3431">
            <v>90</v>
          </cell>
          <cell r="I3431">
            <v>5.9</v>
          </cell>
        </row>
        <row r="3432">
          <cell r="B3432">
            <v>96</v>
          </cell>
          <cell r="I3432">
            <v>6.8</v>
          </cell>
        </row>
        <row r="3433">
          <cell r="B3433">
            <v>120</v>
          </cell>
          <cell r="I3433">
            <v>6.8</v>
          </cell>
        </row>
        <row r="3434">
          <cell r="B3434">
            <v>101</v>
          </cell>
          <cell r="I3434">
            <v>5.0999999999999996</v>
          </cell>
        </row>
        <row r="3435">
          <cell r="B3435">
            <v>101</v>
          </cell>
          <cell r="I3435">
            <v>7.7</v>
          </cell>
        </row>
        <row r="3436">
          <cell r="B3436">
            <v>105</v>
          </cell>
          <cell r="I3436">
            <v>3.9</v>
          </cell>
        </row>
        <row r="3437">
          <cell r="B3437">
            <v>120</v>
          </cell>
          <cell r="I3437">
            <v>7.8</v>
          </cell>
        </row>
        <row r="3438">
          <cell r="B3438">
            <v>91</v>
          </cell>
          <cell r="I3438">
            <v>5.7</v>
          </cell>
        </row>
        <row r="3439">
          <cell r="B3439">
            <v>92</v>
          </cell>
          <cell r="I3439">
            <v>4.7</v>
          </cell>
        </row>
        <row r="3440">
          <cell r="B3440">
            <v>117</v>
          </cell>
          <cell r="I3440">
            <v>5.9</v>
          </cell>
        </row>
        <row r="3441">
          <cell r="B3441">
            <v>120</v>
          </cell>
          <cell r="I3441">
            <v>5.9</v>
          </cell>
        </row>
        <row r="3442">
          <cell r="B3442">
            <v>172</v>
          </cell>
          <cell r="I3442">
            <v>8.1</v>
          </cell>
        </row>
        <row r="3443">
          <cell r="B3443">
            <v>89</v>
          </cell>
          <cell r="I3443">
            <v>7.6</v>
          </cell>
        </row>
        <row r="3444">
          <cell r="B3444">
            <v>125</v>
          </cell>
          <cell r="I3444">
            <v>7.2</v>
          </cell>
        </row>
        <row r="3445">
          <cell r="B3445">
            <v>115</v>
          </cell>
          <cell r="I3445">
            <v>7.5</v>
          </cell>
        </row>
        <row r="3446">
          <cell r="B3446">
            <v>96</v>
          </cell>
          <cell r="I3446">
            <v>5.0999999999999996</v>
          </cell>
        </row>
        <row r="3447">
          <cell r="B3447">
            <v>100</v>
          </cell>
          <cell r="I3447">
            <v>6.9</v>
          </cell>
        </row>
        <row r="3448">
          <cell r="B3448">
            <v>87</v>
          </cell>
          <cell r="I3448">
            <v>7.6</v>
          </cell>
        </row>
        <row r="3449">
          <cell r="B3449">
            <v>102</v>
          </cell>
          <cell r="I3449">
            <v>7.6</v>
          </cell>
        </row>
        <row r="3450">
          <cell r="B3450">
            <v>118</v>
          </cell>
          <cell r="I3450">
            <v>7.6</v>
          </cell>
        </row>
        <row r="3451">
          <cell r="B3451">
            <v>86</v>
          </cell>
          <cell r="I3451">
            <v>5.3</v>
          </cell>
        </row>
        <row r="3452">
          <cell r="B3452">
            <v>137</v>
          </cell>
          <cell r="I3452">
            <v>8.5</v>
          </cell>
        </row>
        <row r="3453">
          <cell r="B3453">
            <v>129</v>
          </cell>
          <cell r="I3453">
            <v>7</v>
          </cell>
        </row>
        <row r="3454">
          <cell r="B3454">
            <v>80</v>
          </cell>
          <cell r="I3454">
            <v>7.8</v>
          </cell>
        </row>
        <row r="3455">
          <cell r="B3455">
            <v>89</v>
          </cell>
          <cell r="I3455">
            <v>7.2</v>
          </cell>
        </row>
        <row r="3456">
          <cell r="B3456">
            <v>80</v>
          </cell>
          <cell r="I3456">
            <v>8</v>
          </cell>
        </row>
        <row r="3457">
          <cell r="B3457">
            <v>115</v>
          </cell>
          <cell r="I3457">
            <v>8.1</v>
          </cell>
        </row>
        <row r="3458">
          <cell r="B3458">
            <v>100</v>
          </cell>
          <cell r="I3458">
            <v>6.8</v>
          </cell>
        </row>
        <row r="3459">
          <cell r="B3459">
            <v>100</v>
          </cell>
          <cell r="I3459">
            <v>7.2</v>
          </cell>
        </row>
        <row r="3460">
          <cell r="B3460">
            <v>91</v>
          </cell>
          <cell r="I3460">
            <v>7.4</v>
          </cell>
        </row>
        <row r="3461">
          <cell r="B3461">
            <v>96</v>
          </cell>
          <cell r="I3461">
            <v>6.1</v>
          </cell>
        </row>
        <row r="3462">
          <cell r="B3462">
            <v>116</v>
          </cell>
          <cell r="I3462">
            <v>7</v>
          </cell>
        </row>
        <row r="3463">
          <cell r="B3463">
            <v>97</v>
          </cell>
          <cell r="I3463">
            <v>5.3</v>
          </cell>
        </row>
        <row r="3464">
          <cell r="B3464">
            <v>101</v>
          </cell>
          <cell r="I3464">
            <v>4.7</v>
          </cell>
        </row>
        <row r="3465">
          <cell r="B3465">
            <v>98</v>
          </cell>
          <cell r="I3465">
            <v>5.7</v>
          </cell>
        </row>
        <row r="3466">
          <cell r="B3466">
            <v>101</v>
          </cell>
          <cell r="I3466">
            <v>6.5</v>
          </cell>
        </row>
        <row r="3467">
          <cell r="B3467">
            <v>90</v>
          </cell>
          <cell r="I3467">
            <v>8</v>
          </cell>
        </row>
        <row r="3468">
          <cell r="B3468">
            <v>120</v>
          </cell>
          <cell r="I3468">
            <v>3.3</v>
          </cell>
        </row>
        <row r="3469">
          <cell r="B3469">
            <v>102</v>
          </cell>
          <cell r="I3469">
            <v>8.3000000000000007</v>
          </cell>
        </row>
        <row r="3470">
          <cell r="B3470">
            <v>102</v>
          </cell>
          <cell r="I3470">
            <v>6.9</v>
          </cell>
        </row>
        <row r="3471">
          <cell r="B3471">
            <v>100</v>
          </cell>
          <cell r="I3471">
            <v>8.1</v>
          </cell>
        </row>
        <row r="3472">
          <cell r="B3472">
            <v>89</v>
          </cell>
          <cell r="I3472">
            <v>6.8</v>
          </cell>
        </row>
        <row r="3473">
          <cell r="B3473">
            <v>86</v>
          </cell>
          <cell r="I3473">
            <v>4.5999999999999996</v>
          </cell>
        </row>
        <row r="3474">
          <cell r="B3474">
            <v>96</v>
          </cell>
          <cell r="I3474">
            <v>7</v>
          </cell>
        </row>
        <row r="3475">
          <cell r="B3475">
            <v>91</v>
          </cell>
          <cell r="I3475">
            <v>6.7</v>
          </cell>
        </row>
        <row r="3476">
          <cell r="B3476">
            <v>85</v>
          </cell>
          <cell r="I3476">
            <v>5.8</v>
          </cell>
        </row>
        <row r="3477">
          <cell r="B3477">
            <v>129</v>
          </cell>
          <cell r="I3477">
            <v>4.5</v>
          </cell>
        </row>
        <row r="3478">
          <cell r="B3478">
            <v>95</v>
          </cell>
          <cell r="I3478">
            <v>6.2</v>
          </cell>
        </row>
        <row r="3479">
          <cell r="B3479">
            <v>92</v>
          </cell>
          <cell r="I3479">
            <v>6.6</v>
          </cell>
        </row>
        <row r="3480">
          <cell r="B3480">
            <v>96</v>
          </cell>
          <cell r="I3480">
            <v>6.6</v>
          </cell>
        </row>
        <row r="3481">
          <cell r="B3481">
            <v>119</v>
          </cell>
          <cell r="I3481">
            <v>7.8</v>
          </cell>
        </row>
        <row r="3482">
          <cell r="B3482">
            <v>92</v>
          </cell>
          <cell r="I3482">
            <v>7.7</v>
          </cell>
        </row>
        <row r="3483">
          <cell r="B3483">
            <v>106</v>
          </cell>
          <cell r="I3483">
            <v>5.7</v>
          </cell>
        </row>
        <row r="3484">
          <cell r="B3484">
            <v>99</v>
          </cell>
          <cell r="I3484">
            <v>7.1</v>
          </cell>
        </row>
        <row r="3485">
          <cell r="B3485">
            <v>103</v>
          </cell>
          <cell r="I3485">
            <v>6.4</v>
          </cell>
        </row>
        <row r="3486">
          <cell r="B3486">
            <v>95</v>
          </cell>
          <cell r="I3486">
            <v>7</v>
          </cell>
        </row>
        <row r="3487">
          <cell r="B3487">
            <v>95</v>
          </cell>
          <cell r="I3487">
            <v>5.8</v>
          </cell>
        </row>
        <row r="3488">
          <cell r="B3488">
            <v>90</v>
          </cell>
          <cell r="I3488">
            <v>7.8</v>
          </cell>
        </row>
        <row r="3489">
          <cell r="B3489">
            <v>89</v>
          </cell>
          <cell r="I3489">
            <v>7.2</v>
          </cell>
        </row>
        <row r="3490">
          <cell r="B3490">
            <v>87</v>
          </cell>
          <cell r="I3490">
            <v>5.6</v>
          </cell>
        </row>
        <row r="3491">
          <cell r="B3491">
            <v>118</v>
          </cell>
          <cell r="I3491">
            <v>6.8</v>
          </cell>
        </row>
        <row r="3492">
          <cell r="B3492">
            <v>93</v>
          </cell>
          <cell r="I3492">
            <v>7.3</v>
          </cell>
        </row>
        <row r="3493">
          <cell r="B3493">
            <v>109</v>
          </cell>
          <cell r="I3493">
            <v>7.3</v>
          </cell>
        </row>
        <row r="3494">
          <cell r="B3494">
            <v>90</v>
          </cell>
          <cell r="I3494">
            <v>6.6</v>
          </cell>
        </row>
        <row r="3495">
          <cell r="B3495">
            <v>108</v>
          </cell>
          <cell r="I3495">
            <v>7.5</v>
          </cell>
        </row>
        <row r="3496">
          <cell r="B3496">
            <v>81</v>
          </cell>
          <cell r="I3496">
            <v>7.8</v>
          </cell>
        </row>
        <row r="3497">
          <cell r="B3497">
            <v>93</v>
          </cell>
          <cell r="I3497">
            <v>6.7</v>
          </cell>
        </row>
        <row r="3498">
          <cell r="B3498">
            <v>138</v>
          </cell>
          <cell r="I3498">
            <v>7.5</v>
          </cell>
        </row>
        <row r="3499">
          <cell r="B3499">
            <v>105</v>
          </cell>
          <cell r="I3499">
            <v>6.3</v>
          </cell>
        </row>
        <row r="3500">
          <cell r="B3500">
            <v>98</v>
          </cell>
          <cell r="I3500">
            <v>6.3</v>
          </cell>
        </row>
        <row r="3501">
          <cell r="B3501">
            <v>86</v>
          </cell>
          <cell r="I3501">
            <v>6.8</v>
          </cell>
        </row>
        <row r="3502">
          <cell r="B3502">
            <v>104</v>
          </cell>
          <cell r="I3502">
            <v>7.8</v>
          </cell>
        </row>
        <row r="3503">
          <cell r="B3503">
            <v>100</v>
          </cell>
          <cell r="I3503">
            <v>6.9</v>
          </cell>
        </row>
        <row r="3504">
          <cell r="B3504">
            <v>84</v>
          </cell>
          <cell r="I3504">
            <v>4.3</v>
          </cell>
        </row>
        <row r="3505">
          <cell r="B3505">
            <v>95</v>
          </cell>
          <cell r="I3505">
            <v>7.2</v>
          </cell>
        </row>
        <row r="3506">
          <cell r="B3506">
            <v>90</v>
          </cell>
          <cell r="I3506">
            <v>7.3</v>
          </cell>
        </row>
        <row r="3507">
          <cell r="B3507">
            <v>123</v>
          </cell>
          <cell r="I3507">
            <v>7.2</v>
          </cell>
        </row>
        <row r="3508">
          <cell r="B3508">
            <v>111</v>
          </cell>
          <cell r="I3508">
            <v>5.4</v>
          </cell>
        </row>
        <row r="3509">
          <cell r="B3509">
            <v>108</v>
          </cell>
          <cell r="I3509">
            <v>7.1</v>
          </cell>
        </row>
        <row r="3510">
          <cell r="B3510">
            <v>92</v>
          </cell>
          <cell r="I3510">
            <v>6.8</v>
          </cell>
        </row>
        <row r="3511">
          <cell r="B3511">
            <v>91</v>
          </cell>
          <cell r="I3511">
            <v>7</v>
          </cell>
        </row>
        <row r="3512">
          <cell r="B3512">
            <v>88</v>
          </cell>
          <cell r="I3512">
            <v>7.4</v>
          </cell>
        </row>
        <row r="3513">
          <cell r="B3513">
            <v>97</v>
          </cell>
          <cell r="I3513">
            <v>6.7</v>
          </cell>
        </row>
        <row r="3514">
          <cell r="B3514">
            <v>103</v>
          </cell>
          <cell r="I3514">
            <v>7.2</v>
          </cell>
        </row>
        <row r="3515">
          <cell r="B3515">
            <v>110</v>
          </cell>
          <cell r="I3515">
            <v>7.5</v>
          </cell>
        </row>
        <row r="3516">
          <cell r="B3516">
            <v>103</v>
          </cell>
          <cell r="I3516">
            <v>6.8</v>
          </cell>
        </row>
        <row r="3517">
          <cell r="B3517">
            <v>114</v>
          </cell>
          <cell r="I3517">
            <v>7.9</v>
          </cell>
        </row>
        <row r="3518">
          <cell r="B3518">
            <v>112</v>
          </cell>
          <cell r="I3518">
            <v>6.7</v>
          </cell>
        </row>
        <row r="3519">
          <cell r="B3519">
            <v>104</v>
          </cell>
          <cell r="I3519">
            <v>5.8</v>
          </cell>
        </row>
        <row r="3520">
          <cell r="B3520">
            <v>99</v>
          </cell>
          <cell r="I3520">
            <v>6.5</v>
          </cell>
        </row>
        <row r="3521">
          <cell r="B3521">
            <v>98</v>
          </cell>
          <cell r="I3521">
            <v>7.2</v>
          </cell>
        </row>
        <row r="3522">
          <cell r="B3522">
            <v>100</v>
          </cell>
          <cell r="I3522">
            <v>6.5</v>
          </cell>
        </row>
        <row r="3523">
          <cell r="B3523">
            <v>80</v>
          </cell>
          <cell r="I3523">
            <v>6.2</v>
          </cell>
        </row>
        <row r="3524">
          <cell r="B3524">
            <v>87</v>
          </cell>
          <cell r="I3524">
            <v>8.6</v>
          </cell>
        </row>
        <row r="3525">
          <cell r="B3525">
            <v>91</v>
          </cell>
          <cell r="I3525">
            <v>6.5</v>
          </cell>
        </row>
        <row r="3526">
          <cell r="B3526">
            <v>84</v>
          </cell>
          <cell r="I3526">
            <v>6.3</v>
          </cell>
        </row>
        <row r="3527">
          <cell r="B3527">
            <v>90</v>
          </cell>
          <cell r="I3527">
            <v>4.3</v>
          </cell>
        </row>
        <row r="3528">
          <cell r="B3528">
            <v>98</v>
          </cell>
          <cell r="I3528">
            <v>6.1</v>
          </cell>
        </row>
        <row r="3529">
          <cell r="B3529">
            <v>124</v>
          </cell>
          <cell r="I3529">
            <v>5.8</v>
          </cell>
        </row>
        <row r="3530">
          <cell r="B3530">
            <v>95</v>
          </cell>
          <cell r="I3530">
            <v>6.7</v>
          </cell>
        </row>
        <row r="3531">
          <cell r="B3531">
            <v>90</v>
          </cell>
          <cell r="I3531">
            <v>6.7</v>
          </cell>
        </row>
        <row r="3532">
          <cell r="B3532">
            <v>101</v>
          </cell>
          <cell r="I3532">
            <v>5.0999999999999996</v>
          </cell>
        </row>
        <row r="3533">
          <cell r="B3533">
            <v>83</v>
          </cell>
          <cell r="I3533">
            <v>7.7</v>
          </cell>
        </row>
        <row r="3534">
          <cell r="B3534">
            <v>106</v>
          </cell>
          <cell r="I3534">
            <v>6.7</v>
          </cell>
        </row>
        <row r="3535">
          <cell r="B3535">
            <v>94</v>
          </cell>
          <cell r="I3535">
            <v>6.6</v>
          </cell>
        </row>
        <row r="3536">
          <cell r="B3536">
            <v>120</v>
          </cell>
          <cell r="I3536">
            <v>8.1999999999999993</v>
          </cell>
        </row>
        <row r="3537">
          <cell r="B3537">
            <v>105</v>
          </cell>
          <cell r="I3537">
            <v>8.1</v>
          </cell>
        </row>
        <row r="3538">
          <cell r="B3538">
            <v>95</v>
          </cell>
          <cell r="I3538">
            <v>7.2</v>
          </cell>
        </row>
        <row r="3539">
          <cell r="B3539">
            <v>135</v>
          </cell>
          <cell r="I3539">
            <v>7.4</v>
          </cell>
        </row>
        <row r="3540">
          <cell r="B3540">
            <v>105</v>
          </cell>
          <cell r="I3540">
            <v>6.5</v>
          </cell>
        </row>
        <row r="3541">
          <cell r="B3541">
            <v>83</v>
          </cell>
          <cell r="I3541">
            <v>5.7</v>
          </cell>
        </row>
        <row r="3542">
          <cell r="B3542">
            <v>87</v>
          </cell>
          <cell r="I3542">
            <v>6.2</v>
          </cell>
        </row>
        <row r="3543">
          <cell r="B3543">
            <v>97</v>
          </cell>
          <cell r="I3543">
            <v>3.3</v>
          </cell>
        </row>
        <row r="3544">
          <cell r="B3544">
            <v>87</v>
          </cell>
          <cell r="I3544">
            <v>6.1</v>
          </cell>
        </row>
        <row r="3545">
          <cell r="B3545">
            <v>80</v>
          </cell>
          <cell r="I3545">
            <v>5.7</v>
          </cell>
        </row>
        <row r="3546">
          <cell r="B3546">
            <v>100</v>
          </cell>
          <cell r="I3546">
            <v>7.2</v>
          </cell>
        </row>
        <row r="3547">
          <cell r="B3547">
            <v>103</v>
          </cell>
          <cell r="I3547">
            <v>7.7</v>
          </cell>
        </row>
        <row r="3548">
          <cell r="B3548">
            <v>100</v>
          </cell>
          <cell r="I3548">
            <v>7.1</v>
          </cell>
        </row>
        <row r="3549">
          <cell r="B3549">
            <v>89</v>
          </cell>
          <cell r="I3549">
            <v>7</v>
          </cell>
        </row>
        <row r="3550">
          <cell r="B3550">
            <v>114</v>
          </cell>
          <cell r="I3550">
            <v>7.4</v>
          </cell>
        </row>
        <row r="3551">
          <cell r="B3551">
            <v>111</v>
          </cell>
          <cell r="I3551">
            <v>7.7</v>
          </cell>
        </row>
        <row r="3552">
          <cell r="B3552">
            <v>85</v>
          </cell>
          <cell r="I3552">
            <v>6.6</v>
          </cell>
        </row>
        <row r="3553">
          <cell r="B3553">
            <v>113</v>
          </cell>
          <cell r="I3553">
            <v>6</v>
          </cell>
        </row>
        <row r="3554">
          <cell r="B3554">
            <v>99</v>
          </cell>
          <cell r="I3554">
            <v>8.4</v>
          </cell>
        </row>
        <row r="3555">
          <cell r="B3555">
            <v>142</v>
          </cell>
          <cell r="I3555">
            <v>8.9</v>
          </cell>
        </row>
        <row r="3556">
          <cell r="B3556">
            <v>112</v>
          </cell>
          <cell r="I3556">
            <v>7.9</v>
          </cell>
        </row>
        <row r="3557">
          <cell r="B3557">
            <v>108</v>
          </cell>
          <cell r="I3557">
            <v>6</v>
          </cell>
        </row>
        <row r="3558">
          <cell r="B3558">
            <v>88</v>
          </cell>
          <cell r="I3558">
            <v>6.1</v>
          </cell>
        </row>
        <row r="3559">
          <cell r="B3559">
            <v>97</v>
          </cell>
          <cell r="I3559">
            <v>7.4</v>
          </cell>
        </row>
        <row r="3560">
          <cell r="B3560">
            <v>85</v>
          </cell>
          <cell r="I3560">
            <v>6.2</v>
          </cell>
        </row>
        <row r="3561">
          <cell r="B3561">
            <v>110</v>
          </cell>
          <cell r="I3561">
            <v>7.2</v>
          </cell>
        </row>
        <row r="3562">
          <cell r="B3562">
            <v>91</v>
          </cell>
          <cell r="I3562">
            <v>6.2</v>
          </cell>
        </row>
        <row r="3563">
          <cell r="B3563">
            <v>94</v>
          </cell>
          <cell r="I3563">
            <v>6.8</v>
          </cell>
        </row>
        <row r="3564">
          <cell r="B3564">
            <v>90</v>
          </cell>
          <cell r="I3564">
            <v>7.7</v>
          </cell>
        </row>
        <row r="3565">
          <cell r="B3565">
            <v>92</v>
          </cell>
          <cell r="I3565">
            <v>5.9</v>
          </cell>
        </row>
        <row r="3566">
          <cell r="B3566">
            <v>73</v>
          </cell>
          <cell r="I3566">
            <v>7</v>
          </cell>
        </row>
        <row r="3567">
          <cell r="B3567">
            <v>110</v>
          </cell>
          <cell r="I3567">
            <v>6.1</v>
          </cell>
        </row>
        <row r="3568">
          <cell r="B3568">
            <v>102</v>
          </cell>
          <cell r="I3568">
            <v>7.6</v>
          </cell>
        </row>
        <row r="3569">
          <cell r="B3569">
            <v>145</v>
          </cell>
          <cell r="I3569">
            <v>8.1</v>
          </cell>
        </row>
        <row r="3570">
          <cell r="B3570">
            <v>83</v>
          </cell>
          <cell r="I3570">
            <v>5.7</v>
          </cell>
        </row>
        <row r="3571">
          <cell r="B3571">
            <v>91</v>
          </cell>
          <cell r="I3571">
            <v>6.6</v>
          </cell>
        </row>
        <row r="3572">
          <cell r="B3572">
            <v>110</v>
          </cell>
          <cell r="I3572">
            <v>7.3</v>
          </cell>
        </row>
        <row r="3573">
          <cell r="B3573">
            <v>86</v>
          </cell>
          <cell r="I3573">
            <v>5</v>
          </cell>
        </row>
        <row r="3574">
          <cell r="B3574">
            <v>86</v>
          </cell>
          <cell r="I3574">
            <v>7</v>
          </cell>
        </row>
        <row r="3575">
          <cell r="B3575">
            <v>120</v>
          </cell>
          <cell r="I3575">
            <v>3.4</v>
          </cell>
        </row>
        <row r="3576">
          <cell r="B3576">
            <v>90</v>
          </cell>
          <cell r="I3576">
            <v>5.9</v>
          </cell>
        </row>
        <row r="3577">
          <cell r="B3577">
            <v>99</v>
          </cell>
          <cell r="I3577">
            <v>6</v>
          </cell>
        </row>
        <row r="3578">
          <cell r="B3578">
            <v>112</v>
          </cell>
          <cell r="I3578">
            <v>7.4</v>
          </cell>
        </row>
        <row r="3579">
          <cell r="B3579">
            <v>103</v>
          </cell>
          <cell r="I3579">
            <v>7.4</v>
          </cell>
        </row>
        <row r="3580">
          <cell r="B3580">
            <v>83</v>
          </cell>
          <cell r="I3580">
            <v>4.2</v>
          </cell>
        </row>
        <row r="3581">
          <cell r="B3581">
            <v>109</v>
          </cell>
          <cell r="I3581">
            <v>6.2</v>
          </cell>
        </row>
        <row r="3582">
          <cell r="B3582">
            <v>100</v>
          </cell>
          <cell r="I3582">
            <v>5.4</v>
          </cell>
        </row>
        <row r="3583">
          <cell r="B3583">
            <v>95</v>
          </cell>
          <cell r="I3583">
            <v>7.2</v>
          </cell>
        </row>
        <row r="3584">
          <cell r="B3584">
            <v>104</v>
          </cell>
          <cell r="I3584">
            <v>6.7</v>
          </cell>
        </row>
        <row r="3585">
          <cell r="B3585">
            <v>97</v>
          </cell>
          <cell r="I3585">
            <v>7.2</v>
          </cell>
        </row>
        <row r="3586">
          <cell r="B3586">
            <v>91</v>
          </cell>
          <cell r="I3586">
            <v>7.4</v>
          </cell>
        </row>
        <row r="3587">
          <cell r="B3587">
            <v>84</v>
          </cell>
          <cell r="I3587">
            <v>5.6</v>
          </cell>
        </row>
        <row r="3588">
          <cell r="B3588">
            <v>86</v>
          </cell>
          <cell r="I3588">
            <v>6.8</v>
          </cell>
        </row>
        <row r="3589">
          <cell r="B3589">
            <v>92</v>
          </cell>
          <cell r="I3589">
            <v>7.7</v>
          </cell>
        </row>
        <row r="3590">
          <cell r="B3590">
            <v>94</v>
          </cell>
          <cell r="I3590">
            <v>7</v>
          </cell>
        </row>
        <row r="3591">
          <cell r="B3591">
            <v>100</v>
          </cell>
          <cell r="I3591">
            <v>7.2</v>
          </cell>
        </row>
        <row r="3592">
          <cell r="B3592">
            <v>119</v>
          </cell>
          <cell r="I3592">
            <v>7.2</v>
          </cell>
        </row>
        <row r="3593">
          <cell r="B3593">
            <v>167</v>
          </cell>
          <cell r="I3593">
            <v>6.2</v>
          </cell>
        </row>
        <row r="3594">
          <cell r="B3594">
            <v>92</v>
          </cell>
          <cell r="I3594">
            <v>6.2</v>
          </cell>
        </row>
        <row r="3595">
          <cell r="B3595">
            <v>108</v>
          </cell>
          <cell r="I3595">
            <v>6.9</v>
          </cell>
        </row>
        <row r="3596">
          <cell r="B3596">
            <v>97</v>
          </cell>
          <cell r="I3596">
            <v>7</v>
          </cell>
        </row>
        <row r="3597">
          <cell r="B3597">
            <v>88</v>
          </cell>
          <cell r="I3597">
            <v>6.7</v>
          </cell>
        </row>
        <row r="3598">
          <cell r="B3598">
            <v>100</v>
          </cell>
          <cell r="I3598">
            <v>3.6</v>
          </cell>
        </row>
        <row r="3599">
          <cell r="B3599">
            <v>88</v>
          </cell>
          <cell r="I3599">
            <v>7.4</v>
          </cell>
        </row>
        <row r="3600">
          <cell r="B3600">
            <v>79</v>
          </cell>
          <cell r="I3600">
            <v>6.1</v>
          </cell>
        </row>
        <row r="3601">
          <cell r="B3601">
            <v>96</v>
          </cell>
          <cell r="I3601">
            <v>8.1999999999999993</v>
          </cell>
        </row>
        <row r="3602">
          <cell r="B3602">
            <v>53</v>
          </cell>
          <cell r="I3602">
            <v>7.7</v>
          </cell>
        </row>
        <row r="3603">
          <cell r="B3603">
            <v>97</v>
          </cell>
          <cell r="I3603">
            <v>7.3</v>
          </cell>
        </row>
        <row r="3604">
          <cell r="B3604">
            <v>91</v>
          </cell>
          <cell r="I3604">
            <v>7.6</v>
          </cell>
        </row>
        <row r="3605">
          <cell r="B3605">
            <v>93</v>
          </cell>
          <cell r="I3605">
            <v>6.8</v>
          </cell>
        </row>
        <row r="3606">
          <cell r="B3606">
            <v>112</v>
          </cell>
          <cell r="I3606">
            <v>5.6</v>
          </cell>
        </row>
        <row r="3607">
          <cell r="B3607">
            <v>160</v>
          </cell>
          <cell r="I3607">
            <v>4.8</v>
          </cell>
        </row>
        <row r="3608">
          <cell r="B3608">
            <v>95</v>
          </cell>
          <cell r="I3608">
            <v>6.4</v>
          </cell>
        </row>
        <row r="3609">
          <cell r="B3609">
            <v>93</v>
          </cell>
          <cell r="I3609">
            <v>6.8</v>
          </cell>
        </row>
        <row r="3610">
          <cell r="B3610">
            <v>88</v>
          </cell>
          <cell r="I3610">
            <v>6.1</v>
          </cell>
        </row>
        <row r="3611">
          <cell r="B3611">
            <v>82</v>
          </cell>
          <cell r="I3611">
            <v>6</v>
          </cell>
        </row>
        <row r="3612">
          <cell r="B3612">
            <v>78</v>
          </cell>
          <cell r="I3612">
            <v>6.1</v>
          </cell>
        </row>
        <row r="3613">
          <cell r="B3613">
            <v>97</v>
          </cell>
          <cell r="I3613">
            <v>5.5</v>
          </cell>
        </row>
        <row r="3614">
          <cell r="B3614">
            <v>81</v>
          </cell>
          <cell r="I3614">
            <v>6.9</v>
          </cell>
        </row>
        <row r="3615">
          <cell r="B3615">
            <v>88</v>
          </cell>
          <cell r="I3615">
            <v>4.0999999999999996</v>
          </cell>
        </row>
        <row r="3616">
          <cell r="B3616">
            <v>96</v>
          </cell>
          <cell r="I3616">
            <v>5.4</v>
          </cell>
        </row>
        <row r="3617">
          <cell r="B3617">
            <v>108</v>
          </cell>
          <cell r="I3617">
            <v>8.1999999999999993</v>
          </cell>
        </row>
        <row r="3618">
          <cell r="B3618">
            <v>100</v>
          </cell>
          <cell r="I3618">
            <v>5.7</v>
          </cell>
        </row>
        <row r="3619">
          <cell r="B3619">
            <v>113</v>
          </cell>
          <cell r="I3619">
            <v>7.9</v>
          </cell>
        </row>
        <row r="3620">
          <cell r="B3620">
            <v>104</v>
          </cell>
          <cell r="I3620">
            <v>7.1</v>
          </cell>
        </row>
        <row r="3621">
          <cell r="B3621">
            <v>91</v>
          </cell>
          <cell r="I3621">
            <v>6.4</v>
          </cell>
        </row>
        <row r="3622">
          <cell r="B3622">
            <v>85</v>
          </cell>
          <cell r="I3622">
            <v>7.5</v>
          </cell>
        </row>
        <row r="3623">
          <cell r="B3623">
            <v>101</v>
          </cell>
          <cell r="I3623">
            <v>6.4</v>
          </cell>
        </row>
        <row r="3624">
          <cell r="B3624">
            <v>88</v>
          </cell>
          <cell r="I3624">
            <v>7.3</v>
          </cell>
        </row>
        <row r="3625">
          <cell r="B3625">
            <v>107</v>
          </cell>
          <cell r="I3625">
            <v>7.2</v>
          </cell>
        </row>
        <row r="3626">
          <cell r="B3626">
            <v>88</v>
          </cell>
          <cell r="I3626">
            <v>6</v>
          </cell>
        </row>
        <row r="3627">
          <cell r="B3627">
            <v>95</v>
          </cell>
          <cell r="I3627">
            <v>5.6</v>
          </cell>
        </row>
        <row r="3628">
          <cell r="B3628">
            <v>123</v>
          </cell>
          <cell r="I3628">
            <v>8.4</v>
          </cell>
        </row>
        <row r="3629">
          <cell r="B3629">
            <v>88</v>
          </cell>
          <cell r="I3629">
            <v>7.5</v>
          </cell>
        </row>
        <row r="3630">
          <cell r="B3630">
            <v>114</v>
          </cell>
          <cell r="I3630">
            <v>7.2</v>
          </cell>
        </row>
        <row r="3631">
          <cell r="B3631">
            <v>88</v>
          </cell>
          <cell r="I3631">
            <v>7.2</v>
          </cell>
        </row>
        <row r="3632">
          <cell r="B3632">
            <v>104</v>
          </cell>
          <cell r="I3632">
            <v>6.5</v>
          </cell>
        </row>
        <row r="3633">
          <cell r="B3633">
            <v>93</v>
          </cell>
          <cell r="I3633">
            <v>5.0999999999999996</v>
          </cell>
        </row>
        <row r="3634">
          <cell r="B3634">
            <v>91</v>
          </cell>
          <cell r="I3634">
            <v>6.4</v>
          </cell>
        </row>
        <row r="3635">
          <cell r="B3635">
            <v>90</v>
          </cell>
          <cell r="I3635">
            <v>6.8</v>
          </cell>
        </row>
        <row r="3636">
          <cell r="B3636">
            <v>112</v>
          </cell>
          <cell r="I3636">
            <v>7.5</v>
          </cell>
        </row>
        <row r="3637">
          <cell r="B3637">
            <v>86</v>
          </cell>
          <cell r="I3637">
            <v>6.9</v>
          </cell>
        </row>
        <row r="3638">
          <cell r="B3638">
            <v>86</v>
          </cell>
          <cell r="I3638">
            <v>7</v>
          </cell>
        </row>
        <row r="3639">
          <cell r="B3639">
            <v>95</v>
          </cell>
          <cell r="I3639">
            <v>6.3</v>
          </cell>
        </row>
        <row r="3640">
          <cell r="B3640">
            <v>101</v>
          </cell>
          <cell r="I3640">
            <v>5.5</v>
          </cell>
        </row>
        <row r="3641">
          <cell r="B3641">
            <v>88</v>
          </cell>
          <cell r="I3641">
            <v>6.6</v>
          </cell>
        </row>
        <row r="3642">
          <cell r="B3642">
            <v>99</v>
          </cell>
          <cell r="I3642">
            <v>5.2</v>
          </cell>
        </row>
        <row r="3643">
          <cell r="B3643">
            <v>170</v>
          </cell>
          <cell r="I3643">
            <v>8.3000000000000007</v>
          </cell>
        </row>
        <row r="3644">
          <cell r="B3644">
            <v>97</v>
          </cell>
          <cell r="I3644">
            <v>7.2</v>
          </cell>
        </row>
        <row r="3645">
          <cell r="B3645">
            <v>106</v>
          </cell>
          <cell r="I3645">
            <v>7.2</v>
          </cell>
        </row>
        <row r="3646">
          <cell r="B3646">
            <v>107</v>
          </cell>
          <cell r="I3646">
            <v>6.5</v>
          </cell>
        </row>
        <row r="3647">
          <cell r="B3647">
            <v>84</v>
          </cell>
          <cell r="I3647">
            <v>6.5</v>
          </cell>
        </row>
        <row r="3648">
          <cell r="B3648">
            <v>81</v>
          </cell>
          <cell r="I3648">
            <v>7.8</v>
          </cell>
        </row>
        <row r="3649">
          <cell r="B3649">
            <v>81</v>
          </cell>
          <cell r="I3649">
            <v>6.4</v>
          </cell>
        </row>
        <row r="3650">
          <cell r="B3650">
            <v>215</v>
          </cell>
          <cell r="I3650">
            <v>8.1</v>
          </cell>
        </row>
        <row r="3651">
          <cell r="B3651">
            <v>106</v>
          </cell>
          <cell r="I3651">
            <v>5.6</v>
          </cell>
        </row>
        <row r="3652">
          <cell r="B3652">
            <v>103</v>
          </cell>
          <cell r="I3652">
            <v>5.6</v>
          </cell>
        </row>
        <row r="3653">
          <cell r="B3653">
            <v>90</v>
          </cell>
          <cell r="I3653">
            <v>6.6</v>
          </cell>
        </row>
        <row r="3654">
          <cell r="B3654">
            <v>87</v>
          </cell>
          <cell r="I3654">
            <v>7.7</v>
          </cell>
        </row>
        <row r="3655">
          <cell r="B3655">
            <v>80</v>
          </cell>
          <cell r="I3655">
            <v>7.2</v>
          </cell>
        </row>
        <row r="3656">
          <cell r="B3656">
            <v>122</v>
          </cell>
          <cell r="I3656">
            <v>6.5</v>
          </cell>
        </row>
        <row r="3657">
          <cell r="B3657">
            <v>86</v>
          </cell>
          <cell r="I3657">
            <v>6.1</v>
          </cell>
        </row>
        <row r="3658">
          <cell r="B3658">
            <v>79</v>
          </cell>
          <cell r="I3658">
            <v>5.7</v>
          </cell>
        </row>
        <row r="3659">
          <cell r="B3659">
            <v>97</v>
          </cell>
          <cell r="I3659">
            <v>5.9</v>
          </cell>
        </row>
        <row r="3660">
          <cell r="B3660">
            <v>89</v>
          </cell>
          <cell r="I3660">
            <v>7.7</v>
          </cell>
        </row>
        <row r="3661">
          <cell r="B3661">
            <v>120</v>
          </cell>
          <cell r="I3661">
            <v>7.1</v>
          </cell>
        </row>
        <row r="3662">
          <cell r="B3662">
            <v>108</v>
          </cell>
          <cell r="I3662">
            <v>7.6</v>
          </cell>
        </row>
        <row r="3663">
          <cell r="B3663">
            <v>102</v>
          </cell>
          <cell r="I3663">
            <v>6.4</v>
          </cell>
        </row>
        <row r="3664">
          <cell r="B3664">
            <v>83</v>
          </cell>
          <cell r="I3664">
            <v>7.4</v>
          </cell>
        </row>
        <row r="3665">
          <cell r="B3665">
            <v>93</v>
          </cell>
          <cell r="I3665">
            <v>6.8</v>
          </cell>
        </row>
        <row r="3666">
          <cell r="B3666">
            <v>86</v>
          </cell>
          <cell r="I3666">
            <v>6.5</v>
          </cell>
        </row>
        <row r="3667">
          <cell r="B3667">
            <v>101</v>
          </cell>
          <cell r="I3667">
            <v>6</v>
          </cell>
        </row>
        <row r="3668">
          <cell r="B3668">
            <v>111</v>
          </cell>
          <cell r="I3668">
            <v>7.3</v>
          </cell>
        </row>
        <row r="3669">
          <cell r="B3669">
            <v>90</v>
          </cell>
          <cell r="I3669">
            <v>7.3</v>
          </cell>
        </row>
        <row r="3670">
          <cell r="B3670">
            <v>86</v>
          </cell>
          <cell r="I3670">
            <v>6.5</v>
          </cell>
        </row>
        <row r="3671">
          <cell r="B3671">
            <v>98</v>
          </cell>
          <cell r="I3671">
            <v>6</v>
          </cell>
        </row>
        <row r="3672">
          <cell r="B3672">
            <v>91</v>
          </cell>
          <cell r="I3672">
            <v>5.3</v>
          </cell>
        </row>
        <row r="3673">
          <cell r="B3673">
            <v>91</v>
          </cell>
          <cell r="I3673">
            <v>6.6</v>
          </cell>
        </row>
        <row r="3674">
          <cell r="B3674">
            <v>88</v>
          </cell>
          <cell r="I3674">
            <v>7.1</v>
          </cell>
        </row>
        <row r="3675">
          <cell r="B3675">
            <v>202</v>
          </cell>
          <cell r="I3675">
            <v>8.6999999999999993</v>
          </cell>
        </row>
        <row r="3676">
          <cell r="B3676">
            <v>89</v>
          </cell>
          <cell r="I3676">
            <v>8.4</v>
          </cell>
        </row>
        <row r="3677">
          <cell r="B3677">
            <v>84</v>
          </cell>
          <cell r="I3677">
            <v>6.2</v>
          </cell>
        </row>
        <row r="3678">
          <cell r="B3678">
            <v>82</v>
          </cell>
          <cell r="I3678">
            <v>5.8</v>
          </cell>
        </row>
        <row r="3679">
          <cell r="B3679">
            <v>100</v>
          </cell>
          <cell r="I3679">
            <v>5.7</v>
          </cell>
        </row>
        <row r="3680">
          <cell r="B3680">
            <v>112</v>
          </cell>
          <cell r="I3680">
            <v>6.1</v>
          </cell>
        </row>
        <row r="3681">
          <cell r="B3681">
            <v>94</v>
          </cell>
          <cell r="I3681">
            <v>6.4</v>
          </cell>
        </row>
        <row r="3682">
          <cell r="B3682">
            <v>91</v>
          </cell>
          <cell r="I3682">
            <v>6.5</v>
          </cell>
        </row>
        <row r="3683">
          <cell r="B3683">
            <v>87</v>
          </cell>
          <cell r="I3683">
            <v>4.5999999999999996</v>
          </cell>
        </row>
        <row r="3684">
          <cell r="B3684">
            <v>82</v>
          </cell>
          <cell r="I3684">
            <v>6.8</v>
          </cell>
        </row>
        <row r="3685">
          <cell r="B3685">
            <v>91</v>
          </cell>
          <cell r="I3685">
            <v>5.9</v>
          </cell>
        </row>
        <row r="3686">
          <cell r="B3686">
            <v>107</v>
          </cell>
          <cell r="I3686">
            <v>7.7</v>
          </cell>
        </row>
        <row r="3687">
          <cell r="B3687">
            <v>84</v>
          </cell>
          <cell r="I3687">
            <v>7.1</v>
          </cell>
        </row>
        <row r="3688">
          <cell r="B3688">
            <v>103</v>
          </cell>
          <cell r="I3688">
            <v>6.2</v>
          </cell>
        </row>
        <row r="3689">
          <cell r="B3689">
            <v>89</v>
          </cell>
          <cell r="I3689">
            <v>7.7</v>
          </cell>
        </row>
        <row r="3690">
          <cell r="B3690">
            <v>98</v>
          </cell>
          <cell r="I3690">
            <v>7.5</v>
          </cell>
        </row>
        <row r="3691">
          <cell r="B3691">
            <v>133</v>
          </cell>
          <cell r="I3691">
            <v>7.6</v>
          </cell>
        </row>
        <row r="3692">
          <cell r="B3692">
            <v>92</v>
          </cell>
          <cell r="I3692">
            <v>6.9</v>
          </cell>
        </row>
        <row r="3693">
          <cell r="B3693">
            <v>90</v>
          </cell>
          <cell r="I3693">
            <v>7.1</v>
          </cell>
        </row>
        <row r="3694">
          <cell r="B3694">
            <v>84</v>
          </cell>
          <cell r="I3694">
            <v>6.3</v>
          </cell>
        </row>
        <row r="3695">
          <cell r="B3695">
            <v>91</v>
          </cell>
          <cell r="I3695">
            <v>8.3000000000000007</v>
          </cell>
        </row>
        <row r="3696">
          <cell r="B3696">
            <v>90</v>
          </cell>
          <cell r="I3696">
            <v>7.1</v>
          </cell>
        </row>
        <row r="3697">
          <cell r="B3697">
            <v>96</v>
          </cell>
          <cell r="I3697">
            <v>4.7</v>
          </cell>
        </row>
        <row r="3698">
          <cell r="B3698">
            <v>88</v>
          </cell>
          <cell r="I3698">
            <v>7.2</v>
          </cell>
        </row>
        <row r="3699">
          <cell r="B3699">
            <v>92</v>
          </cell>
          <cell r="I3699">
            <v>5.0999999999999996</v>
          </cell>
        </row>
        <row r="3700">
          <cell r="B3700">
            <v>82</v>
          </cell>
          <cell r="I3700">
            <v>6.9</v>
          </cell>
        </row>
        <row r="3701">
          <cell r="B3701">
            <v>101</v>
          </cell>
          <cell r="I3701">
            <v>6.1</v>
          </cell>
        </row>
        <row r="3702">
          <cell r="B3702">
            <v>86</v>
          </cell>
          <cell r="I3702">
            <v>7</v>
          </cell>
        </row>
        <row r="3703">
          <cell r="B3703">
            <v>100</v>
          </cell>
          <cell r="I3703">
            <v>6.3</v>
          </cell>
        </row>
        <row r="3704">
          <cell r="B3704">
            <v>89</v>
          </cell>
          <cell r="I3704">
            <v>6.1</v>
          </cell>
        </row>
        <row r="3705">
          <cell r="B3705">
            <v>84</v>
          </cell>
          <cell r="I3705">
            <v>7.2</v>
          </cell>
        </row>
        <row r="3706">
          <cell r="B3706">
            <v>88</v>
          </cell>
          <cell r="I3706">
            <v>7.8</v>
          </cell>
        </row>
        <row r="3707">
          <cell r="B3707">
            <v>90</v>
          </cell>
          <cell r="I3707">
            <v>4.7</v>
          </cell>
        </row>
        <row r="3708">
          <cell r="B3708">
            <v>102</v>
          </cell>
          <cell r="I3708">
            <v>6.7</v>
          </cell>
        </row>
        <row r="3709">
          <cell r="B3709">
            <v>98</v>
          </cell>
          <cell r="I3709">
            <v>6.6</v>
          </cell>
        </row>
        <row r="3710">
          <cell r="B3710">
            <v>91</v>
          </cell>
          <cell r="I3710">
            <v>6.9</v>
          </cell>
        </row>
        <row r="3711">
          <cell r="B3711">
            <v>80</v>
          </cell>
          <cell r="I3711">
            <v>7.1</v>
          </cell>
        </row>
        <row r="3712">
          <cell r="B3712">
            <v>76</v>
          </cell>
          <cell r="I3712">
            <v>6.7</v>
          </cell>
        </row>
        <row r="3713">
          <cell r="B3713">
            <v>80</v>
          </cell>
          <cell r="I3713">
            <v>7.1</v>
          </cell>
        </row>
        <row r="3714">
          <cell r="B3714">
            <v>102</v>
          </cell>
          <cell r="I3714">
            <v>7.6</v>
          </cell>
        </row>
        <row r="3715">
          <cell r="B3715">
            <v>95</v>
          </cell>
          <cell r="I3715">
            <v>8.1</v>
          </cell>
        </row>
        <row r="3716">
          <cell r="B3716">
            <v>94</v>
          </cell>
          <cell r="I3716">
            <v>5.5</v>
          </cell>
        </row>
        <row r="3717">
          <cell r="B3717">
            <v>109</v>
          </cell>
          <cell r="I3717">
            <v>6.6</v>
          </cell>
        </row>
        <row r="3718">
          <cell r="B3718">
            <v>95</v>
          </cell>
          <cell r="I3718">
            <v>4.8</v>
          </cell>
        </row>
        <row r="3719">
          <cell r="B3719">
            <v>90</v>
          </cell>
          <cell r="I3719">
            <v>6.4</v>
          </cell>
        </row>
        <row r="3720">
          <cell r="B3720">
            <v>113</v>
          </cell>
          <cell r="I3720">
            <v>7.3</v>
          </cell>
        </row>
        <row r="3721">
          <cell r="B3721">
            <v>91</v>
          </cell>
          <cell r="I3721">
            <v>6.9</v>
          </cell>
        </row>
        <row r="3722">
          <cell r="B3722">
            <v>98</v>
          </cell>
          <cell r="I3722">
            <v>7.2</v>
          </cell>
        </row>
        <row r="3723">
          <cell r="B3723">
            <v>94</v>
          </cell>
          <cell r="I3723">
            <v>6.5</v>
          </cell>
        </row>
        <row r="3724">
          <cell r="B3724">
            <v>96</v>
          </cell>
          <cell r="I3724">
            <v>6.6</v>
          </cell>
        </row>
        <row r="3725">
          <cell r="B3725">
            <v>100</v>
          </cell>
          <cell r="I3725">
            <v>6.7</v>
          </cell>
        </row>
        <row r="3726">
          <cell r="B3726">
            <v>90</v>
          </cell>
          <cell r="I3726">
            <v>7.3</v>
          </cell>
        </row>
        <row r="3727">
          <cell r="B3727">
            <v>76</v>
          </cell>
          <cell r="I3727">
            <v>6.4</v>
          </cell>
        </row>
        <row r="3728">
          <cell r="B3728">
            <v>75</v>
          </cell>
          <cell r="I3728">
            <v>7</v>
          </cell>
        </row>
        <row r="3729">
          <cell r="B3729">
            <v>78</v>
          </cell>
          <cell r="I3729">
            <v>5.5</v>
          </cell>
        </row>
        <row r="3730">
          <cell r="B3730">
            <v>90</v>
          </cell>
          <cell r="I3730">
            <v>6.7</v>
          </cell>
        </row>
        <row r="3731">
          <cell r="B3731">
            <v>92</v>
          </cell>
          <cell r="I3731">
            <v>6.1</v>
          </cell>
        </row>
        <row r="3732">
          <cell r="B3732">
            <v>99</v>
          </cell>
          <cell r="I3732">
            <v>3.9</v>
          </cell>
        </row>
        <row r="3733">
          <cell r="B3733">
            <v>81</v>
          </cell>
          <cell r="I3733">
            <v>6.3</v>
          </cell>
        </row>
        <row r="3734">
          <cell r="B3734">
            <v>86</v>
          </cell>
          <cell r="I3734">
            <v>7.5</v>
          </cell>
        </row>
        <row r="3735">
          <cell r="B3735">
            <v>106</v>
          </cell>
          <cell r="I3735">
            <v>7</v>
          </cell>
        </row>
        <row r="3736">
          <cell r="B3736">
            <v>80</v>
          </cell>
          <cell r="I3736">
            <v>6.7</v>
          </cell>
        </row>
        <row r="3737">
          <cell r="B3737">
            <v>96</v>
          </cell>
          <cell r="I3737">
            <v>7.4</v>
          </cell>
        </row>
        <row r="3738">
          <cell r="B3738">
            <v>99</v>
          </cell>
          <cell r="I3738">
            <v>8</v>
          </cell>
        </row>
        <row r="3739">
          <cell r="B3739">
            <v>85</v>
          </cell>
          <cell r="I3739">
            <v>7.2</v>
          </cell>
        </row>
        <row r="3740">
          <cell r="B3740">
            <v>101</v>
          </cell>
          <cell r="I3740">
            <v>6.4</v>
          </cell>
        </row>
        <row r="3741">
          <cell r="B3741">
            <v>97</v>
          </cell>
          <cell r="I3741">
            <v>6.5</v>
          </cell>
        </row>
        <row r="3742">
          <cell r="B3742">
            <v>103</v>
          </cell>
          <cell r="I3742">
            <v>6.9</v>
          </cell>
        </row>
        <row r="3743">
          <cell r="B3743">
            <v>86</v>
          </cell>
          <cell r="I3743">
            <v>7.5</v>
          </cell>
        </row>
        <row r="3744">
          <cell r="B3744">
            <v>106</v>
          </cell>
          <cell r="I3744">
            <v>7.7</v>
          </cell>
        </row>
        <row r="3745">
          <cell r="B3745">
            <v>89</v>
          </cell>
          <cell r="I3745">
            <v>8.5</v>
          </cell>
        </row>
        <row r="3746">
          <cell r="B3746">
            <v>97</v>
          </cell>
          <cell r="I3746">
            <v>7.7</v>
          </cell>
        </row>
        <row r="3747">
          <cell r="B3747">
            <v>88</v>
          </cell>
          <cell r="I3747">
            <v>6.5</v>
          </cell>
        </row>
        <row r="3748">
          <cell r="B3748">
            <v>92</v>
          </cell>
          <cell r="I3748">
            <v>7</v>
          </cell>
        </row>
        <row r="3749">
          <cell r="B3749">
            <v>97</v>
          </cell>
          <cell r="I3749">
            <v>5.5</v>
          </cell>
        </row>
        <row r="3750">
          <cell r="B3750">
            <v>78</v>
          </cell>
          <cell r="I3750">
            <v>6.3</v>
          </cell>
        </row>
        <row r="3751">
          <cell r="B3751">
            <v>85</v>
          </cell>
          <cell r="I3751">
            <v>7.9</v>
          </cell>
        </row>
        <row r="3752">
          <cell r="B3752">
            <v>88</v>
          </cell>
          <cell r="I3752">
            <v>7.3</v>
          </cell>
        </row>
        <row r="3753">
          <cell r="B3753">
            <v>93</v>
          </cell>
          <cell r="I3753">
            <v>7.4</v>
          </cell>
        </row>
        <row r="3754">
          <cell r="B3754">
            <v>72</v>
          </cell>
          <cell r="I3754">
            <v>7</v>
          </cell>
        </row>
        <row r="3755">
          <cell r="B3755">
            <v>80</v>
          </cell>
          <cell r="I3755">
            <v>7.1</v>
          </cell>
        </row>
        <row r="3756">
          <cell r="B3756">
            <v>91</v>
          </cell>
          <cell r="I3756">
            <v>7.5</v>
          </cell>
        </row>
        <row r="3757">
          <cell r="B3757">
            <v>90</v>
          </cell>
          <cell r="I3757">
            <v>6.7</v>
          </cell>
        </row>
        <row r="3758">
          <cell r="B3758">
            <v>111</v>
          </cell>
          <cell r="I3758">
            <v>6.7</v>
          </cell>
        </row>
        <row r="3759">
          <cell r="B3759">
            <v>81</v>
          </cell>
          <cell r="I3759">
            <v>4.2</v>
          </cell>
        </row>
        <row r="3760">
          <cell r="B3760">
            <v>81</v>
          </cell>
          <cell r="I3760">
            <v>7</v>
          </cell>
        </row>
        <row r="3761">
          <cell r="B3761">
            <v>90</v>
          </cell>
          <cell r="I3761">
            <v>7</v>
          </cell>
        </row>
        <row r="3762">
          <cell r="B3762">
            <v>88</v>
          </cell>
          <cell r="I3762">
            <v>6.8</v>
          </cell>
        </row>
        <row r="3763">
          <cell r="B3763">
            <v>84</v>
          </cell>
          <cell r="I3763">
            <v>7.5</v>
          </cell>
        </row>
        <row r="3764">
          <cell r="B3764">
            <v>87</v>
          </cell>
          <cell r="I3764">
            <v>5.3</v>
          </cell>
        </row>
        <row r="3765">
          <cell r="B3765">
            <v>100</v>
          </cell>
          <cell r="I3765">
            <v>7.3</v>
          </cell>
        </row>
        <row r="3766">
          <cell r="B3766">
            <v>82</v>
          </cell>
          <cell r="I3766">
            <v>5.6</v>
          </cell>
        </row>
        <row r="3767">
          <cell r="B3767">
            <v>82</v>
          </cell>
          <cell r="I3767">
            <v>5.6</v>
          </cell>
        </row>
        <row r="3768">
          <cell r="B3768">
            <v>98</v>
          </cell>
          <cell r="I3768">
            <v>6.6</v>
          </cell>
        </row>
        <row r="3769">
          <cell r="B3769">
            <v>98</v>
          </cell>
          <cell r="I3769">
            <v>6.3</v>
          </cell>
        </row>
        <row r="3770">
          <cell r="B3770">
            <v>90</v>
          </cell>
          <cell r="I3770">
            <v>7.5</v>
          </cell>
        </row>
        <row r="3771">
          <cell r="B3771">
            <v>90</v>
          </cell>
          <cell r="I3771">
            <v>7.6</v>
          </cell>
        </row>
        <row r="3772">
          <cell r="B3772">
            <v>78</v>
          </cell>
          <cell r="I3772">
            <v>4.0999999999999996</v>
          </cell>
        </row>
        <row r="3773">
          <cell r="B3773">
            <v>102</v>
          </cell>
          <cell r="I3773">
            <v>7.8</v>
          </cell>
        </row>
        <row r="3774">
          <cell r="B3774">
            <v>65</v>
          </cell>
          <cell r="I3774">
            <v>6.7</v>
          </cell>
        </row>
        <row r="3775">
          <cell r="B3775">
            <v>97</v>
          </cell>
          <cell r="I3775">
            <v>7.3</v>
          </cell>
        </row>
        <row r="3776">
          <cell r="B3776">
            <v>100</v>
          </cell>
          <cell r="I3776">
            <v>7.1</v>
          </cell>
        </row>
        <row r="3777">
          <cell r="B3777">
            <v>85</v>
          </cell>
          <cell r="I3777">
            <v>6.6</v>
          </cell>
        </row>
        <row r="3778">
          <cell r="B3778">
            <v>88</v>
          </cell>
          <cell r="I3778">
            <v>6.2</v>
          </cell>
        </row>
        <row r="3779">
          <cell r="B3779">
            <v>108</v>
          </cell>
          <cell r="I3779">
            <v>6.1</v>
          </cell>
        </row>
        <row r="3780">
          <cell r="B3780">
            <v>110</v>
          </cell>
          <cell r="I3780">
            <v>6.9</v>
          </cell>
        </row>
        <row r="3781">
          <cell r="B3781">
            <v>90</v>
          </cell>
          <cell r="I3781">
            <v>7.5</v>
          </cell>
        </row>
        <row r="3782">
          <cell r="B3782">
            <v>111</v>
          </cell>
          <cell r="I3782">
            <v>7.4</v>
          </cell>
        </row>
        <row r="3783">
          <cell r="B3783">
            <v>77</v>
          </cell>
          <cell r="I3783">
            <v>7</v>
          </cell>
        </row>
        <row r="3784">
          <cell r="B3784">
            <v>80</v>
          </cell>
          <cell r="I3784">
            <v>6.3</v>
          </cell>
        </row>
        <row r="3785">
          <cell r="B3785">
            <v>81</v>
          </cell>
          <cell r="I3785">
            <v>6.9</v>
          </cell>
        </row>
        <row r="3786">
          <cell r="B3786">
            <v>95</v>
          </cell>
          <cell r="I3786">
            <v>6.4</v>
          </cell>
        </row>
        <row r="3787">
          <cell r="B3787">
            <v>90</v>
          </cell>
          <cell r="I3787">
            <v>6.6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3D359F-65DA-4DC8-A27B-59F98E4FC88D}" name="Table_4103" displayName="Table_4103" ref="M25:N34" headerRowDxfId="9" dataDxfId="8" totalsRowDxfId="7">
  <tableColumns count="2">
    <tableColumn id="1" xr3:uid="{20FC82BE-3ABB-4C3D-BA5B-5300A1C41EFF}" name="Movies" dataDxfId="6"/>
    <tableColumn id="2" xr3:uid="{80CC0CED-9D32-4C29-A70A-4CE283B6A50A}" name="Profits in Millions" dataDxfId="5"/>
  </tableColumns>
  <tableStyleInfo name="IMDB_Movies-style 4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25E6B5-58F0-47A6-A9E1-D8E375695392}" name="Table_39" displayName="Table_39" ref="R23:S3808" headerRowDxfId="4" dataDxfId="3" totalsRowDxfId="2">
  <tableColumns count="2">
    <tableColumn id="1" xr3:uid="{29153017-29AD-48F7-9467-FA100F611716}" name="Movie_Title" dataDxfId="1"/>
    <tableColumn id="2" xr3:uid="{A1511E76-6B02-46F1-BB2B-91E58E14139B}" name="Profit" dataDxfId="0">
      <calculatedColumnFormula>C2-H2</calculatedColumnFormula>
    </tableColumn>
  </tableColumns>
  <tableStyleInfo name="IMDB_Movies-style 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941"/>
  <sheetViews>
    <sheetView tabSelected="1" topLeftCell="F2" zoomScale="98" zoomScaleNormal="98" workbookViewId="0">
      <selection activeCell="F2" sqref="F2:F39"/>
    </sheetView>
  </sheetViews>
  <sheetFormatPr defaultRowHeight="14.4" x14ac:dyDescent="0.3"/>
  <cols>
    <col min="1" max="1" width="29.6640625" customWidth="1"/>
    <col min="2" max="2" width="12.33203125" bestFit="1" customWidth="1"/>
    <col min="3" max="3" width="10" customWidth="1"/>
    <col min="4" max="4" width="62.6640625" customWidth="1"/>
    <col min="5" max="5" width="72.77734375" bestFit="1" customWidth="1"/>
    <col min="6" max="6" width="12.6640625" bestFit="1" customWidth="1"/>
    <col min="7" max="7" width="13.21875" bestFit="1" customWidth="1"/>
    <col min="8" max="8" width="12" customWidth="1"/>
    <col min="9" max="9" width="14.88671875" bestFit="1" customWidth="1"/>
    <col min="10" max="10" width="12" bestFit="1" customWidth="1"/>
    <col min="11" max="11" width="19.44140625" customWidth="1"/>
    <col min="12" max="12" width="9.77734375" customWidth="1"/>
    <col min="13" max="13" width="40.44140625" bestFit="1" customWidth="1"/>
    <col min="14" max="14" width="15.88671875" bestFit="1" customWidth="1"/>
    <col min="15" max="15" width="10.44140625" bestFit="1" customWidth="1"/>
    <col min="16" max="16" width="11.88671875" bestFit="1" customWidth="1"/>
    <col min="17" max="17" width="10.5546875" bestFit="1" customWidth="1"/>
    <col min="18" max="18" width="68.109375" bestFit="1" customWidth="1"/>
    <col min="19" max="19" width="10" bestFit="1" customWidth="1"/>
    <col min="20" max="21" width="12.21875" bestFit="1" customWidth="1"/>
  </cols>
  <sheetData>
    <row r="1" spans="1:21" ht="18" x14ac:dyDescent="0.3">
      <c r="A1" s="1" t="s">
        <v>0</v>
      </c>
      <c r="B1" s="1" t="s">
        <v>1</v>
      </c>
      <c r="C1" s="1" t="s">
        <v>2</v>
      </c>
      <c r="D1" s="1" t="s">
        <v>5737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5739</v>
      </c>
      <c r="K1" s="1" t="s">
        <v>5740</v>
      </c>
      <c r="M1" s="5" t="s">
        <v>5742</v>
      </c>
    </row>
    <row r="2" spans="1:21" x14ac:dyDescent="0.3">
      <c r="A2" s="2" t="s">
        <v>4570</v>
      </c>
      <c r="B2" s="2">
        <v>92</v>
      </c>
      <c r="C2" s="3">
        <v>760505847</v>
      </c>
      <c r="D2" s="3" t="s">
        <v>5751</v>
      </c>
      <c r="E2" s="2" t="s">
        <v>4571</v>
      </c>
      <c r="F2" s="2" t="s">
        <v>10</v>
      </c>
      <c r="G2" s="2" t="s">
        <v>71</v>
      </c>
      <c r="H2" s="2">
        <v>5000000</v>
      </c>
      <c r="I2" s="2">
        <v>6.7</v>
      </c>
      <c r="J2" s="2">
        <v>17000000</v>
      </c>
      <c r="K2">
        <f t="shared" ref="K2:K65" si="0">CORREL(H$2:H$3941,J$2:J$3941)</f>
        <v>1.3775047412552699E-3</v>
      </c>
      <c r="M2" s="6" t="s">
        <v>5738</v>
      </c>
      <c r="N2" s="6" t="s">
        <v>5743</v>
      </c>
      <c r="O2" s="6" t="s">
        <v>5744</v>
      </c>
      <c r="P2" s="6" t="s">
        <v>5745</v>
      </c>
      <c r="Q2" s="6" t="s">
        <v>5746</v>
      </c>
      <c r="R2" s="6" t="s">
        <v>5747</v>
      </c>
      <c r="S2" s="6" t="s">
        <v>5748</v>
      </c>
      <c r="T2" s="6" t="s">
        <v>5749</v>
      </c>
      <c r="U2" s="6" t="s">
        <v>5750</v>
      </c>
    </row>
    <row r="3" spans="1:21" x14ac:dyDescent="0.3">
      <c r="A3" s="2" t="s">
        <v>1369</v>
      </c>
      <c r="B3" s="2">
        <v>112</v>
      </c>
      <c r="C3" s="3">
        <v>658672302</v>
      </c>
      <c r="D3" s="3" t="s">
        <v>5752</v>
      </c>
      <c r="E3" s="2" t="s">
        <v>3196</v>
      </c>
      <c r="F3" s="2" t="s">
        <v>10</v>
      </c>
      <c r="G3" s="2" t="s">
        <v>11</v>
      </c>
      <c r="H3" s="2">
        <v>17000000</v>
      </c>
      <c r="I3" s="2">
        <v>5.9</v>
      </c>
      <c r="J3" s="2">
        <v>2000000</v>
      </c>
      <c r="K3">
        <f t="shared" si="0"/>
        <v>1.3775047412552699E-3</v>
      </c>
      <c r="M3" t="str">
        <f ca="1">IFERROR(__xludf.DUMMYFUNCTION("ARRAY_CONSTRAIN(ARRAYFORMULA(UNIQUE(L2:L3768)), 17, 1)"),"Action")</f>
        <v>Action</v>
      </c>
      <c r="N3">
        <f ca="1">COUNTIF(D$2:D$3787,"*" &amp; M3 &amp; "*")</f>
        <v>935</v>
      </c>
      <c r="O3">
        <f ca="1">AVERAGEIF(D$2:D$3787,"*" &amp; M3 &amp; "*",I$2:I$3787)</f>
        <v>6.422032085561499</v>
      </c>
      <c r="P3">
        <f ca="1">MEDIAN(IF(ISNUMBER(SEARCH("*" &amp; M3 &amp; "*",D$2:D$3787)),I$2:I$3787))</f>
        <v>6.6</v>
      </c>
      <c r="Q3">
        <f ca="1">MODE(IF(ISNUMBER(SEARCH("*" &amp; M3 &amp; "*",D$2:D$3787)),I$2:I$3787))</f>
        <v>6.7</v>
      </c>
      <c r="R3">
        <f ca="1">_xlfn.MAXIFS(I$2:I$3787,D$2:D$3787,"*" &amp; M3 &amp; "*")</f>
        <v>9.1999999999999993</v>
      </c>
      <c r="S3">
        <f ca="1">_xlfn.MINIFS(I$2:I$3787,D$2:D$3787,"*" &amp; M3 &amp; "*")</f>
        <v>1.9</v>
      </c>
      <c r="T3">
        <f ca="1">STDEV(IF(ISNUMBER(SEARCH("*" &amp; M3 &amp; "*",D$2:D$3787)),I$2:I$3787))</f>
        <v>1.067205668715546</v>
      </c>
      <c r="U3">
        <f ca="1">VAR(IF(ISNUMBER(SEARCH("*" &amp; M3 &amp; "*",D$2:D$3787)),I$2:I$3787))</f>
        <v>1.1389279393385958</v>
      </c>
    </row>
    <row r="4" spans="1:21" x14ac:dyDescent="0.3">
      <c r="A4" s="2" t="s">
        <v>5181</v>
      </c>
      <c r="B4" s="2">
        <v>108</v>
      </c>
      <c r="C4" s="3">
        <v>652177271</v>
      </c>
      <c r="D4" s="3" t="s">
        <v>5753</v>
      </c>
      <c r="E4" s="2" t="s">
        <v>5182</v>
      </c>
      <c r="F4" s="2" t="s">
        <v>10</v>
      </c>
      <c r="G4" s="2" t="s">
        <v>11</v>
      </c>
      <c r="H4" s="2">
        <v>2000000</v>
      </c>
      <c r="I4" s="2">
        <v>7.1</v>
      </c>
      <c r="J4" s="2">
        <v>80000000</v>
      </c>
      <c r="K4">
        <f t="shared" si="0"/>
        <v>1.3775047412552699E-3</v>
      </c>
      <c r="M4" t="str">
        <f ca="1">IFERROR(__xludf.DUMMYFUNCTION("ARRAY_CONSTRAIN(ARRAYFORMULA(UNIQUE(L2:L3768)), 17, 1)"),"Adventure")</f>
        <v>Adventure</v>
      </c>
      <c r="N4">
        <f ca="1">COUNTIF(D$2:D$3787,"*" &amp; M4 &amp; "*")</f>
        <v>766</v>
      </c>
      <c r="O4">
        <f t="shared" ref="O4:O19" ca="1" si="1">AVERAGEIF(D$2:D$3787,"*" &amp; M4 &amp; "*",I$2:I$3787)</f>
        <v>6.4587467362924302</v>
      </c>
      <c r="P4">
        <f t="shared" ref="P4:P19" ca="1" si="2">MEDIAN(IF(ISNUMBER(SEARCH("*" &amp; M4 &amp; "*",D$2:D$3787)),I$2:I$3787))</f>
        <v>6.6</v>
      </c>
      <c r="Q4">
        <f t="shared" ref="Q4:Q19" ca="1" si="3">MODE(IF(ISNUMBER(SEARCH("*" &amp; M4 &amp; "*",D$2:D$3787)),I$2:I$3787))</f>
        <v>6.7</v>
      </c>
      <c r="R4">
        <f t="shared" ref="R4:R19" ca="1" si="4">_xlfn.MAXIFS(I$2:I$3787,D$2:D$3787,"*" &amp; M4 &amp; "*")</f>
        <v>8.6999999999999993</v>
      </c>
      <c r="S4">
        <f t="shared" ref="S4:S19" ca="1" si="5">_xlfn.MINIFS(I$2:I$3787,D$2:D$3787,"*" &amp; M4 &amp; "*")</f>
        <v>2.1</v>
      </c>
      <c r="T4">
        <f t="shared" ref="T4:T19" ca="1" si="6">STDEV(IF(ISNUMBER(SEARCH("*" &amp; M4 &amp; "*",D$2:D$3787)),I$2:I$3787))</f>
        <v>1.067205668715546</v>
      </c>
      <c r="U4">
        <f t="shared" ref="U4:U19" ca="1" si="7">VAR(IF(ISNUMBER(SEARCH("*" &amp; M4 &amp; "*",D$2:D$3787)),I$2:I$3787))</f>
        <v>1.1389279393385958</v>
      </c>
    </row>
    <row r="5" spans="1:21" x14ac:dyDescent="0.3">
      <c r="A5" s="2" t="s">
        <v>684</v>
      </c>
      <c r="B5" s="2">
        <v>99</v>
      </c>
      <c r="C5" s="3">
        <v>623279547</v>
      </c>
      <c r="D5" s="3" t="s">
        <v>5754</v>
      </c>
      <c r="E5" s="2" t="s">
        <v>685</v>
      </c>
      <c r="F5" s="2" t="s">
        <v>10</v>
      </c>
      <c r="G5" s="2" t="s">
        <v>11</v>
      </c>
      <c r="H5" s="2">
        <v>80000000</v>
      </c>
      <c r="I5" s="2">
        <v>6.1</v>
      </c>
      <c r="J5" s="2">
        <v>3300000</v>
      </c>
      <c r="K5">
        <f t="shared" si="0"/>
        <v>1.3775047412552699E-3</v>
      </c>
      <c r="M5" t="str">
        <f ca="1">IFERROR(__xludf.DUMMYFUNCTION("ARRAY_CONSTRAIN(ARRAYFORMULA(UNIQUE(L2:L3768)), 17, 1)"),"Drama")</f>
        <v>Drama</v>
      </c>
      <c r="N5">
        <f t="shared" ref="N4:N19" ca="1" si="8">COUNTIF(D$2:D$3787,"*" &amp; M5 &amp; "*")</f>
        <v>1911</v>
      </c>
      <c r="O5">
        <f t="shared" ca="1" si="1"/>
        <v>6.4392987964416637</v>
      </c>
      <c r="P5">
        <f t="shared" ca="1" si="2"/>
        <v>0</v>
      </c>
      <c r="Q5" t="e">
        <f t="shared" ca="1" si="3"/>
        <v>#VALUE!</v>
      </c>
      <c r="R5">
        <f t="shared" ca="1" si="4"/>
        <v>9.3000000000000007</v>
      </c>
      <c r="S5">
        <f t="shared" ca="1" si="5"/>
        <v>1.6</v>
      </c>
      <c r="T5" t="e">
        <f ca="1">STDEV(IF(ISNUMBER(SEARCH("*" &amp; M5 &amp; "*",D$2:D$3787)),I$2:I$3787))</f>
        <v>#DIV/0!</v>
      </c>
      <c r="U5" t="e">
        <f t="shared" ca="1" si="7"/>
        <v>#DIV/0!</v>
      </c>
    </row>
    <row r="6" spans="1:21" x14ac:dyDescent="0.3">
      <c r="A6" s="2" t="s">
        <v>3042</v>
      </c>
      <c r="B6" s="2">
        <v>91</v>
      </c>
      <c r="C6" s="3">
        <v>533316061</v>
      </c>
      <c r="D6" s="3" t="s">
        <v>5755</v>
      </c>
      <c r="E6" s="2" t="s">
        <v>4895</v>
      </c>
      <c r="F6" s="2" t="s">
        <v>10</v>
      </c>
      <c r="G6" s="2" t="s">
        <v>11</v>
      </c>
      <c r="H6" s="2">
        <v>3300000</v>
      </c>
      <c r="I6" s="2">
        <v>7.4</v>
      </c>
      <c r="J6" s="2">
        <v>3300000</v>
      </c>
      <c r="K6">
        <f t="shared" si="0"/>
        <v>1.3775047412552699E-3</v>
      </c>
      <c r="M6" t="str">
        <f ca="1">IFERROR(__xludf.DUMMYFUNCTION("ARRAY_CONSTRAIN(ARRAYFORMULA(UNIQUE(L2:L3768)), 17, 1)"),"Animation")</f>
        <v>Animation</v>
      </c>
      <c r="N6">
        <f t="shared" ca="1" si="8"/>
        <v>197</v>
      </c>
      <c r="O6">
        <f t="shared" ca="1" si="1"/>
        <v>6.5269035532994923</v>
      </c>
      <c r="P6">
        <f t="shared" ca="1" si="2"/>
        <v>0</v>
      </c>
      <c r="Q6" t="e">
        <f t="shared" ca="1" si="3"/>
        <v>#VALUE!</v>
      </c>
      <c r="R6">
        <f t="shared" ca="1" si="4"/>
        <v>8.6</v>
      </c>
      <c r="S6">
        <f t="shared" ca="1" si="5"/>
        <v>3.4</v>
      </c>
      <c r="T6" t="e">
        <f t="shared" ca="1" si="6"/>
        <v>#DIV/0!</v>
      </c>
      <c r="U6" t="e">
        <f t="shared" ca="1" si="7"/>
        <v>#DIV/0!</v>
      </c>
    </row>
    <row r="7" spans="1:21" x14ac:dyDescent="0.3">
      <c r="A7" s="2" t="s">
        <v>2889</v>
      </c>
      <c r="B7" s="2">
        <v>97</v>
      </c>
      <c r="C7" s="3">
        <v>474544677</v>
      </c>
      <c r="D7" s="3" t="s">
        <v>5756</v>
      </c>
      <c r="E7" s="2" t="s">
        <v>5635</v>
      </c>
      <c r="F7" s="2" t="s">
        <v>10</v>
      </c>
      <c r="G7" s="2" t="s">
        <v>11</v>
      </c>
      <c r="H7" s="2">
        <v>7830000</v>
      </c>
      <c r="I7" s="2">
        <v>6.5</v>
      </c>
      <c r="J7" s="2">
        <v>3300000</v>
      </c>
      <c r="K7">
        <f t="shared" si="0"/>
        <v>1.3775047412552699E-3</v>
      </c>
      <c r="M7" t="str">
        <f ca="1">IFERROR(__xludf.DUMMYFUNCTION("ARRAY_CONSTRAIN(ARRAYFORMULA(UNIQUE(L2:L3768)), 17, 1)"),"Comedy")</f>
        <v>Comedy</v>
      </c>
      <c r="N7">
        <f t="shared" ca="1" si="8"/>
        <v>1492</v>
      </c>
      <c r="O7">
        <f t="shared" ca="1" si="1"/>
        <v>6.4294235924933112</v>
      </c>
      <c r="P7">
        <f t="shared" ca="1" si="2"/>
        <v>0</v>
      </c>
      <c r="Q7" t="e">
        <f t="shared" ca="1" si="3"/>
        <v>#VALUE!</v>
      </c>
      <c r="R7">
        <f t="shared" ca="1" si="4"/>
        <v>9</v>
      </c>
      <c r="S7">
        <f t="shared" ca="1" si="5"/>
        <v>1.6</v>
      </c>
      <c r="T7" t="e">
        <f t="shared" ca="1" si="6"/>
        <v>#DIV/0!</v>
      </c>
      <c r="U7" t="e">
        <f t="shared" ca="1" si="7"/>
        <v>#DIV/0!</v>
      </c>
    </row>
    <row r="8" spans="1:21" x14ac:dyDescent="0.3">
      <c r="A8" s="2" t="s">
        <v>2288</v>
      </c>
      <c r="B8" s="2">
        <v>115</v>
      </c>
      <c r="C8" s="3">
        <v>460935665</v>
      </c>
      <c r="D8" s="3" t="s">
        <v>5757</v>
      </c>
      <c r="E8" s="2" t="s">
        <v>4084</v>
      </c>
      <c r="F8" s="2" t="s">
        <v>10</v>
      </c>
      <c r="G8" s="2" t="s">
        <v>199</v>
      </c>
      <c r="H8" s="2">
        <v>6500000</v>
      </c>
      <c r="I8" s="2">
        <v>7.9</v>
      </c>
      <c r="J8" s="2">
        <v>3300000</v>
      </c>
      <c r="K8">
        <f t="shared" si="0"/>
        <v>1.3775047412552699E-3</v>
      </c>
      <c r="M8" t="str">
        <f ca="1">IFERROR(__xludf.DUMMYFUNCTION("ARRAY_CONSTRAIN(ARRAYFORMULA(UNIQUE(L2:L3768)), 17, 1)"),"Mystery")</f>
        <v>Mystery</v>
      </c>
      <c r="N8">
        <f t="shared" ca="1" si="8"/>
        <v>377</v>
      </c>
      <c r="O8">
        <f t="shared" ca="1" si="1"/>
        <v>6.4225464190981434</v>
      </c>
      <c r="P8">
        <f t="shared" ca="1" si="2"/>
        <v>0</v>
      </c>
      <c r="Q8" t="e">
        <f t="shared" ca="1" si="3"/>
        <v>#VALUE!</v>
      </c>
      <c r="R8">
        <f t="shared" ca="1" si="4"/>
        <v>8.8000000000000007</v>
      </c>
      <c r="S8">
        <f t="shared" ca="1" si="5"/>
        <v>2.1</v>
      </c>
      <c r="T8" t="e">
        <f t="shared" ca="1" si="6"/>
        <v>#DIV/0!</v>
      </c>
      <c r="U8" t="e">
        <f t="shared" ca="1" si="7"/>
        <v>#DIV/0!</v>
      </c>
    </row>
    <row r="9" spans="1:21" x14ac:dyDescent="0.3">
      <c r="A9" s="2" t="s">
        <v>4921</v>
      </c>
      <c r="B9" s="2">
        <v>91</v>
      </c>
      <c r="C9" s="3">
        <v>458991599</v>
      </c>
      <c r="D9" s="3" t="s">
        <v>5755</v>
      </c>
      <c r="E9" s="2" t="s">
        <v>4922</v>
      </c>
      <c r="F9" s="2" t="s">
        <v>10</v>
      </c>
      <c r="G9" s="2" t="s">
        <v>11</v>
      </c>
      <c r="H9" s="2">
        <v>2500000</v>
      </c>
      <c r="I9" s="2">
        <v>4.3</v>
      </c>
      <c r="J9" s="2">
        <v>3300000</v>
      </c>
      <c r="K9">
        <f t="shared" si="0"/>
        <v>1.3775047412552699E-3</v>
      </c>
      <c r="M9" t="str">
        <f ca="1">IFERROR(__xludf.DUMMYFUNCTION("ARRAY_CONSTRAIN(ARRAYFORMULA(UNIQUE(L2:L3768)), 17, 1)"),"Crime")</f>
        <v>Crime</v>
      </c>
      <c r="N9">
        <f t="shared" ca="1" si="8"/>
        <v>702</v>
      </c>
      <c r="O9">
        <f t="shared" ca="1" si="1"/>
        <v>6.4497150997151032</v>
      </c>
      <c r="P9">
        <f t="shared" ca="1" si="2"/>
        <v>0</v>
      </c>
      <c r="Q9" t="e">
        <f t="shared" ca="1" si="3"/>
        <v>#VALUE!</v>
      </c>
      <c r="R9">
        <f t="shared" ca="1" si="4"/>
        <v>9.3000000000000007</v>
      </c>
      <c r="S9">
        <f t="shared" ca="1" si="5"/>
        <v>2.2999999999999998</v>
      </c>
      <c r="T9" t="e">
        <f t="shared" ca="1" si="6"/>
        <v>#DIV/0!</v>
      </c>
      <c r="U9" t="e">
        <f t="shared" ca="1" si="7"/>
        <v>#DIV/0!</v>
      </c>
    </row>
    <row r="10" spans="1:21" x14ac:dyDescent="0.3">
      <c r="A10" s="2" t="s">
        <v>2885</v>
      </c>
      <c r="B10" s="2">
        <v>85</v>
      </c>
      <c r="C10" s="3">
        <v>448130642</v>
      </c>
      <c r="D10" s="3" t="s">
        <v>5758</v>
      </c>
      <c r="E10" s="2" t="s">
        <v>2886</v>
      </c>
      <c r="F10" s="2" t="s">
        <v>10</v>
      </c>
      <c r="G10" s="2" t="s">
        <v>11</v>
      </c>
      <c r="H10" s="2">
        <v>20000000</v>
      </c>
      <c r="I10" s="2">
        <v>2.7</v>
      </c>
      <c r="J10" s="2">
        <v>3300000</v>
      </c>
      <c r="K10">
        <f t="shared" si="0"/>
        <v>1.3775047412552699E-3</v>
      </c>
      <c r="M10" t="str">
        <f ca="1">IFERROR(__xludf.DUMMYFUNCTION("ARRAY_CONSTRAIN(ARRAYFORMULA(UNIQUE(L2:L3768)), 17, 1)"),"Biography")</f>
        <v>Biography</v>
      </c>
      <c r="N10">
        <f t="shared" ca="1" si="8"/>
        <v>242</v>
      </c>
      <c r="O10">
        <f t="shared" ca="1" si="1"/>
        <v>6.4809917355371924</v>
      </c>
      <c r="P10">
        <f t="shared" ca="1" si="2"/>
        <v>0</v>
      </c>
      <c r="Q10" t="e">
        <f t="shared" ca="1" si="3"/>
        <v>#VALUE!</v>
      </c>
      <c r="R10">
        <f t="shared" ca="1" si="4"/>
        <v>8.6999999999999993</v>
      </c>
      <c r="S10">
        <f t="shared" ca="1" si="5"/>
        <v>3.3</v>
      </c>
      <c r="T10" t="e">
        <f t="shared" ca="1" si="6"/>
        <v>#DIV/0!</v>
      </c>
      <c r="U10" t="e">
        <f t="shared" ca="1" si="7"/>
        <v>#DIV/0!</v>
      </c>
    </row>
    <row r="11" spans="1:21" x14ac:dyDescent="0.3">
      <c r="A11" s="2" t="s">
        <v>3320</v>
      </c>
      <c r="B11" s="2">
        <v>91</v>
      </c>
      <c r="C11" s="3">
        <v>436471036</v>
      </c>
      <c r="D11" s="3" t="s">
        <v>5755</v>
      </c>
      <c r="E11" s="2" t="s">
        <v>3321</v>
      </c>
      <c r="F11" s="2" t="s">
        <v>10</v>
      </c>
      <c r="G11" s="2" t="s">
        <v>11</v>
      </c>
      <c r="H11" s="2">
        <v>16000000</v>
      </c>
      <c r="I11" s="2">
        <v>4.8</v>
      </c>
      <c r="J11" s="2">
        <v>3300000</v>
      </c>
      <c r="K11">
        <f t="shared" si="0"/>
        <v>1.3775047412552699E-3</v>
      </c>
      <c r="M11" t="str">
        <f ca="1">IFERROR(__xludf.DUMMYFUNCTION("ARRAY_CONSTRAIN(ARRAYFORMULA(UNIQUE(L2:L3768)), 17, 1)"),"Fantasy")</f>
        <v>Fantasy</v>
      </c>
      <c r="N11">
        <f t="shared" ca="1" si="8"/>
        <v>496</v>
      </c>
      <c r="O11">
        <f t="shared" ca="1" si="1"/>
        <v>6.4239919354838717</v>
      </c>
      <c r="P11">
        <f t="shared" ca="1" si="2"/>
        <v>0</v>
      </c>
      <c r="Q11" t="e">
        <f t="shared" ca="1" si="3"/>
        <v>#VALUE!</v>
      </c>
      <c r="R11">
        <f t="shared" ca="1" si="4"/>
        <v>8.9</v>
      </c>
      <c r="S11">
        <f t="shared" ca="1" si="5"/>
        <v>2.2999999999999998</v>
      </c>
      <c r="T11" t="e">
        <f t="shared" ca="1" si="6"/>
        <v>#DIV/0!</v>
      </c>
      <c r="U11" t="e">
        <f t="shared" ca="1" si="7"/>
        <v>#DIV/0!</v>
      </c>
    </row>
    <row r="12" spans="1:21" x14ac:dyDescent="0.3">
      <c r="A12" s="2" t="s">
        <v>456</v>
      </c>
      <c r="B12" s="2">
        <v>107</v>
      </c>
      <c r="C12" s="3">
        <v>434949459</v>
      </c>
      <c r="D12" s="3" t="s">
        <v>5755</v>
      </c>
      <c r="E12" s="2" t="s">
        <v>3713</v>
      </c>
      <c r="F12" s="2" t="s">
        <v>10</v>
      </c>
      <c r="G12" s="2" t="s">
        <v>11</v>
      </c>
      <c r="H12" s="2">
        <v>13000000</v>
      </c>
      <c r="I12" s="2">
        <v>5.7</v>
      </c>
      <c r="J12" s="2">
        <v>3300000</v>
      </c>
      <c r="K12">
        <f t="shared" si="0"/>
        <v>1.3775047412552699E-3</v>
      </c>
      <c r="M12" t="str">
        <f ca="1">IFERROR(__xludf.DUMMYFUNCTION("ARRAY_CONSTRAIN(ARRAYFORMULA(UNIQUE(L2:L3768)), 17, 1)"),"Documentary")</f>
        <v>Documentary</v>
      </c>
      <c r="N12">
        <f t="shared" ca="1" si="8"/>
        <v>67</v>
      </c>
      <c r="O12">
        <f t="shared" ca="1" si="1"/>
        <v>6.4014925373134313</v>
      </c>
      <c r="P12">
        <f t="shared" ca="1" si="2"/>
        <v>0</v>
      </c>
      <c r="Q12" t="e">
        <f t="shared" ca="1" si="3"/>
        <v>#VALUE!</v>
      </c>
      <c r="R12">
        <f t="shared" ca="1" si="4"/>
        <v>8.5</v>
      </c>
      <c r="S12">
        <f t="shared" ca="1" si="5"/>
        <v>3.8</v>
      </c>
      <c r="T12" t="e">
        <f t="shared" ca="1" si="6"/>
        <v>#DIV/0!</v>
      </c>
      <c r="U12" t="e">
        <f t="shared" ca="1" si="7"/>
        <v>#DIV/0!</v>
      </c>
    </row>
    <row r="13" spans="1:21" x14ac:dyDescent="0.3">
      <c r="A13" s="2" t="s">
        <v>1637</v>
      </c>
      <c r="B13" s="2">
        <v>104</v>
      </c>
      <c r="C13" s="3">
        <v>424645577</v>
      </c>
      <c r="D13" s="3" t="s">
        <v>5759</v>
      </c>
      <c r="E13" s="2" t="s">
        <v>1638</v>
      </c>
      <c r="F13" s="2" t="s">
        <v>10</v>
      </c>
      <c r="G13" s="2" t="s">
        <v>16</v>
      </c>
      <c r="H13" s="2">
        <v>42000000</v>
      </c>
      <c r="I13" s="2">
        <v>4</v>
      </c>
      <c r="J13" s="2">
        <v>3300000</v>
      </c>
      <c r="K13">
        <f t="shared" si="0"/>
        <v>1.3775047412552699E-3</v>
      </c>
      <c r="M13" t="str">
        <f ca="1">IFERROR(__xludf.DUMMYFUNCTION("ARRAY_CONSTRAIN(ARRAYFORMULA(UNIQUE(L2:L3768)), 17, 1)"),"Sci-fi")</f>
        <v>Sci-fi</v>
      </c>
      <c r="N13">
        <f t="shared" ca="1" si="8"/>
        <v>484</v>
      </c>
      <c r="O13">
        <f t="shared" ca="1" si="1"/>
        <v>6.4241735537190054</v>
      </c>
      <c r="P13">
        <f t="shared" ca="1" si="2"/>
        <v>0</v>
      </c>
      <c r="Q13" t="e">
        <f t="shared" ca="1" si="3"/>
        <v>#VALUE!</v>
      </c>
      <c r="R13">
        <f t="shared" ca="1" si="4"/>
        <v>9</v>
      </c>
      <c r="S13">
        <f t="shared" ca="1" si="5"/>
        <v>2.5</v>
      </c>
      <c r="T13" t="e">
        <f t="shared" ca="1" si="6"/>
        <v>#DIV/0!</v>
      </c>
      <c r="U13" t="e">
        <f t="shared" ca="1" si="7"/>
        <v>#DIV/0!</v>
      </c>
    </row>
    <row r="14" spans="1:21" x14ac:dyDescent="0.3">
      <c r="A14" s="2" t="s">
        <v>458</v>
      </c>
      <c r="B14" s="2">
        <v>130</v>
      </c>
      <c r="C14" s="3">
        <v>423032628</v>
      </c>
      <c r="D14" s="3" t="s">
        <v>5752</v>
      </c>
      <c r="E14" s="2" t="s">
        <v>2380</v>
      </c>
      <c r="F14" s="2" t="s">
        <v>10</v>
      </c>
      <c r="G14" s="2" t="s">
        <v>11</v>
      </c>
      <c r="H14" s="2">
        <v>28000000</v>
      </c>
      <c r="I14" s="2">
        <v>7.8</v>
      </c>
      <c r="J14" s="2">
        <v>3300000</v>
      </c>
      <c r="K14">
        <f t="shared" si="0"/>
        <v>1.3775047412552699E-3</v>
      </c>
      <c r="M14" t="str">
        <f ca="1">IFERROR(__xludf.DUMMYFUNCTION("ARRAY_CONSTRAIN(ARRAYFORMULA(UNIQUE(L2:L3768)), 17, 1)"),"Horror")</f>
        <v>Horror</v>
      </c>
      <c r="N14">
        <f t="shared" ca="1" si="8"/>
        <v>379</v>
      </c>
      <c r="O14">
        <f t="shared" ca="1" si="1"/>
        <v>6.4868073878627976</v>
      </c>
      <c r="P14">
        <f t="shared" ca="1" si="2"/>
        <v>0</v>
      </c>
      <c r="Q14" t="e">
        <f t="shared" ca="1" si="3"/>
        <v>#VALUE!</v>
      </c>
      <c r="R14">
        <f t="shared" ca="1" si="4"/>
        <v>8.9</v>
      </c>
      <c r="S14">
        <f t="shared" ca="1" si="5"/>
        <v>2.1</v>
      </c>
      <c r="T14" t="e">
        <f t="shared" ca="1" si="6"/>
        <v>#DIV/0!</v>
      </c>
      <c r="U14" t="e">
        <f t="shared" ca="1" si="7"/>
        <v>#DIV/0!</v>
      </c>
    </row>
    <row r="15" spans="1:21" x14ac:dyDescent="0.3">
      <c r="A15" s="2" t="s">
        <v>4766</v>
      </c>
      <c r="B15" s="2">
        <v>152</v>
      </c>
      <c r="C15" s="3">
        <v>422783777</v>
      </c>
      <c r="D15" s="3" t="s">
        <v>5760</v>
      </c>
      <c r="E15" s="2" t="s">
        <v>4767</v>
      </c>
      <c r="F15" s="2" t="s">
        <v>10</v>
      </c>
      <c r="G15" s="2" t="s">
        <v>11</v>
      </c>
      <c r="H15" s="2">
        <v>4000000</v>
      </c>
      <c r="I15" s="2">
        <v>6.7</v>
      </c>
      <c r="J15" s="2">
        <v>3300000</v>
      </c>
      <c r="K15">
        <f t="shared" si="0"/>
        <v>1.3775047412552699E-3</v>
      </c>
      <c r="M15" t="str">
        <f ca="1">IFERROR(__xludf.DUMMYFUNCTION("ARRAY_CONSTRAIN(ARRAYFORMULA(UNIQUE(L2:L3768)), 17, 1)"),"Romance")</f>
        <v>Romance</v>
      </c>
      <c r="N15">
        <f t="shared" ca="1" si="8"/>
        <v>866</v>
      </c>
      <c r="O15">
        <f t="shared" ca="1" si="1"/>
        <v>6.4530023094688245</v>
      </c>
      <c r="P15">
        <f t="shared" ca="1" si="2"/>
        <v>0</v>
      </c>
      <c r="Q15" t="e">
        <f t="shared" ca="1" si="3"/>
        <v>#VALUE!</v>
      </c>
      <c r="R15">
        <f t="shared" ca="1" si="4"/>
        <v>9.3000000000000007</v>
      </c>
      <c r="S15">
        <f t="shared" ca="1" si="5"/>
        <v>1.6</v>
      </c>
      <c r="T15" t="e">
        <f t="shared" ca="1" si="6"/>
        <v>#DIV/0!</v>
      </c>
      <c r="U15" t="e">
        <f t="shared" ca="1" si="7"/>
        <v>#DIV/0!</v>
      </c>
    </row>
    <row r="16" spans="1:21" x14ac:dyDescent="0.3">
      <c r="A16" s="2" t="s">
        <v>1233</v>
      </c>
      <c r="B16" s="2">
        <v>130</v>
      </c>
      <c r="C16" s="3">
        <v>414984497</v>
      </c>
      <c r="D16" s="3" t="s">
        <v>5751</v>
      </c>
      <c r="E16" s="2" t="s">
        <v>1431</v>
      </c>
      <c r="F16" s="2" t="s">
        <v>10</v>
      </c>
      <c r="G16" s="2" t="s">
        <v>11</v>
      </c>
      <c r="H16" s="2">
        <v>50000000</v>
      </c>
      <c r="I16" s="2">
        <v>7.5</v>
      </c>
      <c r="J16" s="2">
        <v>3300000</v>
      </c>
      <c r="K16">
        <f t="shared" si="0"/>
        <v>1.3775047412552699E-3</v>
      </c>
      <c r="M16" t="str">
        <f ca="1">IFERROR(__xludf.DUMMYFUNCTION("ARRAY_CONSTRAIN(ARRAYFORMULA(UNIQUE(L2:L3768)), 17, 1)"),"Family")</f>
        <v>Family</v>
      </c>
      <c r="N16">
        <f t="shared" ca="1" si="8"/>
        <v>441</v>
      </c>
      <c r="O16">
        <f t="shared" ca="1" si="1"/>
        <v>6.4009070294784571</v>
      </c>
      <c r="P16">
        <f t="shared" ca="1" si="2"/>
        <v>0</v>
      </c>
      <c r="Q16" t="e">
        <f t="shared" ca="1" si="3"/>
        <v>#VALUE!</v>
      </c>
      <c r="R16">
        <f t="shared" ca="1" si="4"/>
        <v>8.8000000000000007</v>
      </c>
      <c r="S16">
        <f t="shared" ca="1" si="5"/>
        <v>2.2000000000000002</v>
      </c>
      <c r="T16" t="e">
        <f t="shared" ca="1" si="6"/>
        <v>#DIV/0!</v>
      </c>
      <c r="U16" t="e">
        <f t="shared" ca="1" si="7"/>
        <v>#DIV/0!</v>
      </c>
    </row>
    <row r="17" spans="1:21" x14ac:dyDescent="0.3">
      <c r="A17" s="2" t="s">
        <v>4577</v>
      </c>
      <c r="B17" s="2">
        <v>93</v>
      </c>
      <c r="C17" s="3">
        <v>408992272</v>
      </c>
      <c r="D17" s="3" t="s">
        <v>5761</v>
      </c>
      <c r="E17" s="2" t="s">
        <v>4578</v>
      </c>
      <c r="F17" s="2" t="s">
        <v>751</v>
      </c>
      <c r="G17" s="2" t="s">
        <v>4579</v>
      </c>
      <c r="H17" s="2">
        <v>3850000</v>
      </c>
      <c r="I17" s="2">
        <v>7.2</v>
      </c>
      <c r="J17" s="2">
        <v>3300000</v>
      </c>
      <c r="K17">
        <f t="shared" si="0"/>
        <v>1.3775047412552699E-3</v>
      </c>
      <c r="M17" t="str">
        <f ca="1">IFERROR(__xludf.DUMMYFUNCTION("ARRAY_CONSTRAIN(ARRAYFORMULA(UNIQUE(L2:L3768)), 17, 1)"),"Western")</f>
        <v>Western</v>
      </c>
      <c r="N17">
        <f t="shared" ca="1" si="8"/>
        <v>58</v>
      </c>
      <c r="O17">
        <f t="shared" ca="1" si="1"/>
        <v>6.5241379310344829</v>
      </c>
      <c r="P17">
        <f t="shared" ca="1" si="2"/>
        <v>0</v>
      </c>
      <c r="Q17" t="e">
        <f t="shared" ca="1" si="3"/>
        <v>#VALUE!</v>
      </c>
      <c r="R17">
        <f t="shared" ca="1" si="4"/>
        <v>8.6</v>
      </c>
      <c r="S17">
        <f t="shared" ca="1" si="5"/>
        <v>2.8</v>
      </c>
      <c r="T17" t="e">
        <f t="shared" ca="1" si="6"/>
        <v>#DIV/0!</v>
      </c>
      <c r="U17" t="e">
        <f t="shared" ca="1" si="7"/>
        <v>#DIV/0!</v>
      </c>
    </row>
    <row r="18" spans="1:21" x14ac:dyDescent="0.3">
      <c r="A18" s="2" t="s">
        <v>3675</v>
      </c>
      <c r="B18" s="2">
        <v>100</v>
      </c>
      <c r="C18" s="3">
        <v>407999255</v>
      </c>
      <c r="D18" s="3" t="s">
        <v>5755</v>
      </c>
      <c r="E18" s="2" t="s">
        <v>3676</v>
      </c>
      <c r="F18" s="2" t="s">
        <v>10</v>
      </c>
      <c r="G18" s="2" t="s">
        <v>11</v>
      </c>
      <c r="H18" s="2">
        <v>13000000</v>
      </c>
      <c r="I18" s="2">
        <v>5.9</v>
      </c>
      <c r="J18" s="2">
        <v>3300000</v>
      </c>
      <c r="K18">
        <f t="shared" si="0"/>
        <v>1.3775047412552699E-3</v>
      </c>
      <c r="M18" t="str">
        <f ca="1">IFERROR(__xludf.DUMMYFUNCTION("ARRAY_CONSTRAIN(ARRAYFORMULA(UNIQUE(L2:L3768)), 17, 1)"),"Musical")</f>
        <v>Musical</v>
      </c>
      <c r="N18">
        <f t="shared" ca="1" si="8"/>
        <v>102</v>
      </c>
      <c r="O18">
        <f t="shared" ca="1" si="1"/>
        <v>6.5999999999999979</v>
      </c>
      <c r="P18">
        <f t="shared" ca="1" si="2"/>
        <v>0</v>
      </c>
      <c r="Q18" t="e">
        <f t="shared" ca="1" si="3"/>
        <v>#VALUE!</v>
      </c>
      <c r="R18">
        <f t="shared" ca="1" si="4"/>
        <v>8.6999999999999993</v>
      </c>
      <c r="S18">
        <f t="shared" ca="1" si="5"/>
        <v>2.9</v>
      </c>
      <c r="T18" t="e">
        <f t="shared" ca="1" si="6"/>
        <v>#DIV/0!</v>
      </c>
      <c r="U18" t="e">
        <f t="shared" ca="1" si="7"/>
        <v>#DIV/0!</v>
      </c>
    </row>
    <row r="19" spans="1:21" x14ac:dyDescent="0.3">
      <c r="A19" s="2" t="s">
        <v>1369</v>
      </c>
      <c r="B19" s="2">
        <v>119</v>
      </c>
      <c r="C19" s="3">
        <v>407197282</v>
      </c>
      <c r="D19" s="3" t="s">
        <v>5752</v>
      </c>
      <c r="E19" s="2" t="s">
        <v>3582</v>
      </c>
      <c r="F19" s="2" t="s">
        <v>10</v>
      </c>
      <c r="G19" s="2" t="s">
        <v>11</v>
      </c>
      <c r="H19" s="2">
        <v>14000000</v>
      </c>
      <c r="I19" s="2">
        <v>6.9</v>
      </c>
      <c r="J19" s="2">
        <v>3300000</v>
      </c>
      <c r="K19">
        <f t="shared" si="0"/>
        <v>1.3775047412552699E-3</v>
      </c>
      <c r="M19" t="str">
        <f ca="1">IFERROR(__xludf.DUMMYFUNCTION("ARRAY_CONSTRAIN(ARRAYFORMULA(UNIQUE(L2:L3768)), 17, 1)"),"Thriller")</f>
        <v>Thriller</v>
      </c>
      <c r="N19">
        <f t="shared" ca="1" si="8"/>
        <v>1087</v>
      </c>
      <c r="O19">
        <f t="shared" ca="1" si="1"/>
        <v>6.4495860165593495</v>
      </c>
      <c r="P19">
        <f t="shared" ca="1" si="2"/>
        <v>0</v>
      </c>
      <c r="Q19" t="e">
        <f t="shared" ca="1" si="3"/>
        <v>#VALUE!</v>
      </c>
      <c r="R19">
        <f t="shared" ca="1" si="4"/>
        <v>9.1999999999999993</v>
      </c>
      <c r="S19">
        <f t="shared" ca="1" si="5"/>
        <v>1.9</v>
      </c>
      <c r="T19" t="e">
        <f t="shared" ca="1" si="6"/>
        <v>#DIV/0!</v>
      </c>
      <c r="U19" t="e">
        <f t="shared" ca="1" si="7"/>
        <v>#DIV/0!</v>
      </c>
    </row>
    <row r="20" spans="1:21" x14ac:dyDescent="0.3">
      <c r="A20" s="2" t="s">
        <v>4154</v>
      </c>
      <c r="B20" s="2">
        <v>144</v>
      </c>
      <c r="C20" s="3">
        <v>403706375</v>
      </c>
      <c r="D20" s="3" t="s">
        <v>5762</v>
      </c>
      <c r="E20" s="2" t="s">
        <v>4155</v>
      </c>
      <c r="F20" s="2" t="s">
        <v>10</v>
      </c>
      <c r="G20" s="2" t="s">
        <v>11</v>
      </c>
      <c r="H20" s="2">
        <v>9600000</v>
      </c>
      <c r="I20" s="2">
        <v>6.7</v>
      </c>
      <c r="J20" s="2">
        <v>3300000</v>
      </c>
      <c r="K20">
        <f t="shared" si="0"/>
        <v>1.3775047412552699E-3</v>
      </c>
    </row>
    <row r="21" spans="1:21" x14ac:dyDescent="0.3">
      <c r="A21" s="2" t="s">
        <v>1240</v>
      </c>
      <c r="B21" s="2">
        <v>102</v>
      </c>
      <c r="C21" s="3">
        <v>402076689</v>
      </c>
      <c r="D21" s="3" t="s">
        <v>5763</v>
      </c>
      <c r="E21" s="2" t="s">
        <v>1241</v>
      </c>
      <c r="F21" s="2" t="s">
        <v>10</v>
      </c>
      <c r="G21" s="2" t="s">
        <v>11</v>
      </c>
      <c r="H21" s="2">
        <v>68000000</v>
      </c>
      <c r="I21" s="2">
        <v>5.7</v>
      </c>
      <c r="J21" s="2">
        <v>3300000</v>
      </c>
      <c r="K21">
        <f t="shared" si="0"/>
        <v>1.3775047412552699E-3</v>
      </c>
    </row>
    <row r="22" spans="1:21" x14ac:dyDescent="0.3">
      <c r="A22" s="2" t="s">
        <v>2347</v>
      </c>
      <c r="B22" s="2">
        <v>160</v>
      </c>
      <c r="C22" s="3">
        <v>400736600</v>
      </c>
      <c r="D22" s="3" t="s">
        <v>5752</v>
      </c>
      <c r="E22" s="2" t="s">
        <v>2348</v>
      </c>
      <c r="F22" s="2" t="s">
        <v>10</v>
      </c>
      <c r="G22" s="2" t="s">
        <v>11</v>
      </c>
      <c r="H22" s="2">
        <v>30000000</v>
      </c>
      <c r="I22" s="2">
        <v>7.5</v>
      </c>
      <c r="J22" s="2">
        <v>3300000</v>
      </c>
      <c r="K22">
        <f t="shared" si="0"/>
        <v>1.3775047412552699E-3</v>
      </c>
    </row>
    <row r="23" spans="1:21" ht="17.399999999999999" x14ac:dyDescent="0.3">
      <c r="A23" s="2" t="s">
        <v>3024</v>
      </c>
      <c r="B23" s="2">
        <v>94</v>
      </c>
      <c r="C23" s="3">
        <v>380838870</v>
      </c>
      <c r="D23" s="3" t="s">
        <v>5764</v>
      </c>
      <c r="E23" s="2" t="s">
        <v>4762</v>
      </c>
      <c r="F23" s="2" t="s">
        <v>10</v>
      </c>
      <c r="G23" s="2" t="s">
        <v>71</v>
      </c>
      <c r="H23" s="2">
        <v>4000000</v>
      </c>
      <c r="I23" s="2">
        <v>6.2</v>
      </c>
      <c r="J23" s="2">
        <v>3300000</v>
      </c>
      <c r="K23">
        <f t="shared" si="0"/>
        <v>1.3775047412552699E-3</v>
      </c>
      <c r="M23" s="7" t="s">
        <v>6518</v>
      </c>
      <c r="R23" s="11" t="s">
        <v>6516</v>
      </c>
      <c r="S23" s="11" t="s">
        <v>6517</v>
      </c>
    </row>
    <row r="24" spans="1:21" x14ac:dyDescent="0.3">
      <c r="A24" s="2" t="s">
        <v>2673</v>
      </c>
      <c r="B24" s="2">
        <v>112</v>
      </c>
      <c r="C24" s="3">
        <v>380262555</v>
      </c>
      <c r="D24" s="3" t="s">
        <v>5763</v>
      </c>
      <c r="E24" s="2" t="s">
        <v>4680</v>
      </c>
      <c r="F24" s="2" t="s">
        <v>10</v>
      </c>
      <c r="G24" s="2" t="s">
        <v>71</v>
      </c>
      <c r="H24" s="2">
        <v>5000000</v>
      </c>
      <c r="I24" s="2">
        <v>7.7</v>
      </c>
      <c r="J24" s="2">
        <v>3300000</v>
      </c>
      <c r="K24">
        <f t="shared" si="0"/>
        <v>1.3775047412552699E-3</v>
      </c>
      <c r="R24" s="12" t="str">
        <f ca="1">IFERROR(__xludf.DUMMYFUNCTION("UNIQUE(E2:E3787)"),"Avatar ")</f>
        <v>Avatar </v>
      </c>
      <c r="S24" s="12">
        <f>C2-H2</f>
        <v>755505847</v>
      </c>
    </row>
    <row r="25" spans="1:21" x14ac:dyDescent="0.3">
      <c r="A25" s="2" t="s">
        <v>3993</v>
      </c>
      <c r="B25" s="2">
        <v>98</v>
      </c>
      <c r="C25" s="3">
        <v>377019252</v>
      </c>
      <c r="D25" s="3" t="s">
        <v>5765</v>
      </c>
      <c r="E25" s="2" t="s">
        <v>3994</v>
      </c>
      <c r="F25" s="2" t="s">
        <v>10</v>
      </c>
      <c r="G25" s="2" t="s">
        <v>11</v>
      </c>
      <c r="H25" s="2">
        <v>10000000</v>
      </c>
      <c r="I25" s="2">
        <v>5.6</v>
      </c>
      <c r="J25" s="2">
        <v>3300000</v>
      </c>
      <c r="K25">
        <f t="shared" si="0"/>
        <v>1.3775047412552699E-3</v>
      </c>
      <c r="M25" s="8" t="s">
        <v>6504</v>
      </c>
      <c r="N25" s="8" t="s">
        <v>6505</v>
      </c>
      <c r="R25" s="12" t="str">
        <f ca="1">IFERROR(__xludf.DUMMYFUNCTION("""COMPUTED_VALUE"""),"Pirates of the Caribbean: At World's End ")</f>
        <v>Pirates of the Caribbean: At World's End </v>
      </c>
      <c r="S25" s="12">
        <f t="shared" ref="S25:S88" si="9">C3-H3</f>
        <v>641672302</v>
      </c>
    </row>
    <row r="26" spans="1:21" x14ac:dyDescent="0.3">
      <c r="A26" s="2" t="s">
        <v>4749</v>
      </c>
      <c r="B26" s="2">
        <v>104</v>
      </c>
      <c r="C26" s="3">
        <v>373377893</v>
      </c>
      <c r="D26" s="3" t="s">
        <v>5766</v>
      </c>
      <c r="E26" s="2" t="s">
        <v>4750</v>
      </c>
      <c r="F26" s="2" t="s">
        <v>10</v>
      </c>
      <c r="G26" s="2" t="s">
        <v>11</v>
      </c>
      <c r="H26" s="2">
        <v>4500000</v>
      </c>
      <c r="I26" s="2">
        <v>5.9</v>
      </c>
      <c r="J26" s="2">
        <v>3300000</v>
      </c>
      <c r="K26">
        <f t="shared" si="0"/>
        <v>1.3775047412552699E-3</v>
      </c>
      <c r="M26" s="9" t="s">
        <v>6506</v>
      </c>
      <c r="N26" s="10">
        <v>523505847</v>
      </c>
      <c r="R26" s="12" t="str">
        <f ca="1">IFERROR(__xludf.DUMMYFUNCTION("""COMPUTED_VALUE"""),"Spectre ")</f>
        <v>Spectre </v>
      </c>
      <c r="S26" s="12">
        <f t="shared" si="9"/>
        <v>650177271</v>
      </c>
    </row>
    <row r="27" spans="1:21" x14ac:dyDescent="0.3">
      <c r="A27" s="2" t="s">
        <v>1906</v>
      </c>
      <c r="B27" s="2">
        <v>113</v>
      </c>
      <c r="C27" s="3">
        <v>368049635</v>
      </c>
      <c r="D27" s="3" t="s">
        <v>5767</v>
      </c>
      <c r="E27" s="2" t="s">
        <v>1907</v>
      </c>
      <c r="F27" s="2" t="s">
        <v>10</v>
      </c>
      <c r="G27" s="2" t="s">
        <v>11</v>
      </c>
      <c r="H27" s="2">
        <v>37000000</v>
      </c>
      <c r="I27" s="2">
        <v>6.9</v>
      </c>
      <c r="J27" s="2">
        <v>3300000</v>
      </c>
      <c r="K27">
        <f t="shared" si="0"/>
        <v>1.3775047412552699E-3</v>
      </c>
      <c r="M27" s="9" t="s">
        <v>6507</v>
      </c>
      <c r="N27" s="10">
        <v>502177271</v>
      </c>
      <c r="R27" s="12" t="str">
        <f ca="1">IFERROR(__xludf.DUMMYFUNCTION("""COMPUTED_VALUE"""),"The Dark Knight Rises ")</f>
        <v>The Dark Knight Rises </v>
      </c>
      <c r="S27" s="12">
        <f t="shared" si="9"/>
        <v>543279547</v>
      </c>
    </row>
    <row r="28" spans="1:21" x14ac:dyDescent="0.3">
      <c r="A28" s="2" t="s">
        <v>1439</v>
      </c>
      <c r="B28" s="2">
        <v>117</v>
      </c>
      <c r="C28" s="3">
        <v>363024263</v>
      </c>
      <c r="D28" s="3" t="s">
        <v>5755</v>
      </c>
      <c r="E28" s="2" t="s">
        <v>2473</v>
      </c>
      <c r="F28" s="2" t="s">
        <v>10</v>
      </c>
      <c r="G28" s="2" t="s">
        <v>11</v>
      </c>
      <c r="H28" s="3">
        <v>119793567</v>
      </c>
      <c r="I28" s="2">
        <v>7</v>
      </c>
      <c r="J28" s="2">
        <v>3300000</v>
      </c>
      <c r="K28">
        <f t="shared" si="0"/>
        <v>1.3775047412552699E-3</v>
      </c>
      <c r="M28" s="9" t="s">
        <v>6508</v>
      </c>
      <c r="N28" s="10">
        <v>458672302</v>
      </c>
      <c r="R28" s="12" t="str">
        <f ca="1">IFERROR(__xludf.DUMMYFUNCTION("""COMPUTED_VALUE"""),"John Carter ")</f>
        <v>John Carter </v>
      </c>
      <c r="S28" s="12">
        <f t="shared" si="9"/>
        <v>530016061</v>
      </c>
    </row>
    <row r="29" spans="1:21" x14ac:dyDescent="0.3">
      <c r="A29" s="2" t="s">
        <v>5032</v>
      </c>
      <c r="B29" s="2">
        <v>90</v>
      </c>
      <c r="C29" s="3">
        <v>362645141</v>
      </c>
      <c r="D29" s="3" t="s">
        <v>5768</v>
      </c>
      <c r="E29" s="2" t="s">
        <v>5033</v>
      </c>
      <c r="F29" s="2" t="s">
        <v>723</v>
      </c>
      <c r="G29" s="2" t="s">
        <v>11</v>
      </c>
      <c r="H29" s="2">
        <v>2500000</v>
      </c>
      <c r="I29" s="2">
        <v>5.9</v>
      </c>
      <c r="J29" s="2">
        <v>3300000</v>
      </c>
      <c r="K29">
        <f t="shared" si="0"/>
        <v>1.3775047412552699E-3</v>
      </c>
      <c r="M29" s="9" t="s">
        <v>6509</v>
      </c>
      <c r="N29" s="10">
        <v>449935665</v>
      </c>
      <c r="R29" s="12" t="str">
        <f ca="1">IFERROR(__xludf.DUMMYFUNCTION("""COMPUTED_VALUE"""),"Spider-Man 3 ")</f>
        <v>Spider-Man 3 </v>
      </c>
      <c r="S29" s="12">
        <f t="shared" si="9"/>
        <v>466714677</v>
      </c>
    </row>
    <row r="30" spans="1:21" x14ac:dyDescent="0.3">
      <c r="A30" s="2" t="s">
        <v>4889</v>
      </c>
      <c r="B30" s="2">
        <v>107</v>
      </c>
      <c r="C30" s="3">
        <v>356784000</v>
      </c>
      <c r="D30" s="3" t="s">
        <v>5768</v>
      </c>
      <c r="E30" s="2" t="s">
        <v>4890</v>
      </c>
      <c r="F30" s="2" t="s">
        <v>10</v>
      </c>
      <c r="G30" s="2" t="s">
        <v>11</v>
      </c>
      <c r="H30" s="2">
        <v>3300000</v>
      </c>
      <c r="I30" s="2">
        <v>8.5</v>
      </c>
      <c r="J30" s="2">
        <v>3300000</v>
      </c>
      <c r="K30">
        <f t="shared" si="0"/>
        <v>1.3775047412552699E-3</v>
      </c>
      <c r="M30" s="9" t="s">
        <v>6510</v>
      </c>
      <c r="N30" s="10">
        <v>424449459</v>
      </c>
      <c r="R30" s="12" t="str">
        <f ca="1">IFERROR(__xludf.DUMMYFUNCTION("""COMPUTED_VALUE"""),"Tangled ")</f>
        <v>Tangled </v>
      </c>
      <c r="S30" s="12">
        <f t="shared" si="9"/>
        <v>454435665</v>
      </c>
    </row>
    <row r="31" spans="1:21" x14ac:dyDescent="0.3">
      <c r="A31" s="2" t="s">
        <v>274</v>
      </c>
      <c r="B31" s="2">
        <v>111</v>
      </c>
      <c r="C31" s="3">
        <v>356454367</v>
      </c>
      <c r="D31" s="3" t="s">
        <v>5753</v>
      </c>
      <c r="E31" s="2" t="s">
        <v>2448</v>
      </c>
      <c r="F31" s="2" t="s">
        <v>10</v>
      </c>
      <c r="G31" s="2" t="s">
        <v>98</v>
      </c>
      <c r="H31" s="2">
        <v>27000000</v>
      </c>
      <c r="I31" s="2">
        <v>7.7</v>
      </c>
      <c r="J31" s="2">
        <v>3300000</v>
      </c>
      <c r="K31">
        <f t="shared" si="0"/>
        <v>1.3775047412552699E-3</v>
      </c>
      <c r="M31" s="9" t="s">
        <v>6511</v>
      </c>
      <c r="N31" s="10">
        <v>377783777</v>
      </c>
      <c r="R31" s="12" t="str">
        <f ca="1">IFERROR(__xludf.DUMMYFUNCTION("""COMPUTED_VALUE"""),"Avengers: Age of Ultron ")</f>
        <v>Avengers: Age of Ultron </v>
      </c>
      <c r="S31" s="12">
        <f t="shared" si="9"/>
        <v>456491599</v>
      </c>
    </row>
    <row r="32" spans="1:21" x14ac:dyDescent="0.3">
      <c r="A32" s="2" t="s">
        <v>693</v>
      </c>
      <c r="B32" s="2">
        <v>122</v>
      </c>
      <c r="C32" s="3">
        <v>352358779</v>
      </c>
      <c r="D32" s="3" t="s">
        <v>5769</v>
      </c>
      <c r="E32" s="2" t="s">
        <v>1533</v>
      </c>
      <c r="F32" s="2" t="s">
        <v>10</v>
      </c>
      <c r="G32" s="2" t="s">
        <v>11</v>
      </c>
      <c r="H32" s="2">
        <v>35000000</v>
      </c>
      <c r="I32" s="2">
        <v>6.8</v>
      </c>
      <c r="J32" s="2">
        <v>3300000</v>
      </c>
      <c r="K32">
        <f t="shared" si="0"/>
        <v>1.3775047412552699E-3</v>
      </c>
      <c r="M32" s="9" t="s">
        <v>6512</v>
      </c>
      <c r="N32" s="10">
        <v>375290282</v>
      </c>
      <c r="R32" s="12" t="str">
        <f ca="1">IFERROR(__xludf.DUMMYFUNCTION("""COMPUTED_VALUE"""),"Harry Potter and the Half-Blood Prince ")</f>
        <v>Harry Potter and the Half-Blood Prince </v>
      </c>
      <c r="S32" s="12">
        <f t="shared" si="9"/>
        <v>428130642</v>
      </c>
    </row>
    <row r="33" spans="1:19" x14ac:dyDescent="0.3">
      <c r="A33" s="2" t="s">
        <v>1439</v>
      </c>
      <c r="B33" s="2">
        <v>108</v>
      </c>
      <c r="C33" s="3">
        <v>350123553</v>
      </c>
      <c r="D33" s="3" t="s">
        <v>5755</v>
      </c>
      <c r="E33" s="2" t="s">
        <v>5326</v>
      </c>
      <c r="F33" s="2" t="s">
        <v>10</v>
      </c>
      <c r="G33" s="2" t="s">
        <v>11</v>
      </c>
      <c r="H33" s="3">
        <v>75280058</v>
      </c>
      <c r="I33" s="2">
        <v>6.9</v>
      </c>
      <c r="J33" s="2">
        <v>3300000</v>
      </c>
      <c r="K33">
        <f t="shared" si="0"/>
        <v>1.3775047412552699E-3</v>
      </c>
      <c r="M33" s="9" t="s">
        <v>6513</v>
      </c>
      <c r="N33" s="10">
        <v>359544677</v>
      </c>
      <c r="R33" s="12" t="str">
        <f ca="1">IFERROR(__xludf.DUMMYFUNCTION("""COMPUTED_VALUE"""),"Batman v Superman: Dawn of Justice ")</f>
        <v>Batman v Superman: Dawn of Justice </v>
      </c>
      <c r="S33" s="12">
        <f t="shared" si="9"/>
        <v>420471036</v>
      </c>
    </row>
    <row r="34" spans="1:19" x14ac:dyDescent="0.3">
      <c r="A34" s="2" t="s">
        <v>1984</v>
      </c>
      <c r="B34" s="2">
        <v>104</v>
      </c>
      <c r="C34" s="3">
        <v>350034110</v>
      </c>
      <c r="D34" s="3" t="s">
        <v>5765</v>
      </c>
      <c r="E34" s="2" t="s">
        <v>1985</v>
      </c>
      <c r="F34" s="2" t="s">
        <v>10</v>
      </c>
      <c r="G34" s="2" t="s">
        <v>11</v>
      </c>
      <c r="H34" s="2">
        <v>35000000</v>
      </c>
      <c r="I34" s="2">
        <v>5.3</v>
      </c>
      <c r="J34" s="2">
        <v>3300000</v>
      </c>
      <c r="K34">
        <f t="shared" si="0"/>
        <v>1.3775047412552699E-3</v>
      </c>
      <c r="M34" s="9" t="s">
        <v>6514</v>
      </c>
      <c r="N34" s="10">
        <v>348316061</v>
      </c>
      <c r="R34" s="12" t="str">
        <f ca="1">IFERROR(__xludf.DUMMYFUNCTION("""COMPUTED_VALUE"""),"Superman Returns ")</f>
        <v>Superman Returns </v>
      </c>
      <c r="S34" s="12">
        <f t="shared" si="9"/>
        <v>421949459</v>
      </c>
    </row>
    <row r="35" spans="1:19" x14ac:dyDescent="0.3">
      <c r="A35" s="2" t="s">
        <v>4111</v>
      </c>
      <c r="B35" s="2">
        <v>93</v>
      </c>
      <c r="C35" s="3">
        <v>340478898</v>
      </c>
      <c r="D35" s="3" t="s">
        <v>5770</v>
      </c>
      <c r="E35" s="2" t="s">
        <v>4112</v>
      </c>
      <c r="F35" s="2" t="s">
        <v>10</v>
      </c>
      <c r="G35" s="2" t="s">
        <v>11</v>
      </c>
      <c r="H35" s="2">
        <v>10000000</v>
      </c>
      <c r="I35" s="2">
        <v>5.3</v>
      </c>
      <c r="J35" s="2">
        <v>3300000</v>
      </c>
      <c r="K35">
        <f t="shared" si="0"/>
        <v>1.3775047412552699E-3</v>
      </c>
      <c r="M35" s="9" t="s">
        <v>6515</v>
      </c>
      <c r="N35" s="10">
        <v>344597846</v>
      </c>
      <c r="R35" s="12" t="str">
        <f ca="1">IFERROR(__xludf.DUMMYFUNCTION("""COMPUTED_VALUE"""),"Quantum of Solace ")</f>
        <v>Quantum of Solace </v>
      </c>
      <c r="S35" s="12">
        <f t="shared" si="9"/>
        <v>382645577</v>
      </c>
    </row>
    <row r="36" spans="1:19" x14ac:dyDescent="0.3">
      <c r="A36" s="2" t="s">
        <v>57</v>
      </c>
      <c r="B36" s="2">
        <v>110</v>
      </c>
      <c r="C36" s="3">
        <v>337103873</v>
      </c>
      <c r="D36" s="3" t="s">
        <v>5771</v>
      </c>
      <c r="E36" s="2" t="s">
        <v>1275</v>
      </c>
      <c r="F36" s="2" t="s">
        <v>10</v>
      </c>
      <c r="G36" s="2" t="s">
        <v>11</v>
      </c>
      <c r="H36" s="2">
        <v>54000000</v>
      </c>
      <c r="I36" s="2">
        <v>5.6</v>
      </c>
      <c r="J36" s="2">
        <v>3300000</v>
      </c>
      <c r="K36">
        <f t="shared" si="0"/>
        <v>1.3775047412552699E-3</v>
      </c>
      <c r="R36" s="12" t="str">
        <f ca="1">IFERROR(__xludf.DUMMYFUNCTION("""COMPUTED_VALUE"""),"Pirates of the Caribbean: Dead Man's Chest ")</f>
        <v>Pirates of the Caribbean: Dead Man's Chest </v>
      </c>
      <c r="S36" s="12">
        <f t="shared" si="9"/>
        <v>395032628</v>
      </c>
    </row>
    <row r="37" spans="1:19" x14ac:dyDescent="0.3">
      <c r="A37" s="2" t="s">
        <v>5211</v>
      </c>
      <c r="B37" s="2">
        <v>98</v>
      </c>
      <c r="C37" s="3">
        <v>336530303</v>
      </c>
      <c r="D37" s="3" t="s">
        <v>5755</v>
      </c>
      <c r="E37" s="2" t="s">
        <v>5212</v>
      </c>
      <c r="F37" s="2" t="s">
        <v>10</v>
      </c>
      <c r="G37" s="2" t="s">
        <v>11</v>
      </c>
      <c r="H37" s="2">
        <v>1500000</v>
      </c>
      <c r="I37" s="2">
        <v>6.1</v>
      </c>
      <c r="J37" s="2">
        <v>3300000</v>
      </c>
      <c r="K37">
        <f t="shared" si="0"/>
        <v>1.3775047412552699E-3</v>
      </c>
      <c r="R37" s="12" t="str">
        <f ca="1">IFERROR(__xludf.DUMMYFUNCTION("""COMPUTED_VALUE"""),"The Lone Ranger ")</f>
        <v>The Lone Ranger </v>
      </c>
      <c r="S37" s="12">
        <f t="shared" si="9"/>
        <v>418783777</v>
      </c>
    </row>
    <row r="38" spans="1:19" x14ac:dyDescent="0.3">
      <c r="A38" s="2" t="s">
        <v>2317</v>
      </c>
      <c r="B38" s="2">
        <v>100</v>
      </c>
      <c r="C38" s="3">
        <v>336029560</v>
      </c>
      <c r="D38" s="3" t="s">
        <v>5755</v>
      </c>
      <c r="E38" s="2" t="s">
        <v>2318</v>
      </c>
      <c r="F38" s="2" t="s">
        <v>10</v>
      </c>
      <c r="G38" s="2" t="s">
        <v>11</v>
      </c>
      <c r="H38" s="2">
        <v>30000000</v>
      </c>
      <c r="I38" s="2">
        <v>4.0999999999999996</v>
      </c>
      <c r="J38" s="2">
        <v>3300000</v>
      </c>
      <c r="K38">
        <f t="shared" si="0"/>
        <v>1.3775047412552699E-3</v>
      </c>
      <c r="R38" s="12" t="str">
        <f ca="1">IFERROR(__xludf.DUMMYFUNCTION("""COMPUTED_VALUE"""),"Man of Steel ")</f>
        <v>Man of Steel </v>
      </c>
      <c r="S38" s="12">
        <f t="shared" si="9"/>
        <v>364984497</v>
      </c>
    </row>
    <row r="39" spans="1:19" x14ac:dyDescent="0.3">
      <c r="A39" s="2" t="s">
        <v>3884</v>
      </c>
      <c r="B39" s="2">
        <v>134</v>
      </c>
      <c r="C39" s="3">
        <v>334185206</v>
      </c>
      <c r="D39" s="3" t="s">
        <v>5765</v>
      </c>
      <c r="E39" s="2" t="s">
        <v>3885</v>
      </c>
      <c r="F39" s="2" t="s">
        <v>2071</v>
      </c>
      <c r="G39" s="2" t="s">
        <v>771</v>
      </c>
      <c r="H39" s="2">
        <v>11900000</v>
      </c>
      <c r="I39" s="2">
        <v>7.5</v>
      </c>
      <c r="J39" s="2">
        <v>3300000</v>
      </c>
      <c r="K39">
        <f t="shared" si="0"/>
        <v>1.3775047412552699E-3</v>
      </c>
      <c r="R39" s="12" t="str">
        <f ca="1">IFERROR(__xludf.DUMMYFUNCTION("""COMPUTED_VALUE"""),"The Chronicles of Narnia: Prince Caspian ")</f>
        <v>The Chronicles of Narnia: Prince Caspian </v>
      </c>
      <c r="S39" s="12">
        <f t="shared" si="9"/>
        <v>405142272</v>
      </c>
    </row>
    <row r="40" spans="1:19" x14ac:dyDescent="0.3">
      <c r="A40" s="2" t="s">
        <v>321</v>
      </c>
      <c r="B40" s="2">
        <v>109</v>
      </c>
      <c r="C40" s="3">
        <v>333130696</v>
      </c>
      <c r="D40" s="3" t="s">
        <v>5751</v>
      </c>
      <c r="E40" s="2" t="s">
        <v>779</v>
      </c>
      <c r="F40" s="2" t="s">
        <v>10</v>
      </c>
      <c r="G40" s="2" t="s">
        <v>11</v>
      </c>
      <c r="H40" s="2">
        <v>76000000</v>
      </c>
      <c r="I40" s="2">
        <v>7.9</v>
      </c>
      <c r="J40" s="2">
        <v>3300000</v>
      </c>
      <c r="K40">
        <f t="shared" si="0"/>
        <v>1.3775047412552699E-3</v>
      </c>
      <c r="R40" s="12" t="str">
        <f ca="1">IFERROR(__xludf.DUMMYFUNCTION("""COMPUTED_VALUE"""),"The Avengers ")</f>
        <v>The Avengers </v>
      </c>
      <c r="S40" s="12">
        <f t="shared" si="9"/>
        <v>394999255</v>
      </c>
    </row>
    <row r="41" spans="1:19" x14ac:dyDescent="0.3">
      <c r="A41" s="2" t="s">
        <v>458</v>
      </c>
      <c r="B41" s="2">
        <v>122</v>
      </c>
      <c r="C41" s="3">
        <v>330249062</v>
      </c>
      <c r="D41" s="3" t="s">
        <v>5755</v>
      </c>
      <c r="E41" s="2" t="s">
        <v>839</v>
      </c>
      <c r="F41" s="2" t="s">
        <v>10</v>
      </c>
      <c r="G41" s="2" t="s">
        <v>11</v>
      </c>
      <c r="H41" s="2">
        <v>73000000</v>
      </c>
      <c r="I41" s="2">
        <v>6.6</v>
      </c>
      <c r="J41" s="2">
        <v>3300000</v>
      </c>
      <c r="K41">
        <f t="shared" si="0"/>
        <v>1.3775047412552699E-3</v>
      </c>
      <c r="R41" s="12" t="str">
        <f ca="1">IFERROR(__xludf.DUMMYFUNCTION("""COMPUTED_VALUE"""),"Pirates of the Caribbean: On Stranger Tides ")</f>
        <v>Pirates of the Caribbean: On Stranger Tides </v>
      </c>
      <c r="S41" s="12">
        <f t="shared" si="9"/>
        <v>393197282</v>
      </c>
    </row>
    <row r="42" spans="1:19" x14ac:dyDescent="0.3">
      <c r="A42" s="2" t="s">
        <v>507</v>
      </c>
      <c r="B42" s="2">
        <v>99</v>
      </c>
      <c r="C42" s="3">
        <v>329691196</v>
      </c>
      <c r="D42" s="3" t="s">
        <v>5772</v>
      </c>
      <c r="E42" s="2" t="s">
        <v>4394</v>
      </c>
      <c r="F42" s="2" t="s">
        <v>10</v>
      </c>
      <c r="G42" s="2" t="s">
        <v>11</v>
      </c>
      <c r="H42" s="2">
        <v>7000000</v>
      </c>
      <c r="I42" s="2">
        <v>6.8</v>
      </c>
      <c r="J42" s="2">
        <v>3300000</v>
      </c>
      <c r="K42">
        <f t="shared" si="0"/>
        <v>1.3775047412552699E-3</v>
      </c>
      <c r="R42" s="12" t="str">
        <f ca="1">IFERROR(__xludf.DUMMYFUNCTION("""COMPUTED_VALUE"""),"Men in Black 3 ")</f>
        <v>Men in Black 3 </v>
      </c>
      <c r="S42" s="12">
        <f t="shared" si="9"/>
        <v>394106375</v>
      </c>
    </row>
    <row r="43" spans="1:19" x14ac:dyDescent="0.3">
      <c r="A43" s="2" t="s">
        <v>2529</v>
      </c>
      <c r="B43" s="2">
        <v>97</v>
      </c>
      <c r="C43" s="3">
        <v>323505540</v>
      </c>
      <c r="D43" s="3" t="s">
        <v>5755</v>
      </c>
      <c r="E43" s="2" t="s">
        <v>5188</v>
      </c>
      <c r="F43" s="2" t="s">
        <v>10</v>
      </c>
      <c r="G43" s="2" t="s">
        <v>11</v>
      </c>
      <c r="H43" s="2">
        <v>1000000</v>
      </c>
      <c r="I43" s="2">
        <v>6.7</v>
      </c>
      <c r="J43" s="2">
        <v>3300000</v>
      </c>
      <c r="K43">
        <f t="shared" si="0"/>
        <v>1.3775047412552699E-3</v>
      </c>
      <c r="R43" s="12" t="str">
        <f ca="1">IFERROR(__xludf.DUMMYFUNCTION("""COMPUTED_VALUE"""),"The Hobbit: The Battle of the Five Armies ")</f>
        <v>The Hobbit: The Battle of the Five Armies </v>
      </c>
      <c r="S43" s="12">
        <f t="shared" si="9"/>
        <v>334076689</v>
      </c>
    </row>
    <row r="44" spans="1:19" x14ac:dyDescent="0.3">
      <c r="A44" s="2" t="s">
        <v>2989</v>
      </c>
      <c r="B44" s="2">
        <v>92</v>
      </c>
      <c r="C44" s="3">
        <v>320706665</v>
      </c>
      <c r="D44" s="3" t="s">
        <v>5771</v>
      </c>
      <c r="E44" s="2" t="s">
        <v>3365</v>
      </c>
      <c r="F44" s="2" t="s">
        <v>10</v>
      </c>
      <c r="G44" s="2" t="s">
        <v>11</v>
      </c>
      <c r="H44" s="2">
        <v>16000000</v>
      </c>
      <c r="I44" s="2">
        <v>5.0999999999999996</v>
      </c>
      <c r="J44" s="2">
        <v>3300000</v>
      </c>
      <c r="K44">
        <f t="shared" si="0"/>
        <v>1.3775047412552699E-3</v>
      </c>
      <c r="R44" s="12" t="str">
        <f ca="1">IFERROR(__xludf.DUMMYFUNCTION("""COMPUTED_VALUE"""),"The Amazing Spider-Man ")</f>
        <v>The Amazing Spider-Man </v>
      </c>
      <c r="S44" s="12">
        <f t="shared" si="9"/>
        <v>370736600</v>
      </c>
    </row>
    <row r="45" spans="1:19" x14ac:dyDescent="0.3">
      <c r="A45" s="2" t="s">
        <v>3392</v>
      </c>
      <c r="B45" s="2">
        <v>100</v>
      </c>
      <c r="C45" s="3">
        <v>318759914</v>
      </c>
      <c r="D45" s="3" t="s">
        <v>5755</v>
      </c>
      <c r="E45" s="2" t="s">
        <v>3393</v>
      </c>
      <c r="F45" s="2" t="s">
        <v>10</v>
      </c>
      <c r="G45" s="2" t="s">
        <v>71</v>
      </c>
      <c r="H45" s="2">
        <v>20000000</v>
      </c>
      <c r="I45" s="2">
        <v>6.2</v>
      </c>
      <c r="J45" s="2">
        <v>3300000</v>
      </c>
      <c r="K45">
        <f t="shared" si="0"/>
        <v>1.3775047412552699E-3</v>
      </c>
      <c r="R45" s="12" t="str">
        <f ca="1">IFERROR(__xludf.DUMMYFUNCTION("""COMPUTED_VALUE"""),"Robin Hood ")</f>
        <v>Robin Hood </v>
      </c>
      <c r="S45" s="12">
        <f t="shared" si="9"/>
        <v>376838870</v>
      </c>
    </row>
    <row r="46" spans="1:19" x14ac:dyDescent="0.3">
      <c r="A46" s="2" t="s">
        <v>3682</v>
      </c>
      <c r="B46" s="2">
        <v>108</v>
      </c>
      <c r="C46" s="3">
        <v>318298180</v>
      </c>
      <c r="D46" s="3" t="s">
        <v>5773</v>
      </c>
      <c r="E46" s="2" t="s">
        <v>3683</v>
      </c>
      <c r="F46" s="2" t="s">
        <v>10</v>
      </c>
      <c r="G46" s="2" t="s">
        <v>16</v>
      </c>
      <c r="H46" s="2">
        <v>15000000</v>
      </c>
      <c r="I46" s="2">
        <v>7.7</v>
      </c>
      <c r="J46" s="2">
        <v>3300000</v>
      </c>
      <c r="K46">
        <f t="shared" si="0"/>
        <v>1.3775047412552699E-3</v>
      </c>
      <c r="R46" s="12" t="str">
        <f ca="1">IFERROR(__xludf.DUMMYFUNCTION("""COMPUTED_VALUE"""),"The Hobbit: The Desolation of Smaug ")</f>
        <v>The Hobbit: The Desolation of Smaug </v>
      </c>
      <c r="S46" s="12">
        <f t="shared" si="9"/>
        <v>375262555</v>
      </c>
    </row>
    <row r="47" spans="1:19" x14ac:dyDescent="0.3">
      <c r="A47" s="2" t="s">
        <v>5343</v>
      </c>
      <c r="B47" s="2">
        <v>91</v>
      </c>
      <c r="C47" s="3">
        <v>317557891</v>
      </c>
      <c r="D47" s="3" t="s">
        <v>5774</v>
      </c>
      <c r="E47" s="2" t="s">
        <v>5344</v>
      </c>
      <c r="F47" s="2" t="s">
        <v>10</v>
      </c>
      <c r="G47" s="2" t="s">
        <v>47</v>
      </c>
      <c r="H47" s="2">
        <v>1000000</v>
      </c>
      <c r="I47" s="2">
        <v>7.6</v>
      </c>
      <c r="J47" s="2">
        <v>3300000</v>
      </c>
      <c r="K47">
        <f t="shared" si="0"/>
        <v>1.3775047412552699E-3</v>
      </c>
      <c r="R47" s="12" t="str">
        <f ca="1">IFERROR(__xludf.DUMMYFUNCTION("""COMPUTED_VALUE"""),"The Golden Compass ")</f>
        <v>The Golden Compass </v>
      </c>
      <c r="S47" s="12">
        <f t="shared" si="9"/>
        <v>367019252</v>
      </c>
    </row>
    <row r="48" spans="1:19" x14ac:dyDescent="0.3">
      <c r="A48" s="2" t="s">
        <v>693</v>
      </c>
      <c r="B48" s="2">
        <v>97</v>
      </c>
      <c r="C48" s="3">
        <v>317011114</v>
      </c>
      <c r="D48" s="3" t="s">
        <v>5770</v>
      </c>
      <c r="E48" s="2" t="s">
        <v>4855</v>
      </c>
      <c r="F48" s="2" t="s">
        <v>10</v>
      </c>
      <c r="G48" s="2" t="s">
        <v>11</v>
      </c>
      <c r="H48" s="2">
        <v>3500000</v>
      </c>
      <c r="I48" s="2">
        <v>7.5</v>
      </c>
      <c r="J48" s="2">
        <v>3300000</v>
      </c>
      <c r="K48">
        <f t="shared" si="0"/>
        <v>1.3775047412552699E-3</v>
      </c>
      <c r="R48" s="12" t="str">
        <f ca="1">IFERROR(__xludf.DUMMYFUNCTION("""COMPUTED_VALUE"""),"King Kong ")</f>
        <v>King Kong </v>
      </c>
      <c r="S48" s="12">
        <f t="shared" si="9"/>
        <v>368877893</v>
      </c>
    </row>
    <row r="49" spans="1:19" x14ac:dyDescent="0.3">
      <c r="A49" s="2" t="s">
        <v>43</v>
      </c>
      <c r="B49" s="2">
        <v>88</v>
      </c>
      <c r="C49" s="3">
        <v>313837577</v>
      </c>
      <c r="D49" s="3" t="s">
        <v>5755</v>
      </c>
      <c r="E49" s="2" t="s">
        <v>259</v>
      </c>
      <c r="F49" s="2" t="s">
        <v>10</v>
      </c>
      <c r="G49" s="2" t="s">
        <v>11</v>
      </c>
      <c r="H49" s="2">
        <v>140000000</v>
      </c>
      <c r="I49" s="2">
        <v>6.1</v>
      </c>
      <c r="J49" s="2">
        <v>3300000</v>
      </c>
      <c r="K49">
        <f t="shared" si="0"/>
        <v>1.3775047412552699E-3</v>
      </c>
      <c r="R49" s="12" t="str">
        <f ca="1">IFERROR(__xludf.DUMMYFUNCTION("""COMPUTED_VALUE"""),"Titanic ")</f>
        <v>Titanic </v>
      </c>
      <c r="S49" s="12">
        <f t="shared" si="9"/>
        <v>331049635</v>
      </c>
    </row>
    <row r="50" spans="1:19" x14ac:dyDescent="0.3">
      <c r="A50" s="2" t="s">
        <v>5510</v>
      </c>
      <c r="B50" s="2">
        <v>112</v>
      </c>
      <c r="C50" s="3">
        <v>312057433</v>
      </c>
      <c r="D50" s="3" t="s">
        <v>5763</v>
      </c>
      <c r="E50" s="2" t="s">
        <v>5511</v>
      </c>
      <c r="F50" s="2" t="s">
        <v>10</v>
      </c>
      <c r="G50" s="2" t="s">
        <v>11</v>
      </c>
      <c r="H50" s="2">
        <v>500000</v>
      </c>
      <c r="I50" s="2">
        <v>6.1</v>
      </c>
      <c r="J50" s="2">
        <v>3300000</v>
      </c>
      <c r="K50">
        <f t="shared" si="0"/>
        <v>1.3775047412552699E-3</v>
      </c>
      <c r="R50" s="12" t="str">
        <f ca="1">IFERROR(__xludf.DUMMYFUNCTION("""COMPUTED_VALUE"""),"Captain America: Civil War ")</f>
        <v>Captain America: Civil War </v>
      </c>
      <c r="S50" s="12">
        <f t="shared" si="9"/>
        <v>243230696</v>
      </c>
    </row>
    <row r="51" spans="1:19" x14ac:dyDescent="0.3">
      <c r="A51" s="2" t="s">
        <v>2673</v>
      </c>
      <c r="B51" s="2">
        <v>103</v>
      </c>
      <c r="C51" s="3">
        <v>310675583</v>
      </c>
      <c r="D51" s="3" t="s">
        <v>5767</v>
      </c>
      <c r="E51" s="2" t="s">
        <v>5189</v>
      </c>
      <c r="F51" s="2" t="s">
        <v>10</v>
      </c>
      <c r="G51" s="2" t="s">
        <v>71</v>
      </c>
      <c r="H51" s="2">
        <v>2000000</v>
      </c>
      <c r="I51" s="2">
        <v>7.2</v>
      </c>
      <c r="J51" s="2">
        <v>3300000</v>
      </c>
      <c r="K51">
        <f t="shared" si="0"/>
        <v>1.3775047412552699E-3</v>
      </c>
      <c r="R51" s="12" t="str">
        <f ca="1">IFERROR(__xludf.DUMMYFUNCTION("""COMPUTED_VALUE"""),"Battleship ")</f>
        <v>Battleship </v>
      </c>
      <c r="S51" s="12">
        <f t="shared" si="9"/>
        <v>360145141</v>
      </c>
    </row>
    <row r="52" spans="1:19" x14ac:dyDescent="0.3">
      <c r="A52" s="2" t="s">
        <v>4145</v>
      </c>
      <c r="B52" s="2">
        <v>104</v>
      </c>
      <c r="C52" s="3">
        <v>309404152</v>
      </c>
      <c r="D52" s="3" t="s">
        <v>5769</v>
      </c>
      <c r="E52" s="2" t="s">
        <v>4146</v>
      </c>
      <c r="F52" s="2" t="s">
        <v>10</v>
      </c>
      <c r="G52" s="2" t="s">
        <v>932</v>
      </c>
      <c r="H52" s="2">
        <v>10000000</v>
      </c>
      <c r="I52" s="2">
        <v>6.1</v>
      </c>
      <c r="J52" s="2">
        <v>3300000</v>
      </c>
      <c r="K52">
        <f t="shared" si="0"/>
        <v>1.3775047412552699E-3</v>
      </c>
      <c r="R52" s="12" t="str">
        <f ca="1">IFERROR(__xludf.DUMMYFUNCTION("""COMPUTED_VALUE"""),"Jurassic World ")</f>
        <v>Jurassic World </v>
      </c>
      <c r="S52" s="12">
        <f t="shared" si="9"/>
        <v>353484000</v>
      </c>
    </row>
    <row r="53" spans="1:19" x14ac:dyDescent="0.3">
      <c r="A53" s="2" t="s">
        <v>4575</v>
      </c>
      <c r="B53" s="2">
        <v>99</v>
      </c>
      <c r="C53" s="3">
        <v>309125409</v>
      </c>
      <c r="D53" s="3" t="s">
        <v>5755</v>
      </c>
      <c r="E53" s="2" t="s">
        <v>4576</v>
      </c>
      <c r="F53" s="2" t="s">
        <v>10</v>
      </c>
      <c r="G53" s="2" t="s">
        <v>11</v>
      </c>
      <c r="H53" s="2">
        <v>5500000</v>
      </c>
      <c r="I53" s="2">
        <v>4.9000000000000004</v>
      </c>
      <c r="J53" s="2">
        <v>3300000</v>
      </c>
      <c r="K53">
        <f t="shared" si="0"/>
        <v>1.3775047412552699E-3</v>
      </c>
      <c r="R53" s="12" t="str">
        <f ca="1">IFERROR(__xludf.DUMMYFUNCTION("""COMPUTED_VALUE"""),"Skyfall ")</f>
        <v>Skyfall </v>
      </c>
      <c r="S53" s="12">
        <f t="shared" si="9"/>
        <v>329454367</v>
      </c>
    </row>
    <row r="54" spans="1:19" x14ac:dyDescent="0.3">
      <c r="A54" s="2" t="s">
        <v>1906</v>
      </c>
      <c r="B54" s="2">
        <v>107</v>
      </c>
      <c r="C54" s="3">
        <v>306124059</v>
      </c>
      <c r="D54" s="3" t="s">
        <v>5755</v>
      </c>
      <c r="E54" s="2" t="s">
        <v>1917</v>
      </c>
      <c r="F54" s="2" t="s">
        <v>10</v>
      </c>
      <c r="G54" s="2" t="s">
        <v>11</v>
      </c>
      <c r="H54" s="2">
        <v>36000000</v>
      </c>
      <c r="I54" s="2">
        <v>6.4</v>
      </c>
      <c r="J54" s="2">
        <v>3300000</v>
      </c>
      <c r="K54">
        <f t="shared" si="0"/>
        <v>1.3775047412552699E-3</v>
      </c>
      <c r="R54" s="12" t="str">
        <f ca="1">IFERROR(__xludf.DUMMYFUNCTION("""COMPUTED_VALUE"""),"Spider-Man 2 ")</f>
        <v>Spider-Man 2 </v>
      </c>
      <c r="S54" s="12">
        <f t="shared" si="9"/>
        <v>317358779</v>
      </c>
    </row>
    <row r="55" spans="1:19" x14ac:dyDescent="0.3">
      <c r="A55" s="2" t="s">
        <v>57</v>
      </c>
      <c r="B55" s="2">
        <v>136</v>
      </c>
      <c r="C55" s="3">
        <v>305388685</v>
      </c>
      <c r="D55" s="3" t="s">
        <v>5752</v>
      </c>
      <c r="E55" s="2" t="s">
        <v>154</v>
      </c>
      <c r="F55" s="2" t="s">
        <v>10</v>
      </c>
      <c r="G55" s="2" t="s">
        <v>11</v>
      </c>
      <c r="H55" s="2">
        <v>170000000</v>
      </c>
      <c r="I55" s="2">
        <v>7.8</v>
      </c>
      <c r="J55" s="2">
        <v>3300000</v>
      </c>
      <c r="K55">
        <f t="shared" si="0"/>
        <v>1.3775047412552699E-3</v>
      </c>
      <c r="R55" s="12" t="str">
        <f ca="1">IFERROR(__xludf.DUMMYFUNCTION("""COMPUTED_VALUE"""),"Iron Man 3 ")</f>
        <v>Iron Man 3 </v>
      </c>
      <c r="S55" s="12">
        <f t="shared" si="9"/>
        <v>274843495</v>
      </c>
    </row>
    <row r="56" spans="1:19" x14ac:dyDescent="0.3">
      <c r="A56" s="2" t="s">
        <v>3936</v>
      </c>
      <c r="B56" s="2">
        <v>104</v>
      </c>
      <c r="C56" s="3">
        <v>304360277</v>
      </c>
      <c r="D56" s="3" t="s">
        <v>5771</v>
      </c>
      <c r="E56" s="2" t="s">
        <v>3937</v>
      </c>
      <c r="F56" s="2" t="s">
        <v>10</v>
      </c>
      <c r="G56" s="2" t="s">
        <v>11</v>
      </c>
      <c r="H56" s="2">
        <v>11000000</v>
      </c>
      <c r="I56" s="2">
        <v>6.8</v>
      </c>
      <c r="J56" s="2">
        <v>3300000</v>
      </c>
      <c r="K56">
        <f t="shared" si="0"/>
        <v>1.3775047412552699E-3</v>
      </c>
      <c r="R56" s="12" t="str">
        <f ca="1">IFERROR(__xludf.DUMMYFUNCTION("""COMPUTED_VALUE"""),"Alice in Wonderland ")</f>
        <v>Alice in Wonderland </v>
      </c>
      <c r="S56" s="12">
        <f t="shared" si="9"/>
        <v>315034110</v>
      </c>
    </row>
    <row r="57" spans="1:19" x14ac:dyDescent="0.3">
      <c r="A57" s="2" t="s">
        <v>5012</v>
      </c>
      <c r="B57" s="2">
        <v>107</v>
      </c>
      <c r="C57" s="3">
        <v>303001229</v>
      </c>
      <c r="D57" s="3" t="s">
        <v>5768</v>
      </c>
      <c r="E57" s="2" t="s">
        <v>5013</v>
      </c>
      <c r="F57" s="2" t="s">
        <v>10</v>
      </c>
      <c r="G57" s="2" t="s">
        <v>11</v>
      </c>
      <c r="H57" s="2">
        <v>2500000</v>
      </c>
      <c r="I57" s="2">
        <v>7</v>
      </c>
      <c r="J57" s="2">
        <v>3300000</v>
      </c>
      <c r="K57">
        <f t="shared" si="0"/>
        <v>1.3775047412552699E-3</v>
      </c>
      <c r="R57" s="12" t="str">
        <f ca="1">IFERROR(__xludf.DUMMYFUNCTION("""COMPUTED_VALUE"""),"X-Men: The Last Stand ")</f>
        <v>X-Men: The Last Stand </v>
      </c>
      <c r="S57" s="12">
        <f t="shared" si="9"/>
        <v>330478898</v>
      </c>
    </row>
    <row r="58" spans="1:19" x14ac:dyDescent="0.3">
      <c r="A58" s="2" t="s">
        <v>458</v>
      </c>
      <c r="B58" s="2">
        <v>116</v>
      </c>
      <c r="C58" s="3">
        <v>301956980</v>
      </c>
      <c r="D58" s="3" t="s">
        <v>5775</v>
      </c>
      <c r="E58" s="2" t="s">
        <v>459</v>
      </c>
      <c r="F58" s="2" t="s">
        <v>10</v>
      </c>
      <c r="G58" s="2" t="s">
        <v>11</v>
      </c>
      <c r="H58" s="2">
        <v>100000000</v>
      </c>
      <c r="I58" s="2">
        <v>6.7</v>
      </c>
      <c r="J58" s="2">
        <v>3300000</v>
      </c>
      <c r="K58">
        <f t="shared" si="0"/>
        <v>1.3775047412552699E-3</v>
      </c>
      <c r="R58" s="12" t="str">
        <f ca="1">IFERROR(__xludf.DUMMYFUNCTION("""COMPUTED_VALUE"""),"Monsters University ")</f>
        <v>Monsters University </v>
      </c>
      <c r="S58" s="12">
        <f t="shared" si="9"/>
        <v>283103873</v>
      </c>
    </row>
    <row r="59" spans="1:19" x14ac:dyDescent="0.3">
      <c r="A59" s="2" t="s">
        <v>965</v>
      </c>
      <c r="B59" s="2">
        <v>133</v>
      </c>
      <c r="C59" s="3">
        <v>300523113</v>
      </c>
      <c r="D59" s="3" t="s">
        <v>5776</v>
      </c>
      <c r="E59" s="2" t="s">
        <v>1172</v>
      </c>
      <c r="F59" s="2" t="s">
        <v>10</v>
      </c>
      <c r="G59" s="2" t="s">
        <v>11</v>
      </c>
      <c r="H59" s="2">
        <v>58800000</v>
      </c>
      <c r="I59" s="2">
        <v>7.3</v>
      </c>
      <c r="J59" s="2">
        <v>3300000</v>
      </c>
      <c r="K59">
        <f t="shared" si="0"/>
        <v>1.3775047412552699E-3</v>
      </c>
      <c r="R59" s="12" t="str">
        <f ca="1">IFERROR(__xludf.DUMMYFUNCTION("""COMPUTED_VALUE"""),"Transformers: Revenge of the Fallen ")</f>
        <v>Transformers: Revenge of the Fallen </v>
      </c>
      <c r="S59" s="12">
        <f t="shared" si="9"/>
        <v>335030303</v>
      </c>
    </row>
    <row r="60" spans="1:19" x14ac:dyDescent="0.3">
      <c r="A60" s="2" t="s">
        <v>4970</v>
      </c>
      <c r="B60" s="2">
        <v>88</v>
      </c>
      <c r="C60" s="3">
        <v>296623634</v>
      </c>
      <c r="D60" s="3" t="s">
        <v>5755</v>
      </c>
      <c r="E60" s="2" t="s">
        <v>4971</v>
      </c>
      <c r="F60" s="2" t="s">
        <v>10</v>
      </c>
      <c r="G60" s="2" t="s">
        <v>11</v>
      </c>
      <c r="H60" s="2">
        <v>5000000</v>
      </c>
      <c r="I60" s="2">
        <v>4.0999999999999996</v>
      </c>
      <c r="J60" s="2">
        <v>3300000</v>
      </c>
      <c r="K60">
        <f t="shared" si="0"/>
        <v>1.3775047412552699E-3</v>
      </c>
      <c r="R60" s="12" t="str">
        <f ca="1">IFERROR(__xludf.DUMMYFUNCTION("""COMPUTED_VALUE"""),"Transformers: Age of Extinction ")</f>
        <v>Transformers: Age of Extinction </v>
      </c>
      <c r="S60" s="12">
        <f t="shared" si="9"/>
        <v>306029560</v>
      </c>
    </row>
    <row r="61" spans="1:19" x14ac:dyDescent="0.3">
      <c r="A61" s="2" t="s">
        <v>1538</v>
      </c>
      <c r="B61" s="2">
        <v>109</v>
      </c>
      <c r="C61" s="3">
        <v>293501675</v>
      </c>
      <c r="D61" s="3" t="s">
        <v>5777</v>
      </c>
      <c r="E61" s="2" t="s">
        <v>1539</v>
      </c>
      <c r="F61" s="2" t="s">
        <v>10</v>
      </c>
      <c r="G61" s="2" t="s">
        <v>11</v>
      </c>
      <c r="H61" s="2">
        <v>50000000</v>
      </c>
      <c r="I61" s="2">
        <v>6.8</v>
      </c>
      <c r="J61" s="2">
        <v>3300000</v>
      </c>
      <c r="K61">
        <f t="shared" si="0"/>
        <v>1.3775047412552699E-3</v>
      </c>
      <c r="R61" s="12" t="str">
        <f ca="1">IFERROR(__xludf.DUMMYFUNCTION("""COMPUTED_VALUE"""),"Oz the Great and Powerful ")</f>
        <v>Oz the Great and Powerful </v>
      </c>
      <c r="S61" s="12">
        <f t="shared" si="9"/>
        <v>322285206</v>
      </c>
    </row>
    <row r="62" spans="1:19" x14ac:dyDescent="0.3">
      <c r="A62" s="2" t="s">
        <v>261</v>
      </c>
      <c r="B62" s="2">
        <v>95</v>
      </c>
      <c r="C62" s="3">
        <v>292979556</v>
      </c>
      <c r="D62" s="3" t="s">
        <v>5755</v>
      </c>
      <c r="E62" s="2" t="s">
        <v>262</v>
      </c>
      <c r="F62" s="2" t="s">
        <v>10</v>
      </c>
      <c r="G62" s="2" t="s">
        <v>11</v>
      </c>
      <c r="H62" s="2">
        <v>145000000</v>
      </c>
      <c r="I62" s="2">
        <v>7.2</v>
      </c>
      <c r="J62" s="2">
        <v>3300000</v>
      </c>
      <c r="K62">
        <f t="shared" si="0"/>
        <v>1.3775047412552699E-3</v>
      </c>
      <c r="R62" s="12" t="str">
        <f ca="1">IFERROR(__xludf.DUMMYFUNCTION("""COMPUTED_VALUE"""),"The Amazing Spider-Man 2 ")</f>
        <v>The Amazing Spider-Man 2 </v>
      </c>
      <c r="S62" s="12">
        <f t="shared" si="9"/>
        <v>257130696</v>
      </c>
    </row>
    <row r="63" spans="1:19" x14ac:dyDescent="0.3">
      <c r="A63" s="2" t="s">
        <v>2959</v>
      </c>
      <c r="B63" s="2">
        <v>108</v>
      </c>
      <c r="C63" s="3">
        <v>292568851</v>
      </c>
      <c r="D63" s="3" t="s">
        <v>5766</v>
      </c>
      <c r="E63" s="2" t="s">
        <v>2960</v>
      </c>
      <c r="F63" s="2" t="s">
        <v>10</v>
      </c>
      <c r="G63" s="2" t="s">
        <v>11</v>
      </c>
      <c r="H63" s="2">
        <v>806947</v>
      </c>
      <c r="I63" s="2">
        <v>8.5</v>
      </c>
      <c r="J63" s="2">
        <v>3300000</v>
      </c>
      <c r="K63">
        <f t="shared" si="0"/>
        <v>1.3775047412552699E-3</v>
      </c>
      <c r="R63" s="12" t="str">
        <f ca="1">IFERROR(__xludf.DUMMYFUNCTION("""COMPUTED_VALUE"""),"TRON: Legacy ")</f>
        <v>TRON: Legacy </v>
      </c>
      <c r="S63" s="12">
        <f t="shared" si="9"/>
        <v>257249062</v>
      </c>
    </row>
    <row r="64" spans="1:19" x14ac:dyDescent="0.3">
      <c r="A64" s="2" t="s">
        <v>280</v>
      </c>
      <c r="B64" s="2">
        <v>120</v>
      </c>
      <c r="C64" s="3">
        <v>292298923</v>
      </c>
      <c r="D64" s="3" t="s">
        <v>5765</v>
      </c>
      <c r="E64" s="2" t="s">
        <v>3380</v>
      </c>
      <c r="F64" s="2" t="s">
        <v>513</v>
      </c>
      <c r="G64" s="2" t="s">
        <v>3381</v>
      </c>
      <c r="H64" s="2">
        <v>15000000</v>
      </c>
      <c r="I64" s="2">
        <v>7.9</v>
      </c>
      <c r="J64" s="2">
        <v>3300000</v>
      </c>
      <c r="K64">
        <f t="shared" si="0"/>
        <v>1.3775047412552699E-3</v>
      </c>
      <c r="R64" s="12" t="str">
        <f ca="1">IFERROR(__xludf.DUMMYFUNCTION("""COMPUTED_VALUE"""),"Cars 2 ")</f>
        <v>Cars 2 </v>
      </c>
      <c r="S64" s="12">
        <f t="shared" si="9"/>
        <v>322691196</v>
      </c>
    </row>
    <row r="65" spans="1:19" x14ac:dyDescent="0.3">
      <c r="A65" s="2" t="s">
        <v>38</v>
      </c>
      <c r="B65" s="2">
        <v>150</v>
      </c>
      <c r="C65" s="3">
        <v>292000866</v>
      </c>
      <c r="D65" s="3" t="s">
        <v>5755</v>
      </c>
      <c r="E65" s="2" t="s">
        <v>39</v>
      </c>
      <c r="F65" s="2" t="s">
        <v>10</v>
      </c>
      <c r="G65" s="2" t="s">
        <v>11</v>
      </c>
      <c r="H65" s="2">
        <v>225000000</v>
      </c>
      <c r="I65" s="2">
        <v>6.6</v>
      </c>
      <c r="J65" s="2">
        <v>3300000</v>
      </c>
      <c r="K65">
        <f t="shared" si="0"/>
        <v>1.3775047412552699E-3</v>
      </c>
      <c r="R65" s="12" t="str">
        <f ca="1">IFERROR(__xludf.DUMMYFUNCTION("""COMPUTED_VALUE"""),"Green Lantern ")</f>
        <v>Green Lantern </v>
      </c>
      <c r="S65" s="12">
        <f t="shared" si="9"/>
        <v>322505540</v>
      </c>
    </row>
    <row r="66" spans="1:19" x14ac:dyDescent="0.3">
      <c r="A66" s="2" t="s">
        <v>298</v>
      </c>
      <c r="B66" s="2">
        <v>115</v>
      </c>
      <c r="C66" s="3">
        <v>291709845</v>
      </c>
      <c r="D66" s="3" t="s">
        <v>5778</v>
      </c>
      <c r="E66" s="2" t="s">
        <v>5076</v>
      </c>
      <c r="F66" s="2" t="s">
        <v>723</v>
      </c>
      <c r="G66" s="2" t="s">
        <v>3044</v>
      </c>
      <c r="H66" s="2">
        <v>2000000</v>
      </c>
      <c r="I66" s="2">
        <v>8.1</v>
      </c>
      <c r="J66" s="2">
        <v>3300000</v>
      </c>
      <c r="K66">
        <f t="shared" ref="K66:K129" si="10">CORREL(H$2:H$3941,J$2:J$3941)</f>
        <v>1.3775047412552699E-3</v>
      </c>
      <c r="R66" s="12" t="str">
        <f ca="1">IFERROR(__xludf.DUMMYFUNCTION("""COMPUTED_VALUE"""),"Toy Story 3 ")</f>
        <v>Toy Story 3 </v>
      </c>
      <c r="S66" s="12">
        <f t="shared" si="9"/>
        <v>304706665</v>
      </c>
    </row>
    <row r="67" spans="1:19" x14ac:dyDescent="0.3">
      <c r="A67" s="2" t="s">
        <v>4877</v>
      </c>
      <c r="B67" s="2">
        <v>98</v>
      </c>
      <c r="C67" s="3">
        <v>291021565</v>
      </c>
      <c r="D67" s="3" t="s">
        <v>5779</v>
      </c>
      <c r="E67" s="2" t="s">
        <v>4878</v>
      </c>
      <c r="F67" s="2" t="s">
        <v>10</v>
      </c>
      <c r="G67" s="2" t="s">
        <v>11</v>
      </c>
      <c r="H67" s="2">
        <v>3500000</v>
      </c>
      <c r="I67" s="2">
        <v>6.4</v>
      </c>
      <c r="J67" s="2">
        <v>3300000</v>
      </c>
      <c r="K67">
        <f t="shared" si="10"/>
        <v>1.3775047412552699E-3</v>
      </c>
      <c r="R67" s="12" t="str">
        <f ca="1">IFERROR(__xludf.DUMMYFUNCTION("""COMPUTED_VALUE"""),"Terminator Salvation ")</f>
        <v>Terminator Salvation </v>
      </c>
      <c r="S67" s="12">
        <f t="shared" si="9"/>
        <v>298759914</v>
      </c>
    </row>
    <row r="68" spans="1:19" x14ac:dyDescent="0.3">
      <c r="A68" s="2" t="s">
        <v>4564</v>
      </c>
      <c r="B68" s="2">
        <v>90</v>
      </c>
      <c r="C68" s="3">
        <v>290158751</v>
      </c>
      <c r="D68" s="3" t="s">
        <v>5780</v>
      </c>
      <c r="E68" s="2" t="s">
        <v>4565</v>
      </c>
      <c r="F68" s="2" t="s">
        <v>10</v>
      </c>
      <c r="G68" s="2" t="s">
        <v>11</v>
      </c>
      <c r="H68" s="2">
        <v>3000000</v>
      </c>
      <c r="I68" s="2">
        <v>6.6</v>
      </c>
      <c r="J68" s="2">
        <v>3300000</v>
      </c>
      <c r="K68">
        <f t="shared" si="10"/>
        <v>1.3775047412552699E-3</v>
      </c>
      <c r="R68" s="12" t="str">
        <f ca="1">IFERROR(__xludf.DUMMYFUNCTION("""COMPUTED_VALUE"""),"Furious 7 ")</f>
        <v>Furious 7 </v>
      </c>
      <c r="S68" s="12">
        <f t="shared" si="9"/>
        <v>303298180</v>
      </c>
    </row>
    <row r="69" spans="1:19" ht="15.6" x14ac:dyDescent="0.3">
      <c r="A69" s="2" t="s">
        <v>38</v>
      </c>
      <c r="B69" s="2">
        <v>150</v>
      </c>
      <c r="C69" s="3">
        <v>289994397</v>
      </c>
      <c r="D69" s="3" t="s">
        <v>5755</v>
      </c>
      <c r="E69" s="2" t="s">
        <v>119</v>
      </c>
      <c r="F69" s="2" t="s">
        <v>10</v>
      </c>
      <c r="G69" s="2" t="s">
        <v>11</v>
      </c>
      <c r="H69" s="2">
        <v>180000000</v>
      </c>
      <c r="I69" s="2">
        <v>6.9</v>
      </c>
      <c r="J69" s="2">
        <v>3300000</v>
      </c>
      <c r="K69">
        <f t="shared" si="10"/>
        <v>1.3775047412552699E-3</v>
      </c>
      <c r="R69" s="13" t="str">
        <f ca="1">IFERROR(__xludf.DUMMYFUNCTION("""COMPUTED_VALUE"""),"World War Z ")</f>
        <v>World War Z </v>
      </c>
      <c r="S69" s="12">
        <f t="shared" si="9"/>
        <v>316557891</v>
      </c>
    </row>
    <row r="70" spans="1:19" x14ac:dyDescent="0.3">
      <c r="A70" s="2" t="s">
        <v>3150</v>
      </c>
      <c r="B70" s="2">
        <v>113</v>
      </c>
      <c r="C70" s="3">
        <v>289907418</v>
      </c>
      <c r="D70" s="3" t="s">
        <v>5781</v>
      </c>
      <c r="E70" s="2" t="s">
        <v>3151</v>
      </c>
      <c r="F70" s="2" t="s">
        <v>10</v>
      </c>
      <c r="G70" s="2" t="s">
        <v>11</v>
      </c>
      <c r="H70" s="2">
        <v>18000000</v>
      </c>
      <c r="I70" s="2">
        <v>6.7</v>
      </c>
      <c r="J70" s="2">
        <v>3300000</v>
      </c>
      <c r="K70">
        <f t="shared" si="10"/>
        <v>1.3775047412552699E-3</v>
      </c>
      <c r="R70" s="12" t="str">
        <f ca="1">IFERROR(__xludf.DUMMYFUNCTION("""COMPUTED_VALUE"""),"X-Men: Days of Future Past ")</f>
        <v>X-Men: Days of Future Past </v>
      </c>
      <c r="S70" s="12">
        <f t="shared" si="9"/>
        <v>313511114</v>
      </c>
    </row>
    <row r="71" spans="1:19" x14ac:dyDescent="0.3">
      <c r="A71" s="2" t="s">
        <v>193</v>
      </c>
      <c r="B71" s="2">
        <v>128</v>
      </c>
      <c r="C71" s="3">
        <v>285761243</v>
      </c>
      <c r="D71" s="3" t="s">
        <v>5782</v>
      </c>
      <c r="E71" s="2" t="s">
        <v>289</v>
      </c>
      <c r="F71" s="2" t="s">
        <v>10</v>
      </c>
      <c r="G71" s="2" t="s">
        <v>16</v>
      </c>
      <c r="H71" s="2">
        <v>135000000</v>
      </c>
      <c r="I71" s="2">
        <v>6.4</v>
      </c>
      <c r="J71" s="2">
        <v>3300000</v>
      </c>
      <c r="K71">
        <f t="shared" si="10"/>
        <v>1.3775047412552699E-3</v>
      </c>
      <c r="R71" s="12" t="str">
        <f ca="1">IFERROR(__xludf.DUMMYFUNCTION("""COMPUTED_VALUE"""),"Star Trek Into Darkness ")</f>
        <v>Star Trek Into Darkness </v>
      </c>
      <c r="S71" s="12">
        <f t="shared" si="9"/>
        <v>173837577</v>
      </c>
    </row>
    <row r="72" spans="1:19" x14ac:dyDescent="0.3">
      <c r="A72" s="2" t="s">
        <v>4791</v>
      </c>
      <c r="B72" s="2">
        <v>110</v>
      </c>
      <c r="C72" s="3">
        <v>281666058</v>
      </c>
      <c r="D72" s="3" t="s">
        <v>5783</v>
      </c>
      <c r="E72" s="2" t="s">
        <v>4792</v>
      </c>
      <c r="F72" s="2" t="s">
        <v>10</v>
      </c>
      <c r="G72" s="2" t="s">
        <v>11</v>
      </c>
      <c r="H72" s="2">
        <v>4000000</v>
      </c>
      <c r="I72" s="2">
        <v>6.7</v>
      </c>
      <c r="J72" s="2">
        <v>3300000</v>
      </c>
      <c r="K72">
        <f t="shared" si="10"/>
        <v>1.3775047412552699E-3</v>
      </c>
      <c r="R72" s="12" t="str">
        <f ca="1">IFERROR(__xludf.DUMMYFUNCTION("""COMPUTED_VALUE"""),"Jack the Giant Slayer ")</f>
        <v>Jack the Giant Slayer </v>
      </c>
      <c r="S72" s="12">
        <f t="shared" si="9"/>
        <v>311557433</v>
      </c>
    </row>
    <row r="73" spans="1:19" x14ac:dyDescent="0.3">
      <c r="A73" s="2" t="s">
        <v>2347</v>
      </c>
      <c r="B73" s="2">
        <v>97</v>
      </c>
      <c r="C73" s="3">
        <v>281492479</v>
      </c>
      <c r="D73" s="3" t="s">
        <v>5784</v>
      </c>
      <c r="E73" s="2" t="s">
        <v>3481</v>
      </c>
      <c r="F73" s="2" t="s">
        <v>10</v>
      </c>
      <c r="G73" s="2" t="s">
        <v>11</v>
      </c>
      <c r="H73" s="2">
        <v>15000000</v>
      </c>
      <c r="I73" s="2">
        <v>6.2</v>
      </c>
      <c r="J73" s="2">
        <v>3300000</v>
      </c>
      <c r="K73">
        <f t="shared" si="10"/>
        <v>1.3775047412552699E-3</v>
      </c>
      <c r="R73" s="12" t="str">
        <f ca="1">IFERROR(__xludf.DUMMYFUNCTION("""COMPUTED_VALUE"""),"The Great Gatsby ")</f>
        <v>The Great Gatsby </v>
      </c>
      <c r="S73" s="12">
        <f t="shared" si="9"/>
        <v>308675583</v>
      </c>
    </row>
    <row r="74" spans="1:19" x14ac:dyDescent="0.3">
      <c r="A74" s="2" t="s">
        <v>4345</v>
      </c>
      <c r="B74" s="2">
        <v>97</v>
      </c>
      <c r="C74" s="3">
        <v>279167575</v>
      </c>
      <c r="D74" s="3" t="s">
        <v>5785</v>
      </c>
      <c r="E74" s="2" t="s">
        <v>4346</v>
      </c>
      <c r="F74" s="2" t="s">
        <v>10</v>
      </c>
      <c r="G74" s="2" t="s">
        <v>16</v>
      </c>
      <c r="H74" s="2">
        <v>7300000</v>
      </c>
      <c r="I74" s="2">
        <v>7.2</v>
      </c>
      <c r="J74" s="2">
        <v>3300000</v>
      </c>
      <c r="K74">
        <f t="shared" si="10"/>
        <v>1.3775047412552699E-3</v>
      </c>
      <c r="R74" s="12" t="str">
        <f ca="1">IFERROR(__xludf.DUMMYFUNCTION("""COMPUTED_VALUE"""),"Prince of Persia: The Sands of Time ")</f>
        <v>Prince of Persia: The Sands of Time </v>
      </c>
      <c r="S74" s="12">
        <f t="shared" si="9"/>
        <v>299404152</v>
      </c>
    </row>
    <row r="75" spans="1:19" x14ac:dyDescent="0.3">
      <c r="A75" s="2" t="s">
        <v>1384</v>
      </c>
      <c r="B75" s="2">
        <v>112</v>
      </c>
      <c r="C75" s="3">
        <v>277313371</v>
      </c>
      <c r="D75" s="3" t="s">
        <v>5755</v>
      </c>
      <c r="E75" s="2" t="s">
        <v>2961</v>
      </c>
      <c r="F75" s="2" t="s">
        <v>10</v>
      </c>
      <c r="G75" s="2" t="s">
        <v>11</v>
      </c>
      <c r="H75" s="2">
        <v>40000000</v>
      </c>
      <c r="I75" s="2">
        <v>5.9</v>
      </c>
      <c r="J75" s="2">
        <v>3300000</v>
      </c>
      <c r="K75">
        <f t="shared" si="10"/>
        <v>1.3775047412552699E-3</v>
      </c>
      <c r="R75" s="12" t="str">
        <f ca="1">IFERROR(__xludf.DUMMYFUNCTION("""COMPUTED_VALUE"""),"Pacific Rim ")</f>
        <v>Pacific Rim </v>
      </c>
      <c r="S75" s="12">
        <f t="shared" si="9"/>
        <v>303625409</v>
      </c>
    </row>
    <row r="76" spans="1:19" x14ac:dyDescent="0.3">
      <c r="A76" s="2" t="s">
        <v>1414</v>
      </c>
      <c r="B76" s="2">
        <v>115</v>
      </c>
      <c r="C76" s="3">
        <v>274084951</v>
      </c>
      <c r="D76" s="3" t="s">
        <v>5768</v>
      </c>
      <c r="E76" s="2" t="s">
        <v>1415</v>
      </c>
      <c r="F76" s="2" t="s">
        <v>10</v>
      </c>
      <c r="G76" s="2" t="s">
        <v>11</v>
      </c>
      <c r="H76" s="2">
        <v>50000000</v>
      </c>
      <c r="I76" s="2">
        <v>6.1</v>
      </c>
      <c r="J76" s="2">
        <v>3300000</v>
      </c>
      <c r="K76">
        <f t="shared" si="10"/>
        <v>1.3775047412552699E-3</v>
      </c>
      <c r="R76" s="12" t="str">
        <f ca="1">IFERROR(__xludf.DUMMYFUNCTION("""COMPUTED_VALUE"""),"Transformers: Dark of the Moon ")</f>
        <v>Transformers: Dark of the Moon </v>
      </c>
      <c r="S76" s="12">
        <f t="shared" si="9"/>
        <v>270124059</v>
      </c>
    </row>
    <row r="77" spans="1:19" x14ac:dyDescent="0.3">
      <c r="A77" s="2" t="s">
        <v>1149</v>
      </c>
      <c r="B77" s="2">
        <v>118</v>
      </c>
      <c r="C77" s="3">
        <v>268488329</v>
      </c>
      <c r="D77" s="3" t="s">
        <v>5768</v>
      </c>
      <c r="E77" s="2" t="s">
        <v>1150</v>
      </c>
      <c r="F77" s="2" t="s">
        <v>10</v>
      </c>
      <c r="G77" s="2" t="s">
        <v>11</v>
      </c>
      <c r="H77" s="2">
        <v>60000000</v>
      </c>
      <c r="I77" s="2">
        <v>6.2</v>
      </c>
      <c r="J77" s="2">
        <v>3300000</v>
      </c>
      <c r="K77">
        <f t="shared" si="10"/>
        <v>1.3775047412552699E-3</v>
      </c>
      <c r="R77" s="12" t="str">
        <f ca="1">IFERROR(__xludf.DUMMYFUNCTION("""COMPUTED_VALUE"""),"Indiana Jones and the Kingdom of the Crystal Skull ")</f>
        <v>Indiana Jones and the Kingdom of the Crystal Skull </v>
      </c>
      <c r="S77" s="12">
        <f t="shared" si="9"/>
        <v>135388685</v>
      </c>
    </row>
    <row r="78" spans="1:19" x14ac:dyDescent="0.3">
      <c r="A78" s="2" t="s">
        <v>3473</v>
      </c>
      <c r="B78" s="2">
        <v>140</v>
      </c>
      <c r="C78" s="3">
        <v>267652016</v>
      </c>
      <c r="D78" s="3" t="s">
        <v>5786</v>
      </c>
      <c r="E78" s="2" t="s">
        <v>3474</v>
      </c>
      <c r="F78" s="2" t="s">
        <v>10</v>
      </c>
      <c r="G78" s="2" t="s">
        <v>11</v>
      </c>
      <c r="H78" s="2">
        <v>15000000</v>
      </c>
      <c r="I78" s="2">
        <v>7.3</v>
      </c>
      <c r="J78" s="2">
        <v>3300000</v>
      </c>
      <c r="K78">
        <f t="shared" si="10"/>
        <v>1.3775047412552699E-3</v>
      </c>
      <c r="R78" s="12" t="str">
        <f ca="1">IFERROR(__xludf.DUMMYFUNCTION("""COMPUTED_VALUE"""),"Brave ")</f>
        <v>Brave </v>
      </c>
      <c r="S78" s="12">
        <f t="shared" si="9"/>
        <v>293360277</v>
      </c>
    </row>
    <row r="79" spans="1:19" x14ac:dyDescent="0.3">
      <c r="A79" s="2" t="s">
        <v>684</v>
      </c>
      <c r="B79" s="2">
        <v>95</v>
      </c>
      <c r="C79" s="3">
        <v>262030663</v>
      </c>
      <c r="D79" s="3" t="s">
        <v>5787</v>
      </c>
      <c r="E79" s="2" t="s">
        <v>1193</v>
      </c>
      <c r="F79" s="2" t="s">
        <v>10</v>
      </c>
      <c r="G79" s="2" t="s">
        <v>71</v>
      </c>
      <c r="H79" s="2">
        <v>56000000</v>
      </c>
      <c r="I79" s="2">
        <v>5.5</v>
      </c>
      <c r="J79" s="2">
        <v>3300000</v>
      </c>
      <c r="K79">
        <f t="shared" si="10"/>
        <v>1.3775047412552699E-3</v>
      </c>
      <c r="R79" s="12" t="str">
        <f ca="1">IFERROR(__xludf.DUMMYFUNCTION("""COMPUTED_VALUE"""),"Star Trek Beyond ")</f>
        <v>Star Trek Beyond </v>
      </c>
      <c r="S79" s="12">
        <f t="shared" si="9"/>
        <v>300501229</v>
      </c>
    </row>
    <row r="80" spans="1:19" x14ac:dyDescent="0.3">
      <c r="A80" s="2" t="s">
        <v>1589</v>
      </c>
      <c r="B80" s="2">
        <v>130</v>
      </c>
      <c r="C80" s="3">
        <v>261970615</v>
      </c>
      <c r="D80" s="3" t="s">
        <v>5755</v>
      </c>
      <c r="E80" s="2" t="s">
        <v>1590</v>
      </c>
      <c r="F80" s="2" t="s">
        <v>10</v>
      </c>
      <c r="G80" s="2" t="s">
        <v>11</v>
      </c>
      <c r="H80" s="2">
        <v>44500000</v>
      </c>
      <c r="I80" s="2">
        <v>7.7</v>
      </c>
      <c r="J80" s="2">
        <v>3300000</v>
      </c>
      <c r="K80">
        <f t="shared" si="10"/>
        <v>1.3775047412552699E-3</v>
      </c>
      <c r="R80" s="12" t="str">
        <f ca="1">IFERROR(__xludf.DUMMYFUNCTION("""COMPUTED_VALUE"""),"WALL·E ")</f>
        <v>WALL·E </v>
      </c>
      <c r="S80" s="12">
        <f t="shared" si="9"/>
        <v>201956980</v>
      </c>
    </row>
    <row r="81" spans="1:19" x14ac:dyDescent="0.3">
      <c r="A81" s="2" t="s">
        <v>909</v>
      </c>
      <c r="B81" s="2">
        <v>114</v>
      </c>
      <c r="C81" s="3">
        <v>261437578</v>
      </c>
      <c r="D81" s="3" t="s">
        <v>5788</v>
      </c>
      <c r="E81" s="2" t="s">
        <v>1695</v>
      </c>
      <c r="F81" s="2" t="s">
        <v>10</v>
      </c>
      <c r="G81" s="2" t="s">
        <v>11</v>
      </c>
      <c r="H81" s="2">
        <v>40000000</v>
      </c>
      <c r="I81" s="2">
        <v>5.9</v>
      </c>
      <c r="J81" s="2">
        <v>3300000</v>
      </c>
      <c r="K81">
        <f t="shared" si="10"/>
        <v>1.3775047412552699E-3</v>
      </c>
      <c r="R81" s="12" t="str">
        <f ca="1">IFERROR(__xludf.DUMMYFUNCTION("""COMPUTED_VALUE"""),"Rush Hour 3 ")</f>
        <v>Rush Hour 3 </v>
      </c>
      <c r="S81" s="12">
        <f t="shared" si="9"/>
        <v>241723113</v>
      </c>
    </row>
    <row r="82" spans="1:19" x14ac:dyDescent="0.3">
      <c r="A82" s="2" t="s">
        <v>2908</v>
      </c>
      <c r="B82" s="2">
        <v>122</v>
      </c>
      <c r="C82" s="3">
        <v>260031035</v>
      </c>
      <c r="D82" s="3" t="s">
        <v>5789</v>
      </c>
      <c r="E82" s="2" t="s">
        <v>3482</v>
      </c>
      <c r="F82" s="2" t="s">
        <v>10</v>
      </c>
      <c r="G82" s="2" t="s">
        <v>16</v>
      </c>
      <c r="H82" s="2">
        <v>15000000</v>
      </c>
      <c r="I82" s="2">
        <v>6.8</v>
      </c>
      <c r="J82" s="2">
        <v>3300000</v>
      </c>
      <c r="K82">
        <f t="shared" si="10"/>
        <v>1.3775047412552699E-3</v>
      </c>
      <c r="R82" s="12" t="str">
        <f ca="1">IFERROR(__xludf.DUMMYFUNCTION("""COMPUTED_VALUE"""),"2012 ")</f>
        <v>2012 </v>
      </c>
      <c r="S82" s="12">
        <f t="shared" si="9"/>
        <v>291623634</v>
      </c>
    </row>
    <row r="83" spans="1:19" x14ac:dyDescent="0.3">
      <c r="A83" s="2" t="s">
        <v>3281</v>
      </c>
      <c r="B83" s="2">
        <v>102</v>
      </c>
      <c r="C83" s="3">
        <v>260000000</v>
      </c>
      <c r="D83" s="3" t="s">
        <v>5790</v>
      </c>
      <c r="E83" s="2" t="s">
        <v>3282</v>
      </c>
      <c r="F83" s="2" t="s">
        <v>10</v>
      </c>
      <c r="G83" s="2" t="s">
        <v>11</v>
      </c>
      <c r="H83" s="2">
        <v>17000000</v>
      </c>
      <c r="I83" s="2">
        <v>6.4</v>
      </c>
      <c r="J83" s="2">
        <v>3300000</v>
      </c>
      <c r="K83">
        <f t="shared" si="10"/>
        <v>1.3775047412552699E-3</v>
      </c>
      <c r="R83" s="12" t="str">
        <f ca="1">IFERROR(__xludf.DUMMYFUNCTION("""COMPUTED_VALUE"""),"A Christmas Carol ")</f>
        <v>A Christmas Carol </v>
      </c>
      <c r="S83" s="12">
        <f t="shared" si="9"/>
        <v>243501675</v>
      </c>
    </row>
    <row r="84" spans="1:19" x14ac:dyDescent="0.3">
      <c r="A84" s="2" t="s">
        <v>2196</v>
      </c>
      <c r="B84" s="2">
        <v>115</v>
      </c>
      <c r="C84" s="3">
        <v>259746958</v>
      </c>
      <c r="D84" s="3" t="s">
        <v>5788</v>
      </c>
      <c r="E84" s="2" t="s">
        <v>3813</v>
      </c>
      <c r="F84" s="2" t="s">
        <v>10</v>
      </c>
      <c r="G84" s="2" t="s">
        <v>11</v>
      </c>
      <c r="H84" s="2">
        <v>12000000</v>
      </c>
      <c r="I84" s="2">
        <v>7.8</v>
      </c>
      <c r="J84" s="2">
        <v>3300000</v>
      </c>
      <c r="K84">
        <f t="shared" si="10"/>
        <v>1.3775047412552699E-3</v>
      </c>
      <c r="R84" s="12" t="str">
        <f ca="1">IFERROR(__xludf.DUMMYFUNCTION("""COMPUTED_VALUE"""),"Jupiter Ascending ")</f>
        <v>Jupiter Ascending </v>
      </c>
      <c r="S84" s="12">
        <f t="shared" si="9"/>
        <v>147979556</v>
      </c>
    </row>
    <row r="85" spans="1:19" x14ac:dyDescent="0.3">
      <c r="A85" s="2" t="s">
        <v>684</v>
      </c>
      <c r="B85" s="2">
        <v>105</v>
      </c>
      <c r="C85" s="3">
        <v>258355354</v>
      </c>
      <c r="D85" s="3" t="s">
        <v>5755</v>
      </c>
      <c r="E85" s="2" t="s">
        <v>2857</v>
      </c>
      <c r="F85" s="2" t="s">
        <v>10</v>
      </c>
      <c r="G85" s="2" t="s">
        <v>11</v>
      </c>
      <c r="H85" s="2">
        <v>33000000</v>
      </c>
      <c r="I85" s="2">
        <v>5.5</v>
      </c>
      <c r="J85" s="2">
        <v>3300000</v>
      </c>
      <c r="K85">
        <f t="shared" si="10"/>
        <v>1.3775047412552699E-3</v>
      </c>
      <c r="R85" s="12" t="str">
        <f ca="1">IFERROR(__xludf.DUMMYFUNCTION("""COMPUTED_VALUE"""),"The Legend of Tarzan ")</f>
        <v>The Legend of Tarzan </v>
      </c>
      <c r="S85" s="12">
        <f t="shared" si="9"/>
        <v>291761904</v>
      </c>
    </row>
    <row r="86" spans="1:19" x14ac:dyDescent="0.3">
      <c r="A86" s="2" t="s">
        <v>133</v>
      </c>
      <c r="B86" s="2">
        <v>109</v>
      </c>
      <c r="C86" s="3">
        <v>257756197</v>
      </c>
      <c r="D86" s="3" t="s">
        <v>5771</v>
      </c>
      <c r="E86" s="2" t="s">
        <v>2045</v>
      </c>
      <c r="F86" s="2" t="s">
        <v>10</v>
      </c>
      <c r="G86" s="2" t="s">
        <v>11</v>
      </c>
      <c r="H86" s="3">
        <v>26536120</v>
      </c>
      <c r="I86" s="2">
        <v>5.7</v>
      </c>
      <c r="J86" s="2">
        <v>3300000</v>
      </c>
      <c r="K86">
        <f t="shared" si="10"/>
        <v>1.3775047412552699E-3</v>
      </c>
      <c r="R86" s="12" t="str">
        <f ca="1">IFERROR(__xludf.DUMMYFUNCTION("""COMPUTED_VALUE"""),"The Chronicles of Narnia: The Lion, the Witch and the Wardrobe ")</f>
        <v>The Chronicles of Narnia: The Lion, the Witch and the Wardrobe </v>
      </c>
      <c r="S86" s="12">
        <f t="shared" si="9"/>
        <v>277298923</v>
      </c>
    </row>
    <row r="87" spans="1:19" x14ac:dyDescent="0.3">
      <c r="A87" s="2" t="s">
        <v>1356</v>
      </c>
      <c r="B87" s="2">
        <v>105</v>
      </c>
      <c r="C87" s="3">
        <v>257704099</v>
      </c>
      <c r="D87" s="3" t="s">
        <v>5791</v>
      </c>
      <c r="E87" s="2" t="s">
        <v>2936</v>
      </c>
      <c r="F87" s="2" t="s">
        <v>10</v>
      </c>
      <c r="G87" s="2" t="s">
        <v>11</v>
      </c>
      <c r="H87" s="2">
        <v>20000000</v>
      </c>
      <c r="I87" s="2">
        <v>5.8</v>
      </c>
      <c r="J87" s="2">
        <v>3300000</v>
      </c>
      <c r="K87">
        <f t="shared" si="10"/>
        <v>1.3775047412552699E-3</v>
      </c>
      <c r="R87" s="12" t="str">
        <f ca="1">IFERROR(__xludf.DUMMYFUNCTION("""COMPUTED_VALUE"""),"X-Men: Apocalypse ")</f>
        <v>X-Men: Apocalypse </v>
      </c>
      <c r="S87" s="12">
        <f t="shared" si="9"/>
        <v>67000866</v>
      </c>
    </row>
    <row r="88" spans="1:19" x14ac:dyDescent="0.3">
      <c r="A88" s="2" t="s">
        <v>38</v>
      </c>
      <c r="B88" s="2">
        <v>90</v>
      </c>
      <c r="C88" s="3">
        <v>256386216</v>
      </c>
      <c r="D88" s="3" t="s">
        <v>5792</v>
      </c>
      <c r="E88" s="2" t="s">
        <v>1316</v>
      </c>
      <c r="F88" s="2" t="s">
        <v>10</v>
      </c>
      <c r="G88" s="2" t="s">
        <v>11</v>
      </c>
      <c r="H88" s="2">
        <v>60000000</v>
      </c>
      <c r="I88" s="2">
        <v>7.9</v>
      </c>
      <c r="J88" s="2">
        <v>3300000</v>
      </c>
      <c r="K88">
        <f t="shared" si="10"/>
        <v>1.3775047412552699E-3</v>
      </c>
      <c r="R88" s="12" t="str">
        <f ca="1">IFERROR(__xludf.DUMMYFUNCTION("""COMPUTED_VALUE"""),"The Dark Knight ")</f>
        <v>The Dark Knight </v>
      </c>
      <c r="S88" s="12">
        <f t="shared" si="9"/>
        <v>289709845</v>
      </c>
    </row>
    <row r="89" spans="1:19" x14ac:dyDescent="0.3">
      <c r="A89" s="2" t="s">
        <v>5108</v>
      </c>
      <c r="B89" s="2">
        <v>85</v>
      </c>
      <c r="C89" s="3">
        <v>255950375</v>
      </c>
      <c r="D89" s="3" t="s">
        <v>5793</v>
      </c>
      <c r="E89" s="2" t="s">
        <v>5109</v>
      </c>
      <c r="F89" s="2" t="s">
        <v>10</v>
      </c>
      <c r="G89" s="2" t="s">
        <v>11</v>
      </c>
      <c r="H89" s="2">
        <v>3800000</v>
      </c>
      <c r="I89" s="2">
        <v>5.8</v>
      </c>
      <c r="J89" s="2">
        <v>3300000</v>
      </c>
      <c r="K89">
        <f t="shared" si="10"/>
        <v>1.3775047412552699E-3</v>
      </c>
      <c r="R89" s="12" t="str">
        <f ca="1">IFERROR(__xludf.DUMMYFUNCTION("""COMPUTED_VALUE"""),"Up ")</f>
        <v>Up </v>
      </c>
      <c r="S89" s="12">
        <f t="shared" ref="S89:S152" si="11">C67-H67</f>
        <v>287521565</v>
      </c>
    </row>
    <row r="90" spans="1:19" x14ac:dyDescent="0.3">
      <c r="A90" s="2" t="s">
        <v>684</v>
      </c>
      <c r="B90" s="2">
        <v>94</v>
      </c>
      <c r="C90" s="3">
        <v>255108370</v>
      </c>
      <c r="D90" s="3" t="s">
        <v>5794</v>
      </c>
      <c r="E90" s="2" t="s">
        <v>1051</v>
      </c>
      <c r="F90" s="2" t="s">
        <v>10</v>
      </c>
      <c r="G90" s="2" t="s">
        <v>11</v>
      </c>
      <c r="H90" s="2">
        <v>60000000</v>
      </c>
      <c r="I90" s="2">
        <v>5.4</v>
      </c>
      <c r="J90" s="2">
        <v>3300000</v>
      </c>
      <c r="K90">
        <f t="shared" si="10"/>
        <v>1.3775047412552699E-3</v>
      </c>
      <c r="R90" s="12" t="str">
        <f ca="1">IFERROR(__xludf.DUMMYFUNCTION("""COMPUTED_VALUE"""),"Monsters vs. Aliens ")</f>
        <v>Monsters vs. Aliens </v>
      </c>
      <c r="S90" s="12">
        <f t="shared" si="11"/>
        <v>287158751</v>
      </c>
    </row>
    <row r="91" spans="1:19" x14ac:dyDescent="0.3">
      <c r="A91" s="2" t="s">
        <v>1661</v>
      </c>
      <c r="B91" s="2">
        <v>105</v>
      </c>
      <c r="C91" s="3">
        <v>254455986</v>
      </c>
      <c r="D91" s="3" t="s">
        <v>5755</v>
      </c>
      <c r="E91" s="2" t="s">
        <v>1662</v>
      </c>
      <c r="F91" s="2" t="s">
        <v>10</v>
      </c>
      <c r="G91" s="2" t="s">
        <v>11</v>
      </c>
      <c r="H91" s="2">
        <v>70000000</v>
      </c>
      <c r="I91" s="2">
        <v>6.4</v>
      </c>
      <c r="J91" s="2">
        <v>3300000</v>
      </c>
      <c r="K91">
        <f t="shared" si="10"/>
        <v>1.3775047412552699E-3</v>
      </c>
      <c r="R91" s="12" t="str">
        <f ca="1">IFERROR(__xludf.DUMMYFUNCTION("""COMPUTED_VALUE"""),"Iron Man ")</f>
        <v>Iron Man </v>
      </c>
      <c r="S91" s="12">
        <f t="shared" si="11"/>
        <v>109994397</v>
      </c>
    </row>
    <row r="92" spans="1:19" x14ac:dyDescent="0.3">
      <c r="A92" s="2" t="s">
        <v>965</v>
      </c>
      <c r="B92" s="2">
        <v>135</v>
      </c>
      <c r="C92" s="3">
        <v>251501645</v>
      </c>
      <c r="D92" s="3" t="s">
        <v>5794</v>
      </c>
      <c r="E92" s="2" t="s">
        <v>1286</v>
      </c>
      <c r="F92" s="2" t="s">
        <v>10</v>
      </c>
      <c r="G92" s="2" t="s">
        <v>11</v>
      </c>
      <c r="H92" s="2">
        <v>90000000</v>
      </c>
      <c r="I92" s="2">
        <v>7.1</v>
      </c>
      <c r="J92" s="2">
        <v>3300000</v>
      </c>
      <c r="K92">
        <f t="shared" si="10"/>
        <v>1.3775047412552699E-3</v>
      </c>
      <c r="R92" s="12" t="str">
        <f ca="1">IFERROR(__xludf.DUMMYFUNCTION("""COMPUTED_VALUE"""),"Hugo ")</f>
        <v>Hugo </v>
      </c>
      <c r="S92" s="12">
        <f t="shared" si="11"/>
        <v>271907418</v>
      </c>
    </row>
    <row r="93" spans="1:19" x14ac:dyDescent="0.3">
      <c r="A93" s="2" t="s">
        <v>226</v>
      </c>
      <c r="B93" s="2">
        <v>88</v>
      </c>
      <c r="C93" s="3">
        <v>251188924</v>
      </c>
      <c r="D93" s="3" t="s">
        <v>5795</v>
      </c>
      <c r="E93" s="2" t="s">
        <v>227</v>
      </c>
      <c r="F93" s="2" t="s">
        <v>10</v>
      </c>
      <c r="G93" s="2" t="s">
        <v>11</v>
      </c>
      <c r="H93" s="2">
        <v>150000000</v>
      </c>
      <c r="I93" s="2">
        <v>5.0999999999999996</v>
      </c>
      <c r="J93" s="2">
        <v>3300000</v>
      </c>
      <c r="K93">
        <f t="shared" si="10"/>
        <v>1.3775047412552699E-3</v>
      </c>
      <c r="R93" s="12" t="str">
        <f ca="1">IFERROR(__xludf.DUMMYFUNCTION("""COMPUTED_VALUE"""),"Wild Wild West ")</f>
        <v>Wild Wild West </v>
      </c>
      <c r="S93" s="12">
        <f t="shared" si="11"/>
        <v>150761243</v>
      </c>
    </row>
    <row r="94" spans="1:19" x14ac:dyDescent="0.3">
      <c r="A94" s="2" t="s">
        <v>1626</v>
      </c>
      <c r="B94" s="2">
        <v>132</v>
      </c>
      <c r="C94" s="3">
        <v>250863268</v>
      </c>
      <c r="D94" s="3" t="s">
        <v>5755</v>
      </c>
      <c r="E94" s="2" t="s">
        <v>2192</v>
      </c>
      <c r="F94" s="2" t="s">
        <v>10</v>
      </c>
      <c r="G94" s="2" t="s">
        <v>11</v>
      </c>
      <c r="H94" s="2">
        <v>30000000</v>
      </c>
      <c r="I94" s="2">
        <v>6.6</v>
      </c>
      <c r="J94" s="2">
        <v>3300000</v>
      </c>
      <c r="K94">
        <f t="shared" si="10"/>
        <v>1.3775047412552699E-3</v>
      </c>
      <c r="R94" s="12" t="str">
        <f ca="1">IFERROR(__xludf.DUMMYFUNCTION("""COMPUTED_VALUE"""),"The Mummy: Tomb of the Dragon Emperor ")</f>
        <v>The Mummy: Tomb of the Dragon Emperor </v>
      </c>
      <c r="S94" s="12">
        <f t="shared" si="11"/>
        <v>277666058</v>
      </c>
    </row>
    <row r="95" spans="1:19" x14ac:dyDescent="0.3">
      <c r="A95" s="2" t="s">
        <v>909</v>
      </c>
      <c r="B95" s="2">
        <v>107</v>
      </c>
      <c r="C95" s="3">
        <v>250147615</v>
      </c>
      <c r="D95" s="3" t="s">
        <v>5796</v>
      </c>
      <c r="E95" s="2" t="s">
        <v>2767</v>
      </c>
      <c r="F95" s="2" t="s">
        <v>10</v>
      </c>
      <c r="G95" s="2" t="s">
        <v>11</v>
      </c>
      <c r="H95" s="2">
        <v>23000000</v>
      </c>
      <c r="I95" s="2">
        <v>7.1</v>
      </c>
      <c r="J95" s="2">
        <v>3300000</v>
      </c>
      <c r="K95">
        <f t="shared" si="10"/>
        <v>1.3775047412552699E-3</v>
      </c>
      <c r="R95" s="12" t="str">
        <f ca="1">IFERROR(__xludf.DUMMYFUNCTION("""COMPUTED_VALUE"""),"Suicide Squad ")</f>
        <v>Suicide Squad </v>
      </c>
      <c r="S95" s="12">
        <f t="shared" si="11"/>
        <v>266492479</v>
      </c>
    </row>
    <row r="96" spans="1:19" x14ac:dyDescent="0.3">
      <c r="A96" s="2" t="s">
        <v>2951</v>
      </c>
      <c r="B96" s="2">
        <v>90</v>
      </c>
      <c r="C96" s="3">
        <v>249358727</v>
      </c>
      <c r="D96" s="3" t="s">
        <v>5768</v>
      </c>
      <c r="E96" s="2" t="s">
        <v>2952</v>
      </c>
      <c r="F96" s="2" t="s">
        <v>10</v>
      </c>
      <c r="G96" s="2" t="s">
        <v>11</v>
      </c>
      <c r="H96" s="2">
        <v>20000000</v>
      </c>
      <c r="I96" s="2">
        <v>5.3</v>
      </c>
      <c r="J96" s="2">
        <v>3300000</v>
      </c>
      <c r="K96">
        <f t="shared" si="10"/>
        <v>1.3775047412552699E-3</v>
      </c>
      <c r="R96" s="12" t="str">
        <f ca="1">IFERROR(__xludf.DUMMYFUNCTION("""COMPUTED_VALUE"""),"Evan Almighty ")</f>
        <v>Evan Almighty </v>
      </c>
      <c r="S96" s="12">
        <f t="shared" si="11"/>
        <v>271867575</v>
      </c>
    </row>
    <row r="97" spans="1:19" x14ac:dyDescent="0.3">
      <c r="A97" s="2" t="s">
        <v>2701</v>
      </c>
      <c r="B97" s="2">
        <v>115</v>
      </c>
      <c r="C97" s="3">
        <v>245823397</v>
      </c>
      <c r="D97" s="3" t="s">
        <v>5763</v>
      </c>
      <c r="E97" s="2" t="s">
        <v>2702</v>
      </c>
      <c r="F97" s="2" t="s">
        <v>10</v>
      </c>
      <c r="G97" s="2" t="s">
        <v>11</v>
      </c>
      <c r="H97" s="2">
        <v>24000000</v>
      </c>
      <c r="I97" s="2">
        <v>6.9</v>
      </c>
      <c r="J97" s="2">
        <v>3300000</v>
      </c>
      <c r="K97">
        <f t="shared" si="10"/>
        <v>1.3775047412552699E-3</v>
      </c>
      <c r="R97" s="12" t="str">
        <f ca="1">IFERROR(__xludf.DUMMYFUNCTION("""COMPUTED_VALUE"""),"Edge of Tomorrow ")</f>
        <v>Edge of Tomorrow </v>
      </c>
      <c r="S97" s="12">
        <f t="shared" si="11"/>
        <v>237313371</v>
      </c>
    </row>
    <row r="98" spans="1:19" x14ac:dyDescent="0.3">
      <c r="A98" s="2" t="s">
        <v>1240</v>
      </c>
      <c r="B98" s="2">
        <v>102</v>
      </c>
      <c r="C98" s="3">
        <v>245428137</v>
      </c>
      <c r="D98" s="3" t="s">
        <v>5773</v>
      </c>
      <c r="E98" s="2" t="s">
        <v>1241</v>
      </c>
      <c r="F98" s="2" t="s">
        <v>10</v>
      </c>
      <c r="G98" s="2" t="s">
        <v>11</v>
      </c>
      <c r="H98" s="2">
        <v>68000000</v>
      </c>
      <c r="I98" s="2">
        <v>5.7</v>
      </c>
      <c r="J98" s="2">
        <v>3300000</v>
      </c>
      <c r="K98">
        <f t="shared" si="10"/>
        <v>1.3775047412552699E-3</v>
      </c>
      <c r="R98" s="12" t="str">
        <f ca="1">IFERROR(__xludf.DUMMYFUNCTION("""COMPUTED_VALUE"""),"Waterworld ")</f>
        <v>Waterworld </v>
      </c>
      <c r="S98" s="12">
        <f t="shared" si="11"/>
        <v>224084951</v>
      </c>
    </row>
    <row r="99" spans="1:19" x14ac:dyDescent="0.3">
      <c r="A99" s="2" t="s">
        <v>3221</v>
      </c>
      <c r="B99" s="2">
        <v>105</v>
      </c>
      <c r="C99" s="3">
        <v>244052771</v>
      </c>
      <c r="D99" s="3" t="s">
        <v>5797</v>
      </c>
      <c r="E99" s="2" t="s">
        <v>3222</v>
      </c>
      <c r="F99" s="2" t="s">
        <v>10</v>
      </c>
      <c r="G99" s="2" t="s">
        <v>504</v>
      </c>
      <c r="H99" s="2">
        <v>14000000</v>
      </c>
      <c r="I99" s="2">
        <v>6.7</v>
      </c>
      <c r="J99" s="2">
        <v>3300000</v>
      </c>
      <c r="K99">
        <f t="shared" si="10"/>
        <v>1.3775047412552699E-3</v>
      </c>
      <c r="R99" s="12" t="str">
        <f ca="1">IFERROR(__xludf.DUMMYFUNCTION("""COMPUTED_VALUE"""),"G.I. Joe: The Rise of Cobra ")</f>
        <v>G.I. Joe: The Rise of Cobra </v>
      </c>
      <c r="S99" s="12">
        <f t="shared" si="11"/>
        <v>208488329</v>
      </c>
    </row>
    <row r="100" spans="1:19" x14ac:dyDescent="0.3">
      <c r="A100" s="2" t="s">
        <v>2801</v>
      </c>
      <c r="B100" s="2">
        <v>104</v>
      </c>
      <c r="C100" s="3">
        <v>242589580</v>
      </c>
      <c r="D100" s="3" t="s">
        <v>5755</v>
      </c>
      <c r="E100" s="2" t="s">
        <v>2802</v>
      </c>
      <c r="F100" s="2" t="s">
        <v>10</v>
      </c>
      <c r="G100" s="2" t="s">
        <v>11</v>
      </c>
      <c r="H100" s="2">
        <v>22000000</v>
      </c>
      <c r="I100" s="2">
        <v>4.0999999999999996</v>
      </c>
      <c r="J100" s="2">
        <v>3300000</v>
      </c>
      <c r="K100">
        <f t="shared" si="10"/>
        <v>1.3775047412552699E-3</v>
      </c>
      <c r="R100" s="12" t="str">
        <f ca="1">IFERROR(__xludf.DUMMYFUNCTION("""COMPUTED_VALUE"""),"Inside Out ")</f>
        <v>Inside Out </v>
      </c>
      <c r="S100" s="12">
        <f t="shared" si="11"/>
        <v>252652016</v>
      </c>
    </row>
    <row r="101" spans="1:19" x14ac:dyDescent="0.3">
      <c r="A101" s="2" t="s">
        <v>5575</v>
      </c>
      <c r="B101" s="2">
        <v>80</v>
      </c>
      <c r="C101" s="3">
        <v>242374454</v>
      </c>
      <c r="D101" s="3" t="s">
        <v>5798</v>
      </c>
      <c r="E101" s="2" t="s">
        <v>5577</v>
      </c>
      <c r="F101" s="2" t="s">
        <v>10</v>
      </c>
      <c r="G101" s="2" t="s">
        <v>11</v>
      </c>
      <c r="H101" s="3">
        <v>474544677</v>
      </c>
      <c r="I101" s="2">
        <v>7.1</v>
      </c>
      <c r="J101" s="2">
        <v>3300000</v>
      </c>
      <c r="K101">
        <f t="shared" si="10"/>
        <v>1.3775047412552699E-3</v>
      </c>
      <c r="R101" s="12" t="str">
        <f ca="1">IFERROR(__xludf.DUMMYFUNCTION("""COMPUTED_VALUE"""),"The Jungle Book ")</f>
        <v>The Jungle Book </v>
      </c>
      <c r="S101" s="12">
        <f t="shared" si="11"/>
        <v>206030663</v>
      </c>
    </row>
    <row r="102" spans="1:19" x14ac:dyDescent="0.3">
      <c r="A102" s="2" t="s">
        <v>69</v>
      </c>
      <c r="B102" s="2">
        <v>101</v>
      </c>
      <c r="C102" s="3">
        <v>241688385</v>
      </c>
      <c r="D102" s="3" t="s">
        <v>5761</v>
      </c>
      <c r="E102" s="2" t="s">
        <v>490</v>
      </c>
      <c r="F102" s="2" t="s">
        <v>10</v>
      </c>
      <c r="G102" s="2" t="s">
        <v>11</v>
      </c>
      <c r="H102" s="2">
        <v>100000000</v>
      </c>
      <c r="I102" s="2">
        <v>6</v>
      </c>
      <c r="J102" s="2">
        <v>3300000</v>
      </c>
      <c r="K102">
        <f t="shared" si="10"/>
        <v>1.3775047412552699E-3</v>
      </c>
      <c r="R102" s="12" t="str">
        <f ca="1">IFERROR(__xludf.DUMMYFUNCTION("""COMPUTED_VALUE"""),"Iron Man 2 ")</f>
        <v>Iron Man 2 </v>
      </c>
      <c r="S102" s="12">
        <f t="shared" si="11"/>
        <v>217470615</v>
      </c>
    </row>
    <row r="103" spans="1:19" x14ac:dyDescent="0.3">
      <c r="A103" s="2" t="s">
        <v>4805</v>
      </c>
      <c r="B103" s="2">
        <v>102</v>
      </c>
      <c r="C103" s="3">
        <v>241437427</v>
      </c>
      <c r="D103" s="3" t="s">
        <v>5799</v>
      </c>
      <c r="E103" s="2" t="s">
        <v>4806</v>
      </c>
      <c r="F103" s="2" t="s">
        <v>4807</v>
      </c>
      <c r="G103" s="2" t="s">
        <v>11</v>
      </c>
      <c r="H103" s="2">
        <v>4000000</v>
      </c>
      <c r="I103" s="2">
        <v>8.5</v>
      </c>
      <c r="J103" s="2">
        <v>3300000</v>
      </c>
      <c r="K103">
        <f t="shared" si="10"/>
        <v>1.3775047412552699E-3</v>
      </c>
      <c r="R103" s="12" t="str">
        <f ca="1">IFERROR(__xludf.DUMMYFUNCTION("""COMPUTED_VALUE"""),"Snow White and the Huntsman ")</f>
        <v>Snow White and the Huntsman </v>
      </c>
      <c r="S103" s="12">
        <f t="shared" si="11"/>
        <v>221437578</v>
      </c>
    </row>
    <row r="104" spans="1:19" x14ac:dyDescent="0.3">
      <c r="A104" s="2" t="s">
        <v>2196</v>
      </c>
      <c r="B104" s="2">
        <v>125</v>
      </c>
      <c r="C104" s="3">
        <v>241407328</v>
      </c>
      <c r="D104" s="3" t="s">
        <v>5765</v>
      </c>
      <c r="E104" s="2" t="s">
        <v>2197</v>
      </c>
      <c r="F104" s="2" t="s">
        <v>10</v>
      </c>
      <c r="G104" s="2" t="s">
        <v>11</v>
      </c>
      <c r="H104" s="2">
        <v>30000000</v>
      </c>
      <c r="I104" s="2">
        <v>7.2</v>
      </c>
      <c r="J104" s="2">
        <v>3300000</v>
      </c>
      <c r="K104">
        <f t="shared" si="10"/>
        <v>1.3775047412552699E-3</v>
      </c>
      <c r="R104" s="12" t="str">
        <f ca="1">IFERROR(__xludf.DUMMYFUNCTION("""COMPUTED_VALUE"""),"Maleficent ")</f>
        <v>Maleficent </v>
      </c>
      <c r="S104" s="12">
        <f t="shared" si="11"/>
        <v>245031035</v>
      </c>
    </row>
    <row r="105" spans="1:19" x14ac:dyDescent="0.3">
      <c r="A105" s="2" t="s">
        <v>684</v>
      </c>
      <c r="B105" s="2">
        <v>117</v>
      </c>
      <c r="C105" s="3">
        <v>241063875</v>
      </c>
      <c r="D105" s="3" t="s">
        <v>5771</v>
      </c>
      <c r="E105" s="2" t="s">
        <v>786</v>
      </c>
      <c r="F105" s="2" t="s">
        <v>10</v>
      </c>
      <c r="G105" s="2" t="s">
        <v>11</v>
      </c>
      <c r="H105" s="2">
        <v>75000000</v>
      </c>
      <c r="I105" s="2">
        <v>6.7</v>
      </c>
      <c r="J105" s="2">
        <v>3300000</v>
      </c>
      <c r="K105">
        <f t="shared" si="10"/>
        <v>1.3775047412552699E-3</v>
      </c>
      <c r="R105" s="12" t="str">
        <f ca="1">IFERROR(__xludf.DUMMYFUNCTION("""COMPUTED_VALUE"""),"Dawn of the Planet of the Apes ")</f>
        <v>Dawn of the Planet of the Apes </v>
      </c>
      <c r="S105" s="12">
        <f t="shared" si="11"/>
        <v>243000000</v>
      </c>
    </row>
    <row r="106" spans="1:19" x14ac:dyDescent="0.3">
      <c r="A106" s="2" t="s">
        <v>2196</v>
      </c>
      <c r="B106" s="2">
        <v>103</v>
      </c>
      <c r="C106" s="3">
        <v>238371987</v>
      </c>
      <c r="D106" s="3" t="s">
        <v>5752</v>
      </c>
      <c r="E106" s="2" t="s">
        <v>4222</v>
      </c>
      <c r="F106" s="2" t="s">
        <v>10</v>
      </c>
      <c r="G106" s="2" t="s">
        <v>11</v>
      </c>
      <c r="H106" s="2">
        <v>8000000</v>
      </c>
      <c r="I106" s="2">
        <v>7.3</v>
      </c>
      <c r="J106" s="2">
        <v>3300000</v>
      </c>
      <c r="K106">
        <f t="shared" si="10"/>
        <v>1.3775047412552699E-3</v>
      </c>
      <c r="R106" s="12" t="str">
        <f ca="1">IFERROR(__xludf.DUMMYFUNCTION("""COMPUTED_VALUE"""),"47 Ronin ")</f>
        <v>47 Ronin </v>
      </c>
      <c r="S106" s="12">
        <f t="shared" si="11"/>
        <v>247746958</v>
      </c>
    </row>
    <row r="107" spans="1:19" x14ac:dyDescent="0.3">
      <c r="A107" s="2" t="s">
        <v>1725</v>
      </c>
      <c r="B107" s="2">
        <v>99</v>
      </c>
      <c r="C107" s="3">
        <v>237282182</v>
      </c>
      <c r="D107" s="3" t="s">
        <v>5755</v>
      </c>
      <c r="E107" s="2" t="s">
        <v>1726</v>
      </c>
      <c r="F107" s="2" t="s">
        <v>10</v>
      </c>
      <c r="G107" s="2" t="s">
        <v>11</v>
      </c>
      <c r="H107" s="2">
        <v>40000000</v>
      </c>
      <c r="I107" s="2">
        <v>6.8</v>
      </c>
      <c r="J107" s="2">
        <v>3300000</v>
      </c>
      <c r="K107">
        <f t="shared" si="10"/>
        <v>1.3775047412552699E-3</v>
      </c>
      <c r="R107" s="12" t="str">
        <f ca="1">IFERROR(__xludf.DUMMYFUNCTION("""COMPUTED_VALUE"""),"Captain America: The Winter Soldier ")</f>
        <v>Captain America: The Winter Soldier </v>
      </c>
      <c r="S107" s="12">
        <f t="shared" si="11"/>
        <v>225355354</v>
      </c>
    </row>
    <row r="108" spans="1:19" x14ac:dyDescent="0.3">
      <c r="A108" s="2" t="s">
        <v>3606</v>
      </c>
      <c r="B108" s="2">
        <v>96</v>
      </c>
      <c r="C108" s="3">
        <v>234903076</v>
      </c>
      <c r="D108" s="3" t="s">
        <v>5765</v>
      </c>
      <c r="E108" s="2" t="s">
        <v>3607</v>
      </c>
      <c r="F108" s="2" t="s">
        <v>10</v>
      </c>
      <c r="G108" s="2" t="s">
        <v>11</v>
      </c>
      <c r="H108" s="2">
        <v>14000000</v>
      </c>
      <c r="I108" s="2">
        <v>6</v>
      </c>
      <c r="J108" s="2">
        <v>3300000</v>
      </c>
      <c r="K108">
        <f t="shared" si="10"/>
        <v>1.3775047412552699E-3</v>
      </c>
      <c r="R108" s="12" t="str">
        <f ca="1">IFERROR(__xludf.DUMMYFUNCTION("""COMPUTED_VALUE"""),"Shrek Forever After ")</f>
        <v>Shrek Forever After </v>
      </c>
      <c r="S108" s="12">
        <f t="shared" si="11"/>
        <v>231220077</v>
      </c>
    </row>
    <row r="109" spans="1:19" x14ac:dyDescent="0.3">
      <c r="A109" s="2" t="s">
        <v>193</v>
      </c>
      <c r="B109" s="2">
        <v>113</v>
      </c>
      <c r="C109" s="3">
        <v>234760500</v>
      </c>
      <c r="D109" s="3" t="s">
        <v>5800</v>
      </c>
      <c r="E109" s="2" t="s">
        <v>194</v>
      </c>
      <c r="F109" s="2" t="s">
        <v>10</v>
      </c>
      <c r="G109" s="2" t="s">
        <v>11</v>
      </c>
      <c r="H109" s="2">
        <v>155000000</v>
      </c>
      <c r="I109" s="2">
        <v>6.3</v>
      </c>
      <c r="J109" s="2">
        <v>3300000</v>
      </c>
      <c r="K109">
        <f t="shared" si="10"/>
        <v>1.3775047412552699E-3</v>
      </c>
      <c r="R109" s="12" t="str">
        <f ca="1">IFERROR(__xludf.DUMMYFUNCTION("""COMPUTED_VALUE"""),"Tomorrowland ")</f>
        <v>Tomorrowland </v>
      </c>
      <c r="S109" s="12">
        <f t="shared" si="11"/>
        <v>237704099</v>
      </c>
    </row>
    <row r="110" spans="1:19" x14ac:dyDescent="0.3">
      <c r="A110" s="2" t="s">
        <v>3884</v>
      </c>
      <c r="B110" s="2">
        <v>202</v>
      </c>
      <c r="C110" s="3">
        <v>234360014</v>
      </c>
      <c r="D110" s="3" t="s">
        <v>5755</v>
      </c>
      <c r="E110" s="2" t="s">
        <v>5503</v>
      </c>
      <c r="F110" s="2" t="s">
        <v>2071</v>
      </c>
      <c r="G110" s="2" t="s">
        <v>771</v>
      </c>
      <c r="H110" s="2">
        <v>2000000</v>
      </c>
      <c r="I110" s="2">
        <v>8.6999999999999993</v>
      </c>
      <c r="J110" s="2">
        <v>3300000</v>
      </c>
      <c r="K110">
        <f t="shared" si="10"/>
        <v>1.3775047412552699E-3</v>
      </c>
      <c r="R110" s="12" t="str">
        <f ca="1">IFERROR(__xludf.DUMMYFUNCTION("""COMPUTED_VALUE"""),"Big Hero 6 ")</f>
        <v>Big Hero 6 </v>
      </c>
      <c r="S110" s="12">
        <f t="shared" si="11"/>
        <v>196386216</v>
      </c>
    </row>
    <row r="111" spans="1:19" x14ac:dyDescent="0.3">
      <c r="A111" s="2" t="s">
        <v>1659</v>
      </c>
      <c r="B111" s="2">
        <v>95</v>
      </c>
      <c r="C111" s="3">
        <v>234277056</v>
      </c>
      <c r="D111" s="3" t="s">
        <v>5801</v>
      </c>
      <c r="E111" s="2" t="s">
        <v>1744</v>
      </c>
      <c r="F111" s="2" t="s">
        <v>10</v>
      </c>
      <c r="G111" s="2" t="s">
        <v>11</v>
      </c>
      <c r="H111" s="2">
        <v>40000000</v>
      </c>
      <c r="I111" s="2">
        <v>5.8</v>
      </c>
      <c r="J111" s="2">
        <v>3300000</v>
      </c>
      <c r="K111">
        <f t="shared" si="10"/>
        <v>1.3775047412552699E-3</v>
      </c>
      <c r="R111" s="12" t="str">
        <f ca="1">IFERROR(__xludf.DUMMYFUNCTION("""COMPUTED_VALUE"""),"Wreck-It Ralph ")</f>
        <v>Wreck-It Ralph </v>
      </c>
      <c r="S111" s="12">
        <f t="shared" si="11"/>
        <v>252150375</v>
      </c>
    </row>
    <row r="112" spans="1:19" x14ac:dyDescent="0.3">
      <c r="A112" s="2" t="s">
        <v>2499</v>
      </c>
      <c r="B112" s="2">
        <v>95</v>
      </c>
      <c r="C112" s="3">
        <v>233914986</v>
      </c>
      <c r="D112" s="3" t="s">
        <v>5758</v>
      </c>
      <c r="E112" s="2" t="s">
        <v>2500</v>
      </c>
      <c r="F112" s="2" t="s">
        <v>10</v>
      </c>
      <c r="G112" s="2" t="s">
        <v>11</v>
      </c>
      <c r="H112" s="2">
        <v>25530000</v>
      </c>
      <c r="I112" s="2">
        <v>5.2</v>
      </c>
      <c r="J112" s="2">
        <v>3300000</v>
      </c>
      <c r="K112">
        <f t="shared" si="10"/>
        <v>1.3775047412552699E-3</v>
      </c>
      <c r="R112" s="12" t="str">
        <f ca="1">IFERROR(__xludf.DUMMYFUNCTION("""COMPUTED_VALUE"""),"The Polar Express ")</f>
        <v>The Polar Express </v>
      </c>
      <c r="S112" s="12">
        <f t="shared" si="11"/>
        <v>195108370</v>
      </c>
    </row>
    <row r="113" spans="1:19" x14ac:dyDescent="0.3">
      <c r="A113" s="2" t="s">
        <v>69</v>
      </c>
      <c r="B113" s="2">
        <v>125</v>
      </c>
      <c r="C113" s="3">
        <v>233630478</v>
      </c>
      <c r="D113" s="3" t="s">
        <v>5758</v>
      </c>
      <c r="E113" s="2" t="s">
        <v>1056</v>
      </c>
      <c r="F113" s="2" t="s">
        <v>10</v>
      </c>
      <c r="G113" s="2" t="s">
        <v>11</v>
      </c>
      <c r="H113" s="2">
        <v>60000000</v>
      </c>
      <c r="I113" s="2">
        <v>6.7</v>
      </c>
      <c r="J113" s="2">
        <v>3300000</v>
      </c>
      <c r="K113">
        <f t="shared" si="10"/>
        <v>1.3775047412552699E-3</v>
      </c>
      <c r="R113" s="12" t="str">
        <f ca="1">IFERROR(__xludf.DUMMYFUNCTION("""COMPUTED_VALUE"""),"Independence Day: Resurgence ")</f>
        <v>Independence Day: Resurgence </v>
      </c>
      <c r="S113" s="12">
        <f t="shared" si="11"/>
        <v>184455986</v>
      </c>
    </row>
    <row r="114" spans="1:19" x14ac:dyDescent="0.3">
      <c r="A114" s="2" t="s">
        <v>1906</v>
      </c>
      <c r="B114" s="2">
        <v>98</v>
      </c>
      <c r="C114" s="3">
        <v>229074524</v>
      </c>
      <c r="D114" s="3" t="s">
        <v>5802</v>
      </c>
      <c r="E114" s="2" t="s">
        <v>4916</v>
      </c>
      <c r="F114" s="2" t="s">
        <v>10</v>
      </c>
      <c r="G114" s="2" t="s">
        <v>11</v>
      </c>
      <c r="H114" s="2">
        <v>3000000</v>
      </c>
      <c r="I114" s="2">
        <v>5.0999999999999996</v>
      </c>
      <c r="J114" s="2">
        <v>3300000</v>
      </c>
      <c r="K114">
        <f t="shared" si="10"/>
        <v>1.3775047412552699E-3</v>
      </c>
      <c r="R114" s="12" t="str">
        <f ca="1">IFERROR(__xludf.DUMMYFUNCTION("""COMPUTED_VALUE"""),"How to Train Your Dragon ")</f>
        <v>How to Train Your Dragon </v>
      </c>
      <c r="S114" s="12">
        <f t="shared" si="11"/>
        <v>161501645</v>
      </c>
    </row>
    <row r="115" spans="1:19" x14ac:dyDescent="0.3">
      <c r="A115" s="2" t="s">
        <v>191</v>
      </c>
      <c r="B115" s="2">
        <v>126</v>
      </c>
      <c r="C115" s="3">
        <v>228756232</v>
      </c>
      <c r="D115" s="3" t="s">
        <v>5803</v>
      </c>
      <c r="E115" s="2" t="s">
        <v>192</v>
      </c>
      <c r="F115" s="2" t="s">
        <v>10</v>
      </c>
      <c r="G115" s="2" t="s">
        <v>11</v>
      </c>
      <c r="H115" s="2">
        <v>155000000</v>
      </c>
      <c r="I115" s="2">
        <v>6.6</v>
      </c>
      <c r="J115" s="2">
        <v>3300000</v>
      </c>
      <c r="K115">
        <f t="shared" si="10"/>
        <v>1.3775047412552699E-3</v>
      </c>
      <c r="R115" s="12" t="str">
        <f ca="1">IFERROR(__xludf.DUMMYFUNCTION("""COMPUTED_VALUE"""),"Terminator 3: Rise of the Machines ")</f>
        <v>Terminator 3: Rise of the Machines </v>
      </c>
      <c r="S115" s="12">
        <f t="shared" si="11"/>
        <v>101188924</v>
      </c>
    </row>
    <row r="116" spans="1:19" x14ac:dyDescent="0.3">
      <c r="A116" s="2" t="s">
        <v>96</v>
      </c>
      <c r="B116" s="2">
        <v>143</v>
      </c>
      <c r="C116" s="3">
        <v>228430993</v>
      </c>
      <c r="D116" s="3" t="s">
        <v>5804</v>
      </c>
      <c r="E116" s="2" t="s">
        <v>97</v>
      </c>
      <c r="F116" s="2" t="s">
        <v>10</v>
      </c>
      <c r="G116" s="2" t="s">
        <v>98</v>
      </c>
      <c r="H116" s="2">
        <v>105000000</v>
      </c>
      <c r="I116" s="2">
        <v>7.3</v>
      </c>
      <c r="J116" s="2">
        <v>3300000</v>
      </c>
      <c r="K116">
        <f t="shared" si="10"/>
        <v>1.3775047412552699E-3</v>
      </c>
      <c r="R116" s="12" t="str">
        <f ca="1">IFERROR(__xludf.DUMMYFUNCTION("""COMPUTED_VALUE"""),"Guardians of the Galaxy ")</f>
        <v>Guardians of the Galaxy </v>
      </c>
      <c r="S116" s="12">
        <f t="shared" si="11"/>
        <v>220863268</v>
      </c>
    </row>
    <row r="117" spans="1:19" x14ac:dyDescent="0.3">
      <c r="A117" s="2" t="s">
        <v>1764</v>
      </c>
      <c r="B117" s="2">
        <v>93</v>
      </c>
      <c r="C117" s="3">
        <v>227965690</v>
      </c>
      <c r="D117" s="3" t="s">
        <v>5805</v>
      </c>
      <c r="E117" s="2" t="s">
        <v>1819</v>
      </c>
      <c r="F117" s="2" t="s">
        <v>10</v>
      </c>
      <c r="G117" s="2" t="s">
        <v>16</v>
      </c>
      <c r="H117" s="2">
        <v>40000000</v>
      </c>
      <c r="I117" s="2">
        <v>4.5</v>
      </c>
      <c r="J117" s="2">
        <v>3300000</v>
      </c>
      <c r="K117">
        <f t="shared" si="10"/>
        <v>1.3775047412552699E-3</v>
      </c>
      <c r="R117" s="12" t="str">
        <f ca="1">IFERROR(__xludf.DUMMYFUNCTION("""COMPUTED_VALUE"""),"Interstellar ")</f>
        <v>Interstellar </v>
      </c>
      <c r="S117" s="12">
        <f t="shared" si="11"/>
        <v>227147615</v>
      </c>
    </row>
    <row r="118" spans="1:19" x14ac:dyDescent="0.3">
      <c r="A118" s="2" t="s">
        <v>38</v>
      </c>
      <c r="B118" s="2">
        <v>93</v>
      </c>
      <c r="C118" s="3">
        <v>227946274</v>
      </c>
      <c r="D118" s="3" t="s">
        <v>5759</v>
      </c>
      <c r="E118" s="2" t="s">
        <v>855</v>
      </c>
      <c r="F118" s="2" t="s">
        <v>10</v>
      </c>
      <c r="G118" s="2" t="s">
        <v>11</v>
      </c>
      <c r="H118" s="2">
        <v>150000000</v>
      </c>
      <c r="I118" s="2">
        <v>7.2</v>
      </c>
      <c r="J118" s="2">
        <v>3300000</v>
      </c>
      <c r="K118">
        <f t="shared" si="10"/>
        <v>1.3775047412552699E-3</v>
      </c>
      <c r="R118" s="12" t="str">
        <f ca="1">IFERROR(__xludf.DUMMYFUNCTION("""COMPUTED_VALUE"""),"Inception ")</f>
        <v>Inception </v>
      </c>
      <c r="S118" s="12">
        <f t="shared" si="11"/>
        <v>229358727</v>
      </c>
    </row>
    <row r="119" spans="1:19" x14ac:dyDescent="0.3">
      <c r="A119" s="2" t="s">
        <v>3069</v>
      </c>
      <c r="B119" s="2">
        <v>118</v>
      </c>
      <c r="C119" s="3">
        <v>227137090</v>
      </c>
      <c r="D119" s="3" t="s">
        <v>5806</v>
      </c>
      <c r="E119" s="2" t="s">
        <v>3070</v>
      </c>
      <c r="F119" s="2" t="s">
        <v>10</v>
      </c>
      <c r="G119" s="2" t="s">
        <v>11</v>
      </c>
      <c r="H119" s="2">
        <v>20000000</v>
      </c>
      <c r="I119" s="2">
        <v>7</v>
      </c>
      <c r="J119" s="2">
        <v>3300000</v>
      </c>
      <c r="K119">
        <f t="shared" si="10"/>
        <v>1.3775047412552699E-3</v>
      </c>
      <c r="R119" s="12" t="str">
        <f ca="1">IFERROR(__xludf.DUMMYFUNCTION("""COMPUTED_VALUE"""),"The Hobbit: An Unexpected Journey ")</f>
        <v>The Hobbit: An Unexpected Journey </v>
      </c>
      <c r="S119" s="12">
        <f t="shared" si="11"/>
        <v>221823397</v>
      </c>
    </row>
    <row r="120" spans="1:19" x14ac:dyDescent="0.3">
      <c r="A120" s="2" t="s">
        <v>3545</v>
      </c>
      <c r="B120" s="2">
        <v>111</v>
      </c>
      <c r="C120" s="3">
        <v>226138454</v>
      </c>
      <c r="D120" s="3" t="s">
        <v>5804</v>
      </c>
      <c r="E120" s="2" t="s">
        <v>3546</v>
      </c>
      <c r="F120" s="2" t="s">
        <v>10</v>
      </c>
      <c r="G120" s="2" t="s">
        <v>932</v>
      </c>
      <c r="H120" s="2">
        <v>15000000</v>
      </c>
      <c r="I120" s="2">
        <v>6.7</v>
      </c>
      <c r="J120" s="2">
        <v>3300000</v>
      </c>
      <c r="K120">
        <f t="shared" si="10"/>
        <v>1.3775047412552699E-3</v>
      </c>
      <c r="R120" s="12" t="str">
        <f ca="1">IFERROR(__xludf.DUMMYFUNCTION("""COMPUTED_VALUE"""),"The Fast and the Furious ")</f>
        <v>The Fast and the Furious </v>
      </c>
      <c r="S120" s="12">
        <f t="shared" si="11"/>
        <v>177428137</v>
      </c>
    </row>
    <row r="121" spans="1:19" x14ac:dyDescent="0.3">
      <c r="A121" s="2" t="s">
        <v>930</v>
      </c>
      <c r="B121" s="2">
        <v>101</v>
      </c>
      <c r="C121" s="3">
        <v>223806889</v>
      </c>
      <c r="D121" s="3" t="s">
        <v>5770</v>
      </c>
      <c r="E121" s="2" t="s">
        <v>3235</v>
      </c>
      <c r="F121" s="2" t="s">
        <v>10</v>
      </c>
      <c r="G121" s="2" t="s">
        <v>11</v>
      </c>
      <c r="H121" s="2">
        <v>17000000</v>
      </c>
      <c r="I121" s="2">
        <v>7.6</v>
      </c>
      <c r="J121" s="2">
        <v>3300000</v>
      </c>
      <c r="K121">
        <f t="shared" si="10"/>
        <v>1.3775047412552699E-3</v>
      </c>
      <c r="R121" s="12" t="str">
        <f ca="1">IFERROR(__xludf.DUMMYFUNCTION("""COMPUTED_VALUE"""),"The Curious Case of Benjamin Button ")</f>
        <v>The Curious Case of Benjamin Button </v>
      </c>
      <c r="S121" s="12">
        <f t="shared" si="11"/>
        <v>230052771</v>
      </c>
    </row>
    <row r="122" spans="1:19" x14ac:dyDescent="0.3">
      <c r="A122" s="2" t="s">
        <v>1997</v>
      </c>
      <c r="B122" s="2">
        <v>112</v>
      </c>
      <c r="C122" s="3">
        <v>222487711</v>
      </c>
      <c r="D122" s="3" t="s">
        <v>5795</v>
      </c>
      <c r="E122" s="2" t="s">
        <v>1998</v>
      </c>
      <c r="F122" s="2" t="s">
        <v>10</v>
      </c>
      <c r="G122" s="2" t="s">
        <v>11</v>
      </c>
      <c r="H122" s="2">
        <v>35000000</v>
      </c>
      <c r="I122" s="2">
        <v>6.2</v>
      </c>
      <c r="J122" s="2">
        <v>3300000</v>
      </c>
      <c r="K122">
        <f t="shared" si="10"/>
        <v>1.3775047412552699E-3</v>
      </c>
      <c r="R122" s="12" t="str">
        <f ca="1">IFERROR(__xludf.DUMMYFUNCTION("""COMPUTED_VALUE"""),"X-Men: First Class ")</f>
        <v>X-Men: First Class </v>
      </c>
      <c r="S122" s="12">
        <f t="shared" si="11"/>
        <v>220589580</v>
      </c>
    </row>
    <row r="123" spans="1:19" x14ac:dyDescent="0.3">
      <c r="A123" s="2" t="s">
        <v>231</v>
      </c>
      <c r="B123" s="2">
        <v>130</v>
      </c>
      <c r="C123" s="3">
        <v>219613391</v>
      </c>
      <c r="D123" s="3" t="s">
        <v>5807</v>
      </c>
      <c r="E123" s="2" t="s">
        <v>1065</v>
      </c>
      <c r="F123" s="2" t="s">
        <v>10</v>
      </c>
      <c r="G123" s="2" t="s">
        <v>11</v>
      </c>
      <c r="H123" s="2">
        <v>60000000</v>
      </c>
      <c r="I123" s="2">
        <v>7</v>
      </c>
      <c r="J123" s="2">
        <v>3300000</v>
      </c>
      <c r="K123">
        <f t="shared" si="10"/>
        <v>1.3775047412552699E-3</v>
      </c>
      <c r="R123" s="12" t="str">
        <f ca="1">IFERROR(__xludf.DUMMYFUNCTION("""COMPUTED_VALUE"""),"The Hunger Games: Mockingjay - Part 2 ")</f>
        <v>The Hunger Games: Mockingjay - Part 2 </v>
      </c>
      <c r="S123" s="12">
        <f t="shared" si="11"/>
        <v>-232170223</v>
      </c>
    </row>
    <row r="124" spans="1:19" x14ac:dyDescent="0.3">
      <c r="A124" s="2" t="s">
        <v>2116</v>
      </c>
      <c r="B124" s="2">
        <v>92</v>
      </c>
      <c r="C124" s="3">
        <v>219200000</v>
      </c>
      <c r="D124" s="3" t="s">
        <v>5795</v>
      </c>
      <c r="E124" s="2" t="s">
        <v>2918</v>
      </c>
      <c r="F124" s="2" t="s">
        <v>10</v>
      </c>
      <c r="G124" s="2" t="s">
        <v>11</v>
      </c>
      <c r="H124" s="2">
        <v>11000000</v>
      </c>
      <c r="I124" s="2">
        <v>4.8</v>
      </c>
      <c r="J124" s="2">
        <v>3300000</v>
      </c>
      <c r="K124">
        <f t="shared" si="10"/>
        <v>1.3775047412552699E-3</v>
      </c>
      <c r="R124" s="12" t="str">
        <f ca="1">IFERROR(__xludf.DUMMYFUNCTION("""COMPUTED_VALUE"""),"The Sorcerer's Apprentice ")</f>
        <v>The Sorcerer's Apprentice </v>
      </c>
      <c r="S124" s="12">
        <f t="shared" si="11"/>
        <v>141688385</v>
      </c>
    </row>
    <row r="125" spans="1:19" x14ac:dyDescent="0.3">
      <c r="A125" s="2" t="s">
        <v>3923</v>
      </c>
      <c r="B125" s="2">
        <v>86</v>
      </c>
      <c r="C125" s="3">
        <v>218628680</v>
      </c>
      <c r="D125" s="3" t="s">
        <v>5752</v>
      </c>
      <c r="E125" s="2" t="s">
        <v>3924</v>
      </c>
      <c r="F125" s="2" t="s">
        <v>10</v>
      </c>
      <c r="G125" s="2" t="s">
        <v>71</v>
      </c>
      <c r="H125" s="2">
        <v>11000000</v>
      </c>
      <c r="I125" s="2">
        <v>5.3</v>
      </c>
      <c r="J125" s="2">
        <v>3300000</v>
      </c>
      <c r="K125">
        <f t="shared" si="10"/>
        <v>1.3775047412552699E-3</v>
      </c>
      <c r="R125" s="12" t="str">
        <f ca="1">IFERROR(__xludf.DUMMYFUNCTION("""COMPUTED_VALUE"""),"Poseidon ")</f>
        <v>Poseidon </v>
      </c>
      <c r="S125" s="12">
        <f t="shared" si="11"/>
        <v>237437427</v>
      </c>
    </row>
    <row r="126" spans="1:19" x14ac:dyDescent="0.3">
      <c r="A126" s="2" t="s">
        <v>1369</v>
      </c>
      <c r="B126" s="2">
        <v>124</v>
      </c>
      <c r="C126" s="3">
        <v>218051260</v>
      </c>
      <c r="D126" s="3" t="s">
        <v>5768</v>
      </c>
      <c r="E126" s="2" t="s">
        <v>1370</v>
      </c>
      <c r="F126" s="2" t="s">
        <v>10</v>
      </c>
      <c r="G126" s="2" t="s">
        <v>11</v>
      </c>
      <c r="H126" s="2">
        <v>50000000</v>
      </c>
      <c r="I126" s="2">
        <v>6.7</v>
      </c>
      <c r="J126" s="2">
        <v>3300000</v>
      </c>
      <c r="K126">
        <f t="shared" si="10"/>
        <v>1.3775047412552699E-3</v>
      </c>
      <c r="R126" s="12" t="str">
        <f ca="1">IFERROR(__xludf.DUMMYFUNCTION("""COMPUTED_VALUE"""),"Alice Through the Looking Glass ")</f>
        <v>Alice Through the Looking Glass </v>
      </c>
      <c r="S126" s="12">
        <f t="shared" si="11"/>
        <v>211407328</v>
      </c>
    </row>
    <row r="127" spans="1:19" x14ac:dyDescent="0.3">
      <c r="A127" s="2" t="s">
        <v>25</v>
      </c>
      <c r="B127" s="2">
        <v>119</v>
      </c>
      <c r="C127" s="3">
        <v>217631306</v>
      </c>
      <c r="D127" s="3" t="s">
        <v>5808</v>
      </c>
      <c r="E127" s="2" t="s">
        <v>1848</v>
      </c>
      <c r="F127" s="2" t="s">
        <v>10</v>
      </c>
      <c r="G127" s="2" t="s">
        <v>11</v>
      </c>
      <c r="H127" s="2">
        <v>40000000</v>
      </c>
      <c r="I127" s="2">
        <v>8</v>
      </c>
      <c r="J127" s="2">
        <v>3300000</v>
      </c>
      <c r="K127">
        <f t="shared" si="10"/>
        <v>1.3775047412552699E-3</v>
      </c>
      <c r="R127" s="12" t="str">
        <f ca="1">IFERROR(__xludf.DUMMYFUNCTION("""COMPUTED_VALUE"""),"Shrek the Third ")</f>
        <v>Shrek the Third </v>
      </c>
      <c r="S127" s="12">
        <f t="shared" si="11"/>
        <v>166063875</v>
      </c>
    </row>
    <row r="128" spans="1:19" x14ac:dyDescent="0.3">
      <c r="A128" s="2" t="s">
        <v>57</v>
      </c>
      <c r="B128" s="2">
        <v>86</v>
      </c>
      <c r="C128" s="3">
        <v>217536138</v>
      </c>
      <c r="D128" s="3" t="s">
        <v>5752</v>
      </c>
      <c r="E128" s="2" t="s">
        <v>3865</v>
      </c>
      <c r="F128" s="2" t="s">
        <v>10</v>
      </c>
      <c r="G128" s="2" t="s">
        <v>11</v>
      </c>
      <c r="H128" s="2">
        <v>12000000</v>
      </c>
      <c r="I128" s="2">
        <v>6.4</v>
      </c>
      <c r="J128" s="2">
        <v>3300000</v>
      </c>
      <c r="K128">
        <f t="shared" si="10"/>
        <v>1.3775047412552699E-3</v>
      </c>
      <c r="R128" s="12" t="str">
        <f ca="1">IFERROR(__xludf.DUMMYFUNCTION("""COMPUTED_VALUE"""),"Warcraft ")</f>
        <v>Warcraft </v>
      </c>
      <c r="S128" s="12">
        <f t="shared" si="11"/>
        <v>230371987</v>
      </c>
    </row>
    <row r="129" spans="1:19" x14ac:dyDescent="0.3">
      <c r="A129" s="2" t="s">
        <v>321</v>
      </c>
      <c r="B129" s="2">
        <v>142</v>
      </c>
      <c r="C129" s="3">
        <v>217387997</v>
      </c>
      <c r="D129" s="3" t="s">
        <v>5809</v>
      </c>
      <c r="E129" s="2" t="s">
        <v>322</v>
      </c>
      <c r="F129" s="2" t="s">
        <v>10</v>
      </c>
      <c r="G129" s="2" t="s">
        <v>16</v>
      </c>
      <c r="H129" s="2">
        <v>130000000</v>
      </c>
      <c r="I129" s="2">
        <v>7.8</v>
      </c>
      <c r="J129" s="2">
        <v>3300000</v>
      </c>
      <c r="K129">
        <f t="shared" si="10"/>
        <v>1.3775047412552699E-3</v>
      </c>
      <c r="R129" s="12" t="str">
        <f ca="1">IFERROR(__xludf.DUMMYFUNCTION("""COMPUTED_VALUE"""),"Terminator Genisys ")</f>
        <v>Terminator Genisys </v>
      </c>
      <c r="S129" s="12">
        <f t="shared" si="11"/>
        <v>197282182</v>
      </c>
    </row>
    <row r="130" spans="1:19" x14ac:dyDescent="0.3">
      <c r="A130" s="2" t="s">
        <v>248</v>
      </c>
      <c r="B130" s="2">
        <v>117</v>
      </c>
      <c r="C130" s="3">
        <v>217350219</v>
      </c>
      <c r="D130" s="3" t="s">
        <v>5810</v>
      </c>
      <c r="E130" s="2" t="s">
        <v>1132</v>
      </c>
      <c r="F130" s="2" t="s">
        <v>10</v>
      </c>
      <c r="G130" s="2" t="s">
        <v>16</v>
      </c>
      <c r="H130" s="2">
        <v>60000000</v>
      </c>
      <c r="I130" s="2">
        <v>6.7</v>
      </c>
      <c r="J130" s="2">
        <v>3300000</v>
      </c>
      <c r="K130">
        <f t="shared" ref="K130:K193" si="12">CORREL(H$2:H$3941,J$2:J$3941)</f>
        <v>1.3775047412552699E-3</v>
      </c>
      <c r="R130" s="12" t="str">
        <f ca="1">IFERROR(__xludf.DUMMYFUNCTION("""COMPUTED_VALUE"""),"The Chronicles of Narnia: The Voyage of the Dawn Treader ")</f>
        <v>The Chronicles of Narnia: The Voyage of the Dawn Treader </v>
      </c>
      <c r="S130" s="12">
        <f t="shared" si="11"/>
        <v>220903076</v>
      </c>
    </row>
    <row r="131" spans="1:19" x14ac:dyDescent="0.3">
      <c r="A131" s="2" t="s">
        <v>1070</v>
      </c>
      <c r="B131" s="2">
        <v>89</v>
      </c>
      <c r="C131" s="3">
        <v>217326336</v>
      </c>
      <c r="D131" s="3" t="s">
        <v>5752</v>
      </c>
      <c r="E131" s="2" t="s">
        <v>1071</v>
      </c>
      <c r="F131" s="2" t="s">
        <v>10</v>
      </c>
      <c r="G131" s="2" t="s">
        <v>11</v>
      </c>
      <c r="H131" s="2">
        <v>60000000</v>
      </c>
      <c r="I131" s="2">
        <v>4.4000000000000004</v>
      </c>
      <c r="J131" s="2">
        <v>3300000</v>
      </c>
      <c r="K131">
        <f t="shared" si="12"/>
        <v>1.3775047412552699E-3</v>
      </c>
      <c r="R131" s="12" t="str">
        <f ca="1">IFERROR(__xludf.DUMMYFUNCTION("""COMPUTED_VALUE"""),"Pearl Harbor ")</f>
        <v>Pearl Harbor </v>
      </c>
      <c r="S131" s="12">
        <f t="shared" si="11"/>
        <v>79760500</v>
      </c>
    </row>
    <row r="132" spans="1:19" x14ac:dyDescent="0.3">
      <c r="A132" s="2" t="s">
        <v>894</v>
      </c>
      <c r="B132" s="2">
        <v>113</v>
      </c>
      <c r="C132" s="3">
        <v>216366733</v>
      </c>
      <c r="D132" s="3" t="s">
        <v>5811</v>
      </c>
      <c r="E132" s="2" t="s">
        <v>895</v>
      </c>
      <c r="F132" s="2" t="s">
        <v>10</v>
      </c>
      <c r="G132" s="2" t="s">
        <v>16</v>
      </c>
      <c r="H132" s="2">
        <v>60000000</v>
      </c>
      <c r="I132" s="2">
        <v>5.2</v>
      </c>
      <c r="J132" s="2">
        <v>3300000</v>
      </c>
      <c r="K132">
        <f t="shared" si="12"/>
        <v>1.3775047412552699E-3</v>
      </c>
      <c r="R132" s="12" t="str">
        <f ca="1">IFERROR(__xludf.DUMMYFUNCTION("""COMPUTED_VALUE"""),"Transformers ")</f>
        <v>Transformers </v>
      </c>
      <c r="S132" s="12">
        <f t="shared" si="11"/>
        <v>232360014</v>
      </c>
    </row>
    <row r="133" spans="1:19" x14ac:dyDescent="0.3">
      <c r="A133" s="2" t="s">
        <v>965</v>
      </c>
      <c r="B133" s="2">
        <v>131</v>
      </c>
      <c r="C133" s="3">
        <v>216119491</v>
      </c>
      <c r="D133" s="3" t="s">
        <v>5753</v>
      </c>
      <c r="E133" s="2" t="s">
        <v>3578</v>
      </c>
      <c r="F133" s="2" t="s">
        <v>10</v>
      </c>
      <c r="G133" s="2" t="s">
        <v>11</v>
      </c>
      <c r="H133" s="2">
        <v>14400000</v>
      </c>
      <c r="I133" s="2">
        <v>8.3000000000000007</v>
      </c>
      <c r="J133" s="2">
        <v>3300000</v>
      </c>
      <c r="K133">
        <f t="shared" si="12"/>
        <v>1.3775047412552699E-3</v>
      </c>
      <c r="R133" s="12" t="str">
        <f ca="1">IFERROR(__xludf.DUMMYFUNCTION("""COMPUTED_VALUE"""),"Alexander ")</f>
        <v>Alexander </v>
      </c>
      <c r="S133" s="12">
        <f t="shared" si="11"/>
        <v>194277056</v>
      </c>
    </row>
    <row r="134" spans="1:19" x14ac:dyDescent="0.3">
      <c r="A134" s="2" t="s">
        <v>3847</v>
      </c>
      <c r="B134" s="2">
        <v>101</v>
      </c>
      <c r="C134" s="3">
        <v>215397307</v>
      </c>
      <c r="D134" s="3" t="s">
        <v>5812</v>
      </c>
      <c r="E134" s="2" t="s">
        <v>3848</v>
      </c>
      <c r="F134" s="2" t="s">
        <v>10</v>
      </c>
      <c r="G134" s="2" t="s">
        <v>1474</v>
      </c>
      <c r="H134" s="2">
        <v>12000000</v>
      </c>
      <c r="I134" s="2">
        <v>7.1</v>
      </c>
      <c r="J134" s="2">
        <v>3300000</v>
      </c>
      <c r="K134">
        <f t="shared" si="12"/>
        <v>1.3775047412552699E-3</v>
      </c>
      <c r="R134" s="12" t="str">
        <f ca="1">IFERROR(__xludf.DUMMYFUNCTION("""COMPUTED_VALUE"""),"Harry Potter and the Order of the Phoenix ")</f>
        <v>Harry Potter and the Order of the Phoenix </v>
      </c>
      <c r="S134" s="12">
        <f t="shared" si="11"/>
        <v>208384986</v>
      </c>
    </row>
    <row r="135" spans="1:19" x14ac:dyDescent="0.3">
      <c r="A135" s="2" t="s">
        <v>4283</v>
      </c>
      <c r="B135" s="2">
        <v>101</v>
      </c>
      <c r="C135" s="3">
        <v>215395021</v>
      </c>
      <c r="D135" s="3" t="s">
        <v>5779</v>
      </c>
      <c r="E135" s="2" t="s">
        <v>4284</v>
      </c>
      <c r="F135" s="2" t="s">
        <v>10</v>
      </c>
      <c r="G135" s="2" t="s">
        <v>11</v>
      </c>
      <c r="H135" s="2">
        <v>8000000</v>
      </c>
      <c r="I135" s="2">
        <v>7.2</v>
      </c>
      <c r="J135" s="2">
        <v>3300000</v>
      </c>
      <c r="K135">
        <f t="shared" si="12"/>
        <v>1.3775047412552699E-3</v>
      </c>
      <c r="R135" s="12" t="str">
        <f ca="1">IFERROR(__xludf.DUMMYFUNCTION("""COMPUTED_VALUE"""),"Harry Potter and the Goblet of Fire ")</f>
        <v>Harry Potter and the Goblet of Fire </v>
      </c>
      <c r="S135" s="12">
        <f t="shared" si="11"/>
        <v>173630478</v>
      </c>
    </row>
    <row r="136" spans="1:19" x14ac:dyDescent="0.3">
      <c r="A136" s="2" t="s">
        <v>802</v>
      </c>
      <c r="B136" s="2">
        <v>119</v>
      </c>
      <c r="C136" s="3">
        <v>214948780</v>
      </c>
      <c r="D136" s="3" t="s">
        <v>5806</v>
      </c>
      <c r="E136" s="2" t="s">
        <v>875</v>
      </c>
      <c r="F136" s="2" t="s">
        <v>10</v>
      </c>
      <c r="G136" s="2" t="s">
        <v>11</v>
      </c>
      <c r="H136" s="2">
        <v>70000000</v>
      </c>
      <c r="I136" s="2">
        <v>6.5</v>
      </c>
      <c r="J136" s="2">
        <v>3300000</v>
      </c>
      <c r="K136">
        <f t="shared" si="12"/>
        <v>1.3775047412552699E-3</v>
      </c>
      <c r="R136" s="12" t="str">
        <f ca="1">IFERROR(__xludf.DUMMYFUNCTION("""COMPUTED_VALUE"""),"Hancock ")</f>
        <v>Hancock </v>
      </c>
      <c r="S136" s="12">
        <f t="shared" si="11"/>
        <v>226074524</v>
      </c>
    </row>
    <row r="137" spans="1:19" x14ac:dyDescent="0.3">
      <c r="A137" s="2" t="s">
        <v>3692</v>
      </c>
      <c r="B137" s="2">
        <v>94</v>
      </c>
      <c r="C137" s="3">
        <v>213079163</v>
      </c>
      <c r="D137" s="3" t="s">
        <v>5761</v>
      </c>
      <c r="E137" s="2" t="s">
        <v>3929</v>
      </c>
      <c r="F137" s="2" t="s">
        <v>10</v>
      </c>
      <c r="G137" s="2" t="s">
        <v>16</v>
      </c>
      <c r="H137" s="2">
        <v>11000000</v>
      </c>
      <c r="I137" s="2">
        <v>5.4</v>
      </c>
      <c r="J137" s="2">
        <v>3300000</v>
      </c>
      <c r="K137">
        <f t="shared" si="12"/>
        <v>1.3775047412552699E-3</v>
      </c>
      <c r="R137" s="12" t="str">
        <f ca="1">IFERROR(__xludf.DUMMYFUNCTION("""COMPUTED_VALUE"""),"I Am Legend ")</f>
        <v>I Am Legend </v>
      </c>
      <c r="S137" s="12">
        <f t="shared" si="11"/>
        <v>73756232</v>
      </c>
    </row>
    <row r="138" spans="1:19" x14ac:dyDescent="0.3">
      <c r="A138" s="2" t="s">
        <v>522</v>
      </c>
      <c r="B138" s="2">
        <v>126</v>
      </c>
      <c r="C138" s="3">
        <v>210609762</v>
      </c>
      <c r="D138" s="3" t="s">
        <v>5753</v>
      </c>
      <c r="E138" s="2" t="s">
        <v>523</v>
      </c>
      <c r="F138" s="2" t="s">
        <v>10</v>
      </c>
      <c r="G138" s="2" t="s">
        <v>504</v>
      </c>
      <c r="H138" s="2">
        <v>93000000</v>
      </c>
      <c r="I138" s="2">
        <v>7.7</v>
      </c>
      <c r="J138" s="2">
        <v>3300000</v>
      </c>
      <c r="K138">
        <f t="shared" si="12"/>
        <v>1.3775047412552699E-3</v>
      </c>
      <c r="R138" s="12" t="str">
        <f ca="1">IFERROR(__xludf.DUMMYFUNCTION("""COMPUTED_VALUE"""),"Charlie and the Chocolate Factory ")</f>
        <v>Charlie and the Chocolate Factory </v>
      </c>
      <c r="S138" s="12">
        <f t="shared" si="11"/>
        <v>123430993</v>
      </c>
    </row>
    <row r="139" spans="1:19" x14ac:dyDescent="0.3">
      <c r="A139" s="2" t="s">
        <v>3085</v>
      </c>
      <c r="B139" s="2">
        <v>100</v>
      </c>
      <c r="C139" s="3">
        <v>210592590</v>
      </c>
      <c r="D139" s="3" t="s">
        <v>5813</v>
      </c>
      <c r="E139" s="2" t="s">
        <v>3086</v>
      </c>
      <c r="F139" s="2" t="s">
        <v>10</v>
      </c>
      <c r="G139" s="2" t="s">
        <v>11</v>
      </c>
      <c r="H139" s="2">
        <v>22000000</v>
      </c>
      <c r="I139" s="2">
        <v>5.5</v>
      </c>
      <c r="J139" s="2">
        <v>3300000</v>
      </c>
      <c r="K139">
        <f t="shared" si="12"/>
        <v>1.3775047412552699E-3</v>
      </c>
      <c r="R139" s="12" t="str">
        <f ca="1">IFERROR(__xludf.DUMMYFUNCTION("""COMPUTED_VALUE"""),"Ratatouille ")</f>
        <v>Ratatouille </v>
      </c>
      <c r="S139" s="12">
        <f t="shared" si="11"/>
        <v>187965690</v>
      </c>
    </row>
    <row r="140" spans="1:19" x14ac:dyDescent="0.3">
      <c r="A140" s="2" t="s">
        <v>802</v>
      </c>
      <c r="B140" s="2">
        <v>124</v>
      </c>
      <c r="C140" s="3">
        <v>209805005</v>
      </c>
      <c r="D140" s="3" t="s">
        <v>5780</v>
      </c>
      <c r="E140" s="2" t="s">
        <v>1102</v>
      </c>
      <c r="F140" s="2" t="s">
        <v>10</v>
      </c>
      <c r="G140" s="2" t="s">
        <v>11</v>
      </c>
      <c r="H140" s="2">
        <v>61000000</v>
      </c>
      <c r="I140" s="2">
        <v>7.2</v>
      </c>
      <c r="J140" s="2">
        <v>3300000</v>
      </c>
      <c r="K140">
        <f t="shared" si="12"/>
        <v>1.3775047412552699E-3</v>
      </c>
      <c r="R140" s="12" t="str">
        <f ca="1">IFERROR(__xludf.DUMMYFUNCTION("""COMPUTED_VALUE"""),"Batman Begins ")</f>
        <v>Batman Begins </v>
      </c>
      <c r="S140" s="12">
        <f t="shared" si="11"/>
        <v>77946274</v>
      </c>
    </row>
    <row r="141" spans="1:19" x14ac:dyDescent="0.3">
      <c r="A141" s="2" t="s">
        <v>1356</v>
      </c>
      <c r="B141" s="2">
        <v>98</v>
      </c>
      <c r="C141" s="3">
        <v>209364921</v>
      </c>
      <c r="D141" s="3" t="s">
        <v>5779</v>
      </c>
      <c r="E141" s="2" t="s">
        <v>1357</v>
      </c>
      <c r="F141" s="2" t="s">
        <v>10</v>
      </c>
      <c r="G141" s="2" t="s">
        <v>11</v>
      </c>
      <c r="H141" s="2">
        <v>65000000</v>
      </c>
      <c r="I141" s="2">
        <v>5.7</v>
      </c>
      <c r="J141" s="2">
        <v>3300000</v>
      </c>
      <c r="K141">
        <f t="shared" si="12"/>
        <v>1.3775047412552699E-3</v>
      </c>
      <c r="R141" s="12" t="str">
        <f ca="1">IFERROR(__xludf.DUMMYFUNCTION("""COMPUTED_VALUE"""),"Madagascar: Escape 2 Africa ")</f>
        <v>Madagascar: Escape 2 Africa </v>
      </c>
      <c r="S141" s="12">
        <f t="shared" si="11"/>
        <v>207137090</v>
      </c>
    </row>
    <row r="142" spans="1:19" x14ac:dyDescent="0.3">
      <c r="A142" s="2" t="s">
        <v>1502</v>
      </c>
      <c r="B142" s="2">
        <v>118</v>
      </c>
      <c r="C142" s="3">
        <v>209019489</v>
      </c>
      <c r="D142" s="3" t="s">
        <v>5765</v>
      </c>
      <c r="E142" s="2" t="s">
        <v>1712</v>
      </c>
      <c r="F142" s="2" t="s">
        <v>10</v>
      </c>
      <c r="G142" s="2" t="s">
        <v>11</v>
      </c>
      <c r="H142" s="2">
        <v>40000000</v>
      </c>
      <c r="I142" s="2">
        <v>7.3</v>
      </c>
      <c r="J142" s="2">
        <v>3300000</v>
      </c>
      <c r="K142">
        <f t="shared" si="12"/>
        <v>1.3775047412552699E-3</v>
      </c>
      <c r="R142" s="12" t="str">
        <f ca="1">IFERROR(__xludf.DUMMYFUNCTION("""COMPUTED_VALUE"""),"Night at the Museum: Battle of the Smithsonian ")</f>
        <v>Night at the Museum: Battle of the Smithsonian </v>
      </c>
      <c r="S142" s="12">
        <f t="shared" si="11"/>
        <v>211138454</v>
      </c>
    </row>
    <row r="143" spans="1:19" x14ac:dyDescent="0.3">
      <c r="A143" s="2" t="s">
        <v>2196</v>
      </c>
      <c r="B143" s="2">
        <v>115</v>
      </c>
      <c r="C143" s="3">
        <v>208543795</v>
      </c>
      <c r="D143" s="3" t="s">
        <v>5793</v>
      </c>
      <c r="E143" s="2" t="s">
        <v>2872</v>
      </c>
      <c r="F143" s="2" t="s">
        <v>10</v>
      </c>
      <c r="G143" s="2" t="s">
        <v>11</v>
      </c>
      <c r="H143" s="2">
        <v>20000000</v>
      </c>
      <c r="I143" s="2">
        <v>7.3</v>
      </c>
      <c r="J143" s="2">
        <v>3300000</v>
      </c>
      <c r="K143">
        <f t="shared" si="12"/>
        <v>1.3775047412552699E-3</v>
      </c>
      <c r="R143" s="12" t="str">
        <f ca="1">IFERROR(__xludf.DUMMYFUNCTION("""COMPUTED_VALUE"""),"X-Men Origins: Wolverine ")</f>
        <v>X-Men Origins: Wolverine </v>
      </c>
      <c r="S143" s="12">
        <f t="shared" si="11"/>
        <v>206806889</v>
      </c>
    </row>
    <row r="144" spans="1:19" x14ac:dyDescent="0.3">
      <c r="A144" s="2" t="s">
        <v>1410</v>
      </c>
      <c r="B144" s="2">
        <v>117</v>
      </c>
      <c r="C144" s="3">
        <v>206456431</v>
      </c>
      <c r="D144" s="3" t="s">
        <v>5814</v>
      </c>
      <c r="E144" s="2" t="s">
        <v>1411</v>
      </c>
      <c r="F144" s="2" t="s">
        <v>10</v>
      </c>
      <c r="G144" s="2" t="s">
        <v>11</v>
      </c>
      <c r="H144" s="2">
        <v>40000000</v>
      </c>
      <c r="I144" s="2">
        <v>4.3</v>
      </c>
      <c r="J144" s="2">
        <v>3300000</v>
      </c>
      <c r="K144">
        <f t="shared" si="12"/>
        <v>1.3775047412552699E-3</v>
      </c>
      <c r="R144" s="12" t="str">
        <f ca="1">IFERROR(__xludf.DUMMYFUNCTION("""COMPUTED_VALUE"""),"The Matrix Revolutions ")</f>
        <v>The Matrix Revolutions </v>
      </c>
      <c r="S144" s="12">
        <f t="shared" si="11"/>
        <v>187487711</v>
      </c>
    </row>
    <row r="145" spans="1:19" x14ac:dyDescent="0.3">
      <c r="A145" s="2" t="s">
        <v>1410</v>
      </c>
      <c r="B145" s="2">
        <v>95</v>
      </c>
      <c r="C145" s="3">
        <v>206435493</v>
      </c>
      <c r="D145" s="3" t="s">
        <v>5779</v>
      </c>
      <c r="E145" s="2" t="s">
        <v>1926</v>
      </c>
      <c r="F145" s="2" t="s">
        <v>10</v>
      </c>
      <c r="G145" s="2" t="s">
        <v>11</v>
      </c>
      <c r="H145" s="2">
        <v>36000000</v>
      </c>
      <c r="I145" s="2">
        <v>5.3</v>
      </c>
      <c r="J145" s="2">
        <v>3300000</v>
      </c>
      <c r="K145">
        <f t="shared" si="12"/>
        <v>1.3775047412552699E-3</v>
      </c>
      <c r="R145" s="12" t="str">
        <f ca="1">IFERROR(__xludf.DUMMYFUNCTION("""COMPUTED_VALUE"""),"Frozen ")</f>
        <v>Frozen </v>
      </c>
      <c r="S145" s="12">
        <f t="shared" si="11"/>
        <v>159613391</v>
      </c>
    </row>
    <row r="146" spans="1:19" x14ac:dyDescent="0.3">
      <c r="A146" s="2" t="s">
        <v>3120</v>
      </c>
      <c r="B146" s="2">
        <v>90</v>
      </c>
      <c r="C146" s="3">
        <v>206360018</v>
      </c>
      <c r="D146" s="3" t="s">
        <v>5753</v>
      </c>
      <c r="E146" s="2" t="s">
        <v>3121</v>
      </c>
      <c r="F146" s="2" t="s">
        <v>10</v>
      </c>
      <c r="G146" s="2" t="s">
        <v>11</v>
      </c>
      <c r="H146" s="2">
        <v>19000000</v>
      </c>
      <c r="I146" s="2">
        <v>6</v>
      </c>
      <c r="J146" s="2">
        <v>3300000</v>
      </c>
      <c r="K146">
        <f t="shared" si="12"/>
        <v>1.3775047412552699E-3</v>
      </c>
      <c r="R146" s="12" t="str">
        <f ca="1">IFERROR(__xludf.DUMMYFUNCTION("""COMPUTED_VALUE"""),"The Matrix Reloaded ")</f>
        <v>The Matrix Reloaded </v>
      </c>
      <c r="S146" s="12">
        <f t="shared" si="11"/>
        <v>208200000</v>
      </c>
    </row>
    <row r="147" spans="1:19" x14ac:dyDescent="0.3">
      <c r="A147" s="2" t="s">
        <v>3289</v>
      </c>
      <c r="B147" s="2">
        <v>109</v>
      </c>
      <c r="C147" s="3">
        <v>205399422</v>
      </c>
      <c r="D147" s="3" t="s">
        <v>5815</v>
      </c>
      <c r="E147" s="2" t="s">
        <v>3390</v>
      </c>
      <c r="F147" s="2" t="s">
        <v>10</v>
      </c>
      <c r="G147" s="2" t="s">
        <v>11</v>
      </c>
      <c r="H147" s="2">
        <v>10000000</v>
      </c>
      <c r="I147" s="2">
        <v>6.1</v>
      </c>
      <c r="J147" s="2">
        <v>3300000</v>
      </c>
      <c r="K147">
        <f t="shared" si="12"/>
        <v>1.3775047412552699E-3</v>
      </c>
      <c r="R147" s="12" t="str">
        <f ca="1">IFERROR(__xludf.DUMMYFUNCTION("""COMPUTED_VALUE"""),"Thor: The Dark World ")</f>
        <v>Thor: The Dark World </v>
      </c>
      <c r="S147" s="12">
        <f t="shared" si="11"/>
        <v>207628680</v>
      </c>
    </row>
    <row r="148" spans="1:19" x14ac:dyDescent="0.3">
      <c r="A148" s="2" t="s">
        <v>4299</v>
      </c>
      <c r="B148" s="2">
        <v>93</v>
      </c>
      <c r="C148" s="3">
        <v>205343774</v>
      </c>
      <c r="D148" s="3" t="s">
        <v>5768</v>
      </c>
      <c r="E148" s="2" t="s">
        <v>4300</v>
      </c>
      <c r="F148" s="2" t="s">
        <v>10</v>
      </c>
      <c r="G148" s="2" t="s">
        <v>71</v>
      </c>
      <c r="H148" s="2">
        <v>8000000</v>
      </c>
      <c r="I148" s="2">
        <v>6.8</v>
      </c>
      <c r="J148" s="2">
        <v>3300000</v>
      </c>
      <c r="K148">
        <f t="shared" si="12"/>
        <v>1.3775047412552699E-3</v>
      </c>
      <c r="R148" s="12" t="str">
        <f ca="1">IFERROR(__xludf.DUMMYFUNCTION("""COMPUTED_VALUE"""),"Mad Max: Fury Road ")</f>
        <v>Mad Max: Fury Road </v>
      </c>
      <c r="S148" s="12">
        <f t="shared" si="11"/>
        <v>168051260</v>
      </c>
    </row>
    <row r="149" spans="1:19" x14ac:dyDescent="0.3">
      <c r="A149" s="2" t="s">
        <v>2360</v>
      </c>
      <c r="B149" s="2">
        <v>100</v>
      </c>
      <c r="C149" s="3">
        <v>204843350</v>
      </c>
      <c r="D149" s="3" t="s">
        <v>5816</v>
      </c>
      <c r="E149" s="2" t="s">
        <v>2868</v>
      </c>
      <c r="F149" s="2" t="s">
        <v>10</v>
      </c>
      <c r="G149" s="2" t="s">
        <v>11</v>
      </c>
      <c r="H149" s="2">
        <v>20000000</v>
      </c>
      <c r="I149" s="2">
        <v>4.9000000000000004</v>
      </c>
      <c r="J149" s="2">
        <v>3300000</v>
      </c>
      <c r="K149">
        <f t="shared" si="12"/>
        <v>1.3775047412552699E-3</v>
      </c>
      <c r="R149" s="12" t="str">
        <f ca="1">IFERROR(__xludf.DUMMYFUNCTION("""COMPUTED_VALUE"""),"Angels &amp; Demons ")</f>
        <v>Angels &amp; Demons </v>
      </c>
      <c r="S149" s="12">
        <f t="shared" si="11"/>
        <v>177631306</v>
      </c>
    </row>
    <row r="150" spans="1:19" x14ac:dyDescent="0.3">
      <c r="A150" s="2" t="s">
        <v>412</v>
      </c>
      <c r="B150" s="2">
        <v>102</v>
      </c>
      <c r="C150" s="3">
        <v>204565000</v>
      </c>
      <c r="D150" s="3" t="s">
        <v>5817</v>
      </c>
      <c r="E150" s="2" t="s">
        <v>413</v>
      </c>
      <c r="F150" s="2" t="s">
        <v>10</v>
      </c>
      <c r="G150" s="2" t="s">
        <v>11</v>
      </c>
      <c r="H150" s="2">
        <v>110000000</v>
      </c>
      <c r="I150" s="2">
        <v>6.2</v>
      </c>
      <c r="J150" s="2">
        <v>3300000</v>
      </c>
      <c r="K150">
        <f t="shared" si="12"/>
        <v>1.3775047412552699E-3</v>
      </c>
      <c r="R150" s="12" t="str">
        <f ca="1">IFERROR(__xludf.DUMMYFUNCTION("""COMPUTED_VALUE"""),"Thor ")</f>
        <v>Thor </v>
      </c>
      <c r="S150" s="12">
        <f t="shared" si="11"/>
        <v>205536138</v>
      </c>
    </row>
    <row r="151" spans="1:19" x14ac:dyDescent="0.3">
      <c r="A151" s="2" t="s">
        <v>596</v>
      </c>
      <c r="B151" s="2">
        <v>111</v>
      </c>
      <c r="C151" s="3">
        <v>202853933</v>
      </c>
      <c r="D151" s="3" t="s">
        <v>5806</v>
      </c>
      <c r="E151" s="2" t="s">
        <v>597</v>
      </c>
      <c r="F151" s="2" t="s">
        <v>10</v>
      </c>
      <c r="G151" s="2" t="s">
        <v>11</v>
      </c>
      <c r="H151" s="2">
        <v>86000000</v>
      </c>
      <c r="I151" s="2">
        <v>6.1</v>
      </c>
      <c r="J151" s="2">
        <v>3300000</v>
      </c>
      <c r="K151">
        <f t="shared" si="12"/>
        <v>1.3775047412552699E-3</v>
      </c>
      <c r="R151" s="12" t="str">
        <f ca="1">IFERROR(__xludf.DUMMYFUNCTION("""COMPUTED_VALUE"""),"Bolt ")</f>
        <v>Bolt </v>
      </c>
      <c r="S151" s="12">
        <f t="shared" si="11"/>
        <v>87387997</v>
      </c>
    </row>
    <row r="152" spans="1:19" x14ac:dyDescent="0.3">
      <c r="A152" s="2" t="s">
        <v>3873</v>
      </c>
      <c r="B152" s="2">
        <v>110</v>
      </c>
      <c r="C152" s="3">
        <v>202351611</v>
      </c>
      <c r="D152" s="3" t="s">
        <v>5753</v>
      </c>
      <c r="E152" s="2" t="s">
        <v>3874</v>
      </c>
      <c r="F152" s="2" t="s">
        <v>10</v>
      </c>
      <c r="G152" s="2" t="s">
        <v>11</v>
      </c>
      <c r="H152" s="2">
        <v>12000000</v>
      </c>
      <c r="I152" s="2">
        <v>4.5999999999999996</v>
      </c>
      <c r="J152" s="2">
        <v>3300000</v>
      </c>
      <c r="K152">
        <f t="shared" si="12"/>
        <v>1.3775047412552699E-3</v>
      </c>
      <c r="R152" s="12" t="str">
        <f ca="1">IFERROR(__xludf.DUMMYFUNCTION("""COMPUTED_VALUE"""),"G-Force ")</f>
        <v>G-Force </v>
      </c>
      <c r="S152" s="12">
        <f t="shared" si="11"/>
        <v>157350219</v>
      </c>
    </row>
    <row r="153" spans="1:19" x14ac:dyDescent="0.3">
      <c r="A153" s="2" t="s">
        <v>3157</v>
      </c>
      <c r="B153" s="2">
        <v>96</v>
      </c>
      <c r="C153" s="3">
        <v>202007640</v>
      </c>
      <c r="D153" s="3" t="s">
        <v>5794</v>
      </c>
      <c r="E153" s="2" t="s">
        <v>4663</v>
      </c>
      <c r="F153" s="2" t="s">
        <v>10</v>
      </c>
      <c r="G153" s="2" t="s">
        <v>11</v>
      </c>
      <c r="H153" s="2">
        <v>5000000</v>
      </c>
      <c r="I153" s="2">
        <v>4.5</v>
      </c>
      <c r="J153" s="2">
        <v>3300000</v>
      </c>
      <c r="K153">
        <f t="shared" si="12"/>
        <v>1.3775047412552699E-3</v>
      </c>
      <c r="R153" s="12" t="str">
        <f ca="1">IFERROR(__xludf.DUMMYFUNCTION("""COMPUTED_VALUE"""),"Wrath of the Titans ")</f>
        <v>Wrath of the Titans </v>
      </c>
      <c r="S153" s="12">
        <f t="shared" ref="S153:S216" si="13">C131-H131</f>
        <v>157326336</v>
      </c>
    </row>
    <row r="154" spans="1:19" x14ac:dyDescent="0.3">
      <c r="A154" s="2" t="s">
        <v>894</v>
      </c>
      <c r="B154" s="2">
        <v>115</v>
      </c>
      <c r="C154" s="3">
        <v>201573391</v>
      </c>
      <c r="D154" s="3" t="s">
        <v>5818</v>
      </c>
      <c r="E154" s="2" t="s">
        <v>2534</v>
      </c>
      <c r="F154" s="2" t="s">
        <v>10</v>
      </c>
      <c r="G154" s="2" t="s">
        <v>11</v>
      </c>
      <c r="H154" s="2">
        <v>25000000</v>
      </c>
      <c r="I154" s="2">
        <v>6.1</v>
      </c>
      <c r="J154" s="2">
        <v>3300000</v>
      </c>
      <c r="K154">
        <f t="shared" si="12"/>
        <v>1.3775047412552699E-3</v>
      </c>
      <c r="R154" s="12" t="str">
        <f ca="1">IFERROR(__xludf.DUMMYFUNCTION("""COMPUTED_VALUE"""),"Dark Shadows ")</f>
        <v>Dark Shadows </v>
      </c>
      <c r="S154" s="12">
        <f t="shared" si="13"/>
        <v>156366733</v>
      </c>
    </row>
    <row r="155" spans="1:19" x14ac:dyDescent="0.3">
      <c r="A155" s="2" t="s">
        <v>3024</v>
      </c>
      <c r="B155" s="2">
        <v>88</v>
      </c>
      <c r="C155" s="3">
        <v>201148159</v>
      </c>
      <c r="D155" s="3" t="s">
        <v>5819</v>
      </c>
      <c r="E155" s="2" t="s">
        <v>3025</v>
      </c>
      <c r="F155" s="2" t="s">
        <v>10</v>
      </c>
      <c r="G155" s="2" t="s">
        <v>199</v>
      </c>
      <c r="H155" s="2">
        <v>20000000</v>
      </c>
      <c r="I155" s="2">
        <v>1.9</v>
      </c>
      <c r="J155" s="2">
        <v>3300000</v>
      </c>
      <c r="K155">
        <f t="shared" si="12"/>
        <v>1.3775047412552699E-3</v>
      </c>
      <c r="R155" s="12" t="str">
        <f ca="1">IFERROR(__xludf.DUMMYFUNCTION("""COMPUTED_VALUE"""),"Mission: Impossible - Rogue Nation ")</f>
        <v>Mission: Impossible - Rogue Nation </v>
      </c>
      <c r="S155" s="12">
        <f t="shared" si="13"/>
        <v>201719491</v>
      </c>
    </row>
    <row r="156" spans="1:19" x14ac:dyDescent="0.3">
      <c r="A156" s="2" t="s">
        <v>4946</v>
      </c>
      <c r="B156" s="2">
        <v>87</v>
      </c>
      <c r="C156" s="3">
        <v>59035104</v>
      </c>
      <c r="D156" s="3" t="s">
        <v>5820</v>
      </c>
      <c r="E156" s="2" t="s">
        <v>4947</v>
      </c>
      <c r="F156" s="2" t="s">
        <v>10</v>
      </c>
      <c r="G156" s="2" t="s">
        <v>11</v>
      </c>
      <c r="H156" s="2">
        <v>3500000</v>
      </c>
      <c r="I156" s="2">
        <v>5.4</v>
      </c>
      <c r="J156" s="2">
        <v>3300000</v>
      </c>
      <c r="K156">
        <f t="shared" si="12"/>
        <v>1.3775047412552699E-3</v>
      </c>
      <c r="R156" s="12" t="str">
        <f ca="1">IFERROR(__xludf.DUMMYFUNCTION("""COMPUTED_VALUE"""),"The Wolfman ")</f>
        <v>The Wolfman </v>
      </c>
      <c r="S156" s="12">
        <f t="shared" si="13"/>
        <v>203397307</v>
      </c>
    </row>
    <row r="157" spans="1:19" x14ac:dyDescent="0.3">
      <c r="A157" s="2" t="s">
        <v>298</v>
      </c>
      <c r="B157" s="2">
        <v>143</v>
      </c>
      <c r="C157" s="3">
        <v>137850096</v>
      </c>
      <c r="D157" s="3" t="s">
        <v>5755</v>
      </c>
      <c r="E157" s="2" t="s">
        <v>2913</v>
      </c>
      <c r="F157" s="2" t="s">
        <v>10</v>
      </c>
      <c r="G157" s="2" t="s">
        <v>504</v>
      </c>
      <c r="H157" s="2">
        <v>25000000</v>
      </c>
      <c r="I157" s="2">
        <v>7.5</v>
      </c>
      <c r="J157" s="2">
        <v>3300000</v>
      </c>
      <c r="K157">
        <f t="shared" si="12"/>
        <v>1.3775047412552699E-3</v>
      </c>
      <c r="R157" s="12" t="str">
        <f ca="1">IFERROR(__xludf.DUMMYFUNCTION("""COMPUTED_VALUE"""),"Bee Movie ")</f>
        <v>Bee Movie </v>
      </c>
      <c r="S157" s="12">
        <f t="shared" si="13"/>
        <v>207395021</v>
      </c>
    </row>
    <row r="158" spans="1:19" x14ac:dyDescent="0.3">
      <c r="A158" s="2" t="s">
        <v>691</v>
      </c>
      <c r="B158" s="2">
        <v>154</v>
      </c>
      <c r="C158" s="3">
        <v>137748063</v>
      </c>
      <c r="D158" s="3" t="s">
        <v>5769</v>
      </c>
      <c r="E158" s="2" t="s">
        <v>692</v>
      </c>
      <c r="F158" s="2" t="s">
        <v>10</v>
      </c>
      <c r="G158" s="2" t="s">
        <v>11</v>
      </c>
      <c r="H158" s="2">
        <v>79000000</v>
      </c>
      <c r="I158" s="2">
        <v>7.2</v>
      </c>
      <c r="J158" s="2">
        <v>3300000</v>
      </c>
      <c r="K158">
        <f t="shared" si="12"/>
        <v>1.3775047412552699E-3</v>
      </c>
      <c r="R158" s="12" t="str">
        <f ca="1">IFERROR(__xludf.DUMMYFUNCTION("""COMPUTED_VALUE"""),"Kung Fu Panda 2 ")</f>
        <v>Kung Fu Panda 2 </v>
      </c>
      <c r="S158" s="12">
        <f t="shared" si="13"/>
        <v>144948780</v>
      </c>
    </row>
    <row r="159" spans="1:19" x14ac:dyDescent="0.3">
      <c r="A159" s="2" t="s">
        <v>2360</v>
      </c>
      <c r="B159" s="2">
        <v>99</v>
      </c>
      <c r="C159" s="3">
        <v>180011740</v>
      </c>
      <c r="D159" s="3" t="s">
        <v>5821</v>
      </c>
      <c r="E159" s="2" t="s">
        <v>2361</v>
      </c>
      <c r="F159" s="2" t="s">
        <v>10</v>
      </c>
      <c r="G159" s="2" t="s">
        <v>11</v>
      </c>
      <c r="H159" s="2">
        <v>29000000</v>
      </c>
      <c r="I159" s="2">
        <v>5.3</v>
      </c>
      <c r="J159" s="2">
        <v>3300000</v>
      </c>
      <c r="K159">
        <f t="shared" si="12"/>
        <v>1.3775047412552699E-3</v>
      </c>
      <c r="R159" s="12" t="str">
        <f ca="1">IFERROR(__xludf.DUMMYFUNCTION("""COMPUTED_VALUE"""),"The Last Airbender ")</f>
        <v>The Last Airbender </v>
      </c>
      <c r="S159" s="12">
        <f t="shared" si="13"/>
        <v>202079163</v>
      </c>
    </row>
    <row r="160" spans="1:19" x14ac:dyDescent="0.3">
      <c r="A160" s="2" t="s">
        <v>2634</v>
      </c>
      <c r="B160" s="2">
        <v>81</v>
      </c>
      <c r="C160" s="3">
        <v>158115031</v>
      </c>
      <c r="D160" s="3" t="s">
        <v>5752</v>
      </c>
      <c r="E160" s="2" t="s">
        <v>3595</v>
      </c>
      <c r="F160" s="2" t="s">
        <v>10</v>
      </c>
      <c r="G160" s="2" t="s">
        <v>11</v>
      </c>
      <c r="H160" s="2">
        <v>14000000</v>
      </c>
      <c r="I160" s="2">
        <v>5</v>
      </c>
      <c r="J160" s="2">
        <v>3300000</v>
      </c>
      <c r="K160">
        <f t="shared" si="12"/>
        <v>1.3775047412552699E-3</v>
      </c>
      <c r="R160" s="12" t="str">
        <f ca="1">IFERROR(__xludf.DUMMYFUNCTION("""COMPUTED_VALUE"""),"Mission: Impossible III ")</f>
        <v>Mission: Impossible III </v>
      </c>
      <c r="S160" s="12">
        <f t="shared" si="13"/>
        <v>117609762</v>
      </c>
    </row>
    <row r="161" spans="1:19" x14ac:dyDescent="0.3">
      <c r="A161" s="2" t="s">
        <v>4070</v>
      </c>
      <c r="B161" s="2">
        <v>85</v>
      </c>
      <c r="C161" s="3">
        <v>124107476</v>
      </c>
      <c r="D161" s="3" t="s">
        <v>5768</v>
      </c>
      <c r="E161" s="2" t="s">
        <v>4071</v>
      </c>
      <c r="F161" s="2" t="s">
        <v>10</v>
      </c>
      <c r="G161" s="2" t="s">
        <v>11</v>
      </c>
      <c r="H161" s="2">
        <v>16000000</v>
      </c>
      <c r="I161" s="2">
        <v>4.0999999999999996</v>
      </c>
      <c r="J161" s="2">
        <v>3300000</v>
      </c>
      <c r="K161">
        <f t="shared" si="12"/>
        <v>1.3775047412552699E-3</v>
      </c>
      <c r="R161" s="12" t="str">
        <f ca="1">IFERROR(__xludf.DUMMYFUNCTION("""COMPUTED_VALUE"""),"White House Down ")</f>
        <v>White House Down </v>
      </c>
      <c r="S161" s="12">
        <f t="shared" si="13"/>
        <v>188592590</v>
      </c>
    </row>
    <row r="162" spans="1:19" x14ac:dyDescent="0.3">
      <c r="A162" s="2" t="s">
        <v>2288</v>
      </c>
      <c r="B162" s="2">
        <v>115</v>
      </c>
      <c r="C162" s="3">
        <v>148170000</v>
      </c>
      <c r="D162" s="3" t="s">
        <v>5822</v>
      </c>
      <c r="E162" s="2" t="s">
        <v>4084</v>
      </c>
      <c r="F162" s="2" t="s">
        <v>10</v>
      </c>
      <c r="G162" s="2" t="s">
        <v>199</v>
      </c>
      <c r="H162" s="2">
        <v>6500000</v>
      </c>
      <c r="I162" s="2">
        <v>7.9</v>
      </c>
      <c r="J162" s="2">
        <v>3300000</v>
      </c>
      <c r="K162">
        <f t="shared" si="12"/>
        <v>1.3775047412552699E-3</v>
      </c>
      <c r="R162" s="12" t="str">
        <f ca="1">IFERROR(__xludf.DUMMYFUNCTION("""COMPUTED_VALUE"""),"Mars Needs Moms ")</f>
        <v>Mars Needs Moms </v>
      </c>
      <c r="S162" s="12">
        <f t="shared" si="13"/>
        <v>148805005</v>
      </c>
    </row>
    <row r="163" spans="1:19" x14ac:dyDescent="0.3">
      <c r="A163" s="2" t="s">
        <v>5069</v>
      </c>
      <c r="B163" s="2">
        <v>129</v>
      </c>
      <c r="C163" s="3">
        <v>113745408</v>
      </c>
      <c r="D163" s="3" t="s">
        <v>5773</v>
      </c>
      <c r="E163" s="2" t="s">
        <v>5070</v>
      </c>
      <c r="F163" s="2" t="s">
        <v>10</v>
      </c>
      <c r="G163" s="2" t="s">
        <v>11</v>
      </c>
      <c r="H163" s="2">
        <v>2000000</v>
      </c>
      <c r="I163" s="2">
        <v>7</v>
      </c>
      <c r="J163" s="2">
        <v>3300000</v>
      </c>
      <c r="K163">
        <f t="shared" si="12"/>
        <v>1.3775047412552699E-3</v>
      </c>
      <c r="R163" s="12" t="str">
        <f ca="1">IFERROR(__xludf.DUMMYFUNCTION("""COMPUTED_VALUE"""),"Flushed Away ")</f>
        <v>Flushed Away </v>
      </c>
      <c r="S163" s="12">
        <f t="shared" si="13"/>
        <v>144364921</v>
      </c>
    </row>
    <row r="164" spans="1:19" x14ac:dyDescent="0.3">
      <c r="A164" s="2" t="s">
        <v>2066</v>
      </c>
      <c r="B164" s="2">
        <v>102</v>
      </c>
      <c r="C164" s="3">
        <v>171031347</v>
      </c>
      <c r="D164" s="3" t="s">
        <v>5795</v>
      </c>
      <c r="E164" s="2" t="s">
        <v>2067</v>
      </c>
      <c r="F164" s="2" t="s">
        <v>10</v>
      </c>
      <c r="G164" s="2" t="s">
        <v>11</v>
      </c>
      <c r="H164" s="2">
        <v>34000000</v>
      </c>
      <c r="I164" s="2">
        <v>5.2</v>
      </c>
      <c r="J164" s="2">
        <v>3300000</v>
      </c>
      <c r="K164">
        <f t="shared" si="12"/>
        <v>1.3775047412552699E-3</v>
      </c>
      <c r="R164" s="12" t="str">
        <f ca="1">IFERROR(__xludf.DUMMYFUNCTION("""COMPUTED_VALUE"""),"Pan ")</f>
        <v>Pan </v>
      </c>
      <c r="S164" s="12">
        <f t="shared" si="13"/>
        <v>169019489</v>
      </c>
    </row>
    <row r="165" spans="1:19" x14ac:dyDescent="0.3">
      <c r="A165" s="2" t="s">
        <v>894</v>
      </c>
      <c r="B165" s="2">
        <v>101</v>
      </c>
      <c r="C165" s="3">
        <v>118099659</v>
      </c>
      <c r="D165" s="3" t="s">
        <v>5768</v>
      </c>
      <c r="E165" s="2" t="s">
        <v>2081</v>
      </c>
      <c r="F165" s="2" t="s">
        <v>10</v>
      </c>
      <c r="G165" s="2" t="s">
        <v>11</v>
      </c>
      <c r="H165" s="2">
        <v>33000000</v>
      </c>
      <c r="I165" s="2">
        <v>5.5</v>
      </c>
      <c r="J165" s="2">
        <v>3300000</v>
      </c>
      <c r="K165">
        <f t="shared" si="12"/>
        <v>1.3775047412552699E-3</v>
      </c>
      <c r="R165" s="12" t="str">
        <f ca="1">IFERROR(__xludf.DUMMYFUNCTION("""COMPUTED_VALUE"""),"Mr. Peabody &amp; Sherman ")</f>
        <v>Mr. Peabody &amp; Sherman </v>
      </c>
      <c r="S165" s="12">
        <f t="shared" si="13"/>
        <v>188543795</v>
      </c>
    </row>
    <row r="166" spans="1:19" x14ac:dyDescent="0.3">
      <c r="A166" s="2" t="s">
        <v>516</v>
      </c>
      <c r="B166" s="2">
        <v>102</v>
      </c>
      <c r="C166" s="3">
        <v>37035515</v>
      </c>
      <c r="D166" s="3" t="s">
        <v>5823</v>
      </c>
      <c r="E166" s="2" t="s">
        <v>2253</v>
      </c>
      <c r="F166" s="2" t="s">
        <v>10</v>
      </c>
      <c r="G166" s="2" t="s">
        <v>11</v>
      </c>
      <c r="H166" s="2">
        <v>25000000</v>
      </c>
      <c r="I166" s="2">
        <v>6.9</v>
      </c>
      <c r="J166" s="2">
        <v>3300000</v>
      </c>
      <c r="K166">
        <f t="shared" si="12"/>
        <v>1.3775047412552699E-3</v>
      </c>
      <c r="R166" s="12" t="str">
        <f ca="1">IFERROR(__xludf.DUMMYFUNCTION("""COMPUTED_VALUE"""),"Troy ")</f>
        <v>Troy </v>
      </c>
      <c r="S166" s="12">
        <f t="shared" si="13"/>
        <v>166456431</v>
      </c>
    </row>
    <row r="167" spans="1:19" x14ac:dyDescent="0.3">
      <c r="A167" s="2" t="s">
        <v>666</v>
      </c>
      <c r="B167" s="2">
        <v>108</v>
      </c>
      <c r="C167" s="3">
        <v>107917283</v>
      </c>
      <c r="D167" s="3" t="s">
        <v>5824</v>
      </c>
      <c r="E167" s="2" t="s">
        <v>1930</v>
      </c>
      <c r="F167" s="2" t="s">
        <v>10</v>
      </c>
      <c r="G167" s="2" t="s">
        <v>11</v>
      </c>
      <c r="H167" s="2">
        <v>35000000</v>
      </c>
      <c r="I167" s="2">
        <v>7.8</v>
      </c>
      <c r="J167" s="2">
        <v>3300000</v>
      </c>
      <c r="K167">
        <f t="shared" si="12"/>
        <v>1.3775047412552699E-3</v>
      </c>
      <c r="R167" s="12" t="str">
        <f ca="1">IFERROR(__xludf.DUMMYFUNCTION("""COMPUTED_VALUE"""),"Madagascar 3: Europe's Most Wanted ")</f>
        <v>Madagascar 3: Europe's Most Wanted </v>
      </c>
      <c r="S167" s="12">
        <f t="shared" si="13"/>
        <v>170435493</v>
      </c>
    </row>
    <row r="168" spans="1:19" x14ac:dyDescent="0.3">
      <c r="A168" s="2" t="s">
        <v>1628</v>
      </c>
      <c r="B168" s="2">
        <v>117</v>
      </c>
      <c r="C168" s="3">
        <v>121463226</v>
      </c>
      <c r="D168" s="3" t="s">
        <v>5755</v>
      </c>
      <c r="E168" s="2" t="s">
        <v>2824</v>
      </c>
      <c r="F168" s="2" t="s">
        <v>10</v>
      </c>
      <c r="G168" s="2" t="s">
        <v>11</v>
      </c>
      <c r="H168" s="2">
        <v>21500000</v>
      </c>
      <c r="I168" s="2">
        <v>7.2</v>
      </c>
      <c r="J168" s="2">
        <v>3300000</v>
      </c>
      <c r="K168">
        <f t="shared" si="12"/>
        <v>1.3775047412552699E-3</v>
      </c>
      <c r="R168" s="12" t="str">
        <f ca="1">IFERROR(__xludf.DUMMYFUNCTION("""COMPUTED_VALUE"""),"Die Another Day ")</f>
        <v>Die Another Day </v>
      </c>
      <c r="S168" s="12">
        <f t="shared" si="13"/>
        <v>187360018</v>
      </c>
    </row>
    <row r="169" spans="1:19" x14ac:dyDescent="0.3">
      <c r="A169" s="2" t="s">
        <v>1067</v>
      </c>
      <c r="B169" s="2">
        <v>112</v>
      </c>
      <c r="C169" s="3">
        <v>56667870</v>
      </c>
      <c r="D169" s="3" t="s">
        <v>5753</v>
      </c>
      <c r="E169" s="2" t="s">
        <v>3891</v>
      </c>
      <c r="F169" s="2" t="s">
        <v>10</v>
      </c>
      <c r="G169" s="2" t="s">
        <v>11</v>
      </c>
      <c r="H169" s="2">
        <v>11000000</v>
      </c>
      <c r="I169" s="2">
        <v>4.5</v>
      </c>
      <c r="J169" s="2">
        <v>3300000</v>
      </c>
      <c r="K169">
        <f t="shared" si="12"/>
        <v>1.3775047412552699E-3</v>
      </c>
      <c r="R169" s="12" t="str">
        <f ca="1">IFERROR(__xludf.DUMMYFUNCTION("""COMPUTED_VALUE"""),"Ghostbusters ")</f>
        <v>Ghostbusters </v>
      </c>
      <c r="S169" s="12">
        <f t="shared" si="13"/>
        <v>195399422</v>
      </c>
    </row>
    <row r="170" spans="1:19" x14ac:dyDescent="0.3">
      <c r="A170" s="2" t="s">
        <v>1896</v>
      </c>
      <c r="B170" s="2">
        <v>104</v>
      </c>
      <c r="C170" s="3">
        <v>126805112</v>
      </c>
      <c r="D170" s="3" t="s">
        <v>5825</v>
      </c>
      <c r="E170" s="2" t="s">
        <v>3931</v>
      </c>
      <c r="F170" s="2" t="s">
        <v>10</v>
      </c>
      <c r="G170" s="2" t="s">
        <v>11</v>
      </c>
      <c r="H170" s="2">
        <v>11000000</v>
      </c>
      <c r="I170" s="2">
        <v>7.4</v>
      </c>
      <c r="J170" s="2">
        <v>3300000</v>
      </c>
      <c r="K170">
        <f t="shared" si="12"/>
        <v>1.3775047412552699E-3</v>
      </c>
      <c r="R170" s="12" t="str">
        <f ca="1">IFERROR(__xludf.DUMMYFUNCTION("""COMPUTED_VALUE"""),"Armageddon ")</f>
        <v>Armageddon </v>
      </c>
      <c r="S170" s="12">
        <f t="shared" si="13"/>
        <v>197343774</v>
      </c>
    </row>
    <row r="171" spans="1:19" x14ac:dyDescent="0.3">
      <c r="A171" s="2" t="s">
        <v>3717</v>
      </c>
      <c r="B171" s="2">
        <v>91</v>
      </c>
      <c r="C171" s="3">
        <v>90556401</v>
      </c>
      <c r="D171" s="3" t="s">
        <v>5826</v>
      </c>
      <c r="E171" s="2" t="s">
        <v>3718</v>
      </c>
      <c r="F171" s="2" t="s">
        <v>10</v>
      </c>
      <c r="G171" s="2" t="s">
        <v>11</v>
      </c>
      <c r="H171" s="2">
        <v>13000000</v>
      </c>
      <c r="I171" s="2">
        <v>5.9</v>
      </c>
      <c r="J171" s="2">
        <v>3300000</v>
      </c>
      <c r="K171">
        <f t="shared" si="12"/>
        <v>1.3775047412552699E-3</v>
      </c>
      <c r="R171" s="12" t="str">
        <f ca="1">IFERROR(__xludf.DUMMYFUNCTION("""COMPUTED_VALUE"""),"Men in Black II ")</f>
        <v>Men in Black II </v>
      </c>
      <c r="S171" s="12">
        <f t="shared" si="13"/>
        <v>184843350</v>
      </c>
    </row>
    <row r="172" spans="1:19" x14ac:dyDescent="0.3">
      <c r="A172" s="2" t="s">
        <v>5592</v>
      </c>
      <c r="B172" s="2">
        <v>94</v>
      </c>
      <c r="C172" s="3">
        <v>15281286</v>
      </c>
      <c r="D172" s="3" t="s">
        <v>5827</v>
      </c>
      <c r="E172" s="2" t="s">
        <v>5593</v>
      </c>
      <c r="F172" s="2" t="s">
        <v>10</v>
      </c>
      <c r="G172" s="2" t="s">
        <v>11</v>
      </c>
      <c r="H172" s="2">
        <v>250000</v>
      </c>
      <c r="I172" s="2">
        <v>6.5</v>
      </c>
      <c r="J172" s="2">
        <v>3300000</v>
      </c>
      <c r="K172">
        <f t="shared" si="12"/>
        <v>1.3775047412552699E-3</v>
      </c>
      <c r="R172" s="12" t="str">
        <f ca="1">IFERROR(__xludf.DUMMYFUNCTION("""COMPUTED_VALUE"""),"Beowulf ")</f>
        <v>Beowulf </v>
      </c>
      <c r="S172" s="12">
        <f t="shared" si="13"/>
        <v>94565000</v>
      </c>
    </row>
    <row r="173" spans="1:19" x14ac:dyDescent="0.3">
      <c r="A173" s="2" t="s">
        <v>4377</v>
      </c>
      <c r="B173" s="2">
        <v>100</v>
      </c>
      <c r="C173" s="3">
        <v>200074175</v>
      </c>
      <c r="D173" s="3" t="s">
        <v>5755</v>
      </c>
      <c r="E173" s="2" t="s">
        <v>4378</v>
      </c>
      <c r="F173" s="2" t="s">
        <v>10</v>
      </c>
      <c r="G173" s="2" t="s">
        <v>11</v>
      </c>
      <c r="H173" s="2">
        <v>7500000</v>
      </c>
      <c r="I173" s="2">
        <v>7.1</v>
      </c>
      <c r="J173" s="2">
        <v>3300000</v>
      </c>
      <c r="K173">
        <f t="shared" si="12"/>
        <v>1.3775047412552699E-3</v>
      </c>
      <c r="R173" s="12" t="str">
        <f ca="1">IFERROR(__xludf.DUMMYFUNCTION("""COMPUTED_VALUE"""),"Kung Fu Panda 3 ")</f>
        <v>Kung Fu Panda 3 </v>
      </c>
      <c r="S173" s="12">
        <f t="shared" si="13"/>
        <v>116853933</v>
      </c>
    </row>
    <row r="174" spans="1:19" x14ac:dyDescent="0.3">
      <c r="A174" s="2" t="s">
        <v>50</v>
      </c>
      <c r="B174" s="2">
        <v>125</v>
      </c>
      <c r="C174" s="3">
        <v>25625110</v>
      </c>
      <c r="D174" s="3" t="s">
        <v>5765</v>
      </c>
      <c r="E174" s="2" t="s">
        <v>1380</v>
      </c>
      <c r="F174" s="2" t="s">
        <v>10</v>
      </c>
      <c r="G174" s="2" t="s">
        <v>11</v>
      </c>
      <c r="H174" s="2">
        <v>50000000</v>
      </c>
      <c r="I174" s="2">
        <v>5.8</v>
      </c>
      <c r="J174" s="2">
        <v>3300000</v>
      </c>
      <c r="K174">
        <f t="shared" si="12"/>
        <v>1.3775047412552699E-3</v>
      </c>
      <c r="R174" s="12" t="str">
        <f ca="1">IFERROR(__xludf.DUMMYFUNCTION("""COMPUTED_VALUE"""),"Mission: Impossible - Ghost Protocol ")</f>
        <v>Mission: Impossible - Ghost Protocol </v>
      </c>
      <c r="S174" s="12">
        <f t="shared" si="13"/>
        <v>190351611</v>
      </c>
    </row>
    <row r="175" spans="1:19" x14ac:dyDescent="0.3">
      <c r="A175" s="2" t="s">
        <v>53</v>
      </c>
      <c r="B175" s="2">
        <v>98</v>
      </c>
      <c r="C175" s="3">
        <v>183132370</v>
      </c>
      <c r="D175" s="3" t="s">
        <v>5828</v>
      </c>
      <c r="E175" s="2" t="s">
        <v>4099</v>
      </c>
      <c r="F175" s="2" t="s">
        <v>10</v>
      </c>
      <c r="G175" s="2" t="s">
        <v>11</v>
      </c>
      <c r="H175" s="2">
        <v>10000000</v>
      </c>
      <c r="I175" s="2">
        <v>7.2</v>
      </c>
      <c r="J175" s="2">
        <v>3300000</v>
      </c>
      <c r="K175">
        <f t="shared" si="12"/>
        <v>1.3775047412552699E-3</v>
      </c>
      <c r="R175" s="12" t="str">
        <f ca="1">IFERROR(__xludf.DUMMYFUNCTION("""COMPUTED_VALUE"""),"Rise of the Guardians ")</f>
        <v>Rise of the Guardians </v>
      </c>
      <c r="S175" s="12">
        <f t="shared" si="13"/>
        <v>197007640</v>
      </c>
    </row>
    <row r="176" spans="1:19" x14ac:dyDescent="0.3">
      <c r="A176" s="2" t="s">
        <v>50</v>
      </c>
      <c r="B176" s="2">
        <v>124</v>
      </c>
      <c r="C176" s="3">
        <v>113709992</v>
      </c>
      <c r="D176" s="3" t="s">
        <v>5772</v>
      </c>
      <c r="E176" s="2" t="s">
        <v>365</v>
      </c>
      <c r="F176" s="2" t="s">
        <v>10</v>
      </c>
      <c r="G176" s="2" t="s">
        <v>11</v>
      </c>
      <c r="H176" s="2">
        <v>130000000</v>
      </c>
      <c r="I176" s="2">
        <v>7</v>
      </c>
      <c r="J176" s="2">
        <v>3300000</v>
      </c>
      <c r="K176">
        <f t="shared" si="12"/>
        <v>1.3775047412552699E-3</v>
      </c>
      <c r="R176" s="12" t="str">
        <f ca="1">IFERROR(__xludf.DUMMYFUNCTION("""COMPUTED_VALUE"""),"Fun with Dick and Jane ")</f>
        <v>Fun with Dick and Jane </v>
      </c>
      <c r="S176" s="12">
        <f t="shared" si="13"/>
        <v>176573391</v>
      </c>
    </row>
    <row r="177" spans="1:19" x14ac:dyDescent="0.3">
      <c r="A177" s="2" t="s">
        <v>1096</v>
      </c>
      <c r="B177" s="2">
        <v>116</v>
      </c>
      <c r="C177" s="3">
        <v>101530738</v>
      </c>
      <c r="D177" s="3" t="s">
        <v>5829</v>
      </c>
      <c r="E177" s="2" t="s">
        <v>3892</v>
      </c>
      <c r="F177" s="2" t="s">
        <v>10</v>
      </c>
      <c r="G177" s="2" t="s">
        <v>11</v>
      </c>
      <c r="H177" s="2">
        <v>25000000</v>
      </c>
      <c r="I177" s="2">
        <v>7.9</v>
      </c>
      <c r="J177" s="2">
        <v>3300000</v>
      </c>
      <c r="K177">
        <f t="shared" si="12"/>
        <v>1.3775047412552699E-3</v>
      </c>
      <c r="R177" s="12" t="str">
        <f ca="1">IFERROR(__xludf.DUMMYFUNCTION("""COMPUTED_VALUE"""),"The Last Samurai ")</f>
        <v>The Last Samurai </v>
      </c>
      <c r="S177" s="12">
        <f t="shared" si="13"/>
        <v>181148159</v>
      </c>
    </row>
    <row r="178" spans="1:19" x14ac:dyDescent="0.3">
      <c r="A178" s="2" t="s">
        <v>2557</v>
      </c>
      <c r="B178" s="2">
        <v>85</v>
      </c>
      <c r="C178" s="3">
        <v>170708996</v>
      </c>
      <c r="D178" s="3" t="s">
        <v>5779</v>
      </c>
      <c r="E178" s="2" t="s">
        <v>2558</v>
      </c>
      <c r="F178" s="2" t="s">
        <v>10</v>
      </c>
      <c r="G178" s="2" t="s">
        <v>11</v>
      </c>
      <c r="H178" s="2">
        <v>25000000</v>
      </c>
      <c r="I178" s="2">
        <v>5.2</v>
      </c>
      <c r="J178" s="2">
        <v>3300000</v>
      </c>
      <c r="K178">
        <f t="shared" si="12"/>
        <v>1.3775047412552699E-3</v>
      </c>
      <c r="R178" s="12" t="str">
        <f ca="1">IFERROR(__xludf.DUMMYFUNCTION("""COMPUTED_VALUE"""),"Exodus: Gods and Kings ")</f>
        <v>Exodus: Gods and Kings </v>
      </c>
      <c r="S178" s="12">
        <f t="shared" si="13"/>
        <v>55535104</v>
      </c>
    </row>
    <row r="179" spans="1:19" x14ac:dyDescent="0.3">
      <c r="A179" s="2" t="s">
        <v>5311</v>
      </c>
      <c r="B179" s="2">
        <v>91</v>
      </c>
      <c r="C179" s="3">
        <v>56631572</v>
      </c>
      <c r="D179" s="3" t="s">
        <v>5830</v>
      </c>
      <c r="E179" s="2" t="s">
        <v>5312</v>
      </c>
      <c r="F179" s="2" t="s">
        <v>10</v>
      </c>
      <c r="G179" s="2" t="s">
        <v>11</v>
      </c>
      <c r="H179" s="2">
        <v>1000000</v>
      </c>
      <c r="I179" s="2">
        <v>7.4</v>
      </c>
      <c r="J179" s="2">
        <v>3300000</v>
      </c>
      <c r="K179">
        <f t="shared" si="12"/>
        <v>1.3775047412552699E-3</v>
      </c>
      <c r="R179" s="12" t="str">
        <f ca="1">IFERROR(__xludf.DUMMYFUNCTION("""COMPUTED_VALUE"""),"Star Trek ")</f>
        <v>Star Trek </v>
      </c>
      <c r="S179" s="12">
        <f t="shared" si="13"/>
        <v>112850096</v>
      </c>
    </row>
    <row r="180" spans="1:19" x14ac:dyDescent="0.3">
      <c r="A180" s="2" t="s">
        <v>1405</v>
      </c>
      <c r="B180" s="2">
        <v>120</v>
      </c>
      <c r="C180" s="3">
        <v>106126012</v>
      </c>
      <c r="D180" s="3" t="s">
        <v>5806</v>
      </c>
      <c r="E180" s="2" t="s">
        <v>3581</v>
      </c>
      <c r="F180" s="2" t="s">
        <v>10</v>
      </c>
      <c r="G180" s="2" t="s">
        <v>16</v>
      </c>
      <c r="H180" s="2">
        <v>15000000</v>
      </c>
      <c r="I180" s="2">
        <v>8</v>
      </c>
      <c r="J180" s="2">
        <v>3300000</v>
      </c>
      <c r="K180">
        <f t="shared" si="12"/>
        <v>1.3775047412552699E-3</v>
      </c>
      <c r="R180" s="12" t="str">
        <f ca="1">IFERROR(__xludf.DUMMYFUNCTION("""COMPUTED_VALUE"""),"Spider-Man ")</f>
        <v>Spider-Man </v>
      </c>
      <c r="S180" s="12">
        <f t="shared" si="13"/>
        <v>58748063</v>
      </c>
    </row>
    <row r="181" spans="1:19" x14ac:dyDescent="0.3">
      <c r="A181" s="2" t="s">
        <v>4666</v>
      </c>
      <c r="B181" s="2">
        <v>92</v>
      </c>
      <c r="C181" s="3">
        <v>183405771</v>
      </c>
      <c r="D181" s="3" t="s">
        <v>5784</v>
      </c>
      <c r="E181" s="2" t="s">
        <v>4667</v>
      </c>
      <c r="F181" s="2" t="s">
        <v>10</v>
      </c>
      <c r="G181" s="2" t="s">
        <v>11</v>
      </c>
      <c r="H181" s="2">
        <v>5000000</v>
      </c>
      <c r="I181" s="2">
        <v>6.9</v>
      </c>
      <c r="J181" s="2">
        <v>3300000</v>
      </c>
      <c r="K181">
        <f t="shared" si="12"/>
        <v>1.3775047412552699E-3</v>
      </c>
      <c r="R181" s="12" t="str">
        <f ca="1">IFERROR(__xludf.DUMMYFUNCTION("""COMPUTED_VALUE"""),"How to Train Your Dragon 2 ")</f>
        <v>How to Train Your Dragon 2 </v>
      </c>
      <c r="S181" s="12">
        <f t="shared" si="13"/>
        <v>151011740</v>
      </c>
    </row>
    <row r="182" spans="1:19" x14ac:dyDescent="0.3">
      <c r="A182" s="2" t="s">
        <v>5204</v>
      </c>
      <c r="B182" s="2">
        <v>87</v>
      </c>
      <c r="C182" s="3">
        <v>127083765</v>
      </c>
      <c r="D182" s="3" t="s">
        <v>5831</v>
      </c>
      <c r="E182" s="2" t="s">
        <v>5205</v>
      </c>
      <c r="F182" s="2" t="s">
        <v>10</v>
      </c>
      <c r="G182" s="2" t="s">
        <v>11</v>
      </c>
      <c r="H182" s="2">
        <v>1500000</v>
      </c>
      <c r="I182" s="2">
        <v>8.6</v>
      </c>
      <c r="J182" s="2">
        <v>3300000</v>
      </c>
      <c r="K182">
        <f t="shared" si="12"/>
        <v>1.3775047412552699E-3</v>
      </c>
      <c r="R182" s="12" t="str">
        <f ca="1">IFERROR(__xludf.DUMMYFUNCTION("""COMPUTED_VALUE"""),"Gods of Egypt ")</f>
        <v>Gods of Egypt </v>
      </c>
      <c r="S182" s="12">
        <f t="shared" si="13"/>
        <v>144115031</v>
      </c>
    </row>
    <row r="183" spans="1:19" x14ac:dyDescent="0.3">
      <c r="A183" s="2" t="s">
        <v>222</v>
      </c>
      <c r="B183" s="2">
        <v>137</v>
      </c>
      <c r="C183" s="3">
        <v>137387272</v>
      </c>
      <c r="D183" s="3" t="s">
        <v>5832</v>
      </c>
      <c r="E183" s="2" t="s">
        <v>4189</v>
      </c>
      <c r="F183" s="2" t="s">
        <v>10</v>
      </c>
      <c r="G183" s="2" t="s">
        <v>16</v>
      </c>
      <c r="H183" s="2">
        <v>9000000</v>
      </c>
      <c r="I183" s="2">
        <v>7.7</v>
      </c>
      <c r="J183" s="2">
        <v>3300000</v>
      </c>
      <c r="K183">
        <f t="shared" si="12"/>
        <v>1.3775047412552699E-3</v>
      </c>
      <c r="R183" s="12" t="str">
        <f ca="1">IFERROR(__xludf.DUMMYFUNCTION("""COMPUTED_VALUE"""),"Stealth ")</f>
        <v>Stealth </v>
      </c>
      <c r="S183" s="12">
        <f t="shared" si="13"/>
        <v>108107476</v>
      </c>
    </row>
    <row r="184" spans="1:19" x14ac:dyDescent="0.3">
      <c r="A184" s="2" t="s">
        <v>61</v>
      </c>
      <c r="B184" s="2">
        <v>124</v>
      </c>
      <c r="C184" s="3">
        <v>139225854</v>
      </c>
      <c r="D184" s="3" t="s">
        <v>5831</v>
      </c>
      <c r="E184" s="2" t="s">
        <v>62</v>
      </c>
      <c r="F184" s="2" t="s">
        <v>10</v>
      </c>
      <c r="G184" s="2" t="s">
        <v>11</v>
      </c>
      <c r="H184" s="2">
        <v>150000000</v>
      </c>
      <c r="I184" s="2">
        <v>7</v>
      </c>
      <c r="J184" s="2">
        <v>3300000</v>
      </c>
      <c r="K184">
        <f t="shared" si="12"/>
        <v>1.3775047412552699E-3</v>
      </c>
      <c r="R184" s="12" t="str">
        <f ca="1">IFERROR(__xludf.DUMMYFUNCTION("""COMPUTED_VALUE"""),"Watchmen ")</f>
        <v>Watchmen </v>
      </c>
      <c r="S184" s="12">
        <f t="shared" si="13"/>
        <v>141670000</v>
      </c>
    </row>
    <row r="185" spans="1:19" x14ac:dyDescent="0.3">
      <c r="A185" s="2" t="s">
        <v>74</v>
      </c>
      <c r="B185" s="2">
        <v>153</v>
      </c>
      <c r="C185" s="3">
        <v>94175854</v>
      </c>
      <c r="D185" s="3" t="s">
        <v>5776</v>
      </c>
      <c r="E185" s="2" t="s">
        <v>258</v>
      </c>
      <c r="F185" s="2" t="s">
        <v>10</v>
      </c>
      <c r="G185" s="2" t="s">
        <v>11</v>
      </c>
      <c r="H185" s="2">
        <v>140000000</v>
      </c>
      <c r="I185" s="2">
        <v>6.6</v>
      </c>
      <c r="J185" s="2">
        <v>3300000</v>
      </c>
      <c r="K185">
        <f t="shared" si="12"/>
        <v>1.3775047412552699E-3</v>
      </c>
      <c r="R185" s="12" t="str">
        <f ca="1">IFERROR(__xludf.DUMMYFUNCTION("""COMPUTED_VALUE"""),"Lethal Weapon 4 ")</f>
        <v>Lethal Weapon 4 </v>
      </c>
      <c r="S185" s="12">
        <f t="shared" si="13"/>
        <v>111745408</v>
      </c>
    </row>
    <row r="186" spans="1:19" x14ac:dyDescent="0.3">
      <c r="A186" s="2" t="s">
        <v>1420</v>
      </c>
      <c r="B186" s="2">
        <v>125</v>
      </c>
      <c r="C186" s="3">
        <v>126597121</v>
      </c>
      <c r="D186" s="3" t="s">
        <v>5821</v>
      </c>
      <c r="E186" s="2" t="s">
        <v>1421</v>
      </c>
      <c r="F186" s="2" t="s">
        <v>10</v>
      </c>
      <c r="G186" s="2" t="s">
        <v>11</v>
      </c>
      <c r="H186" s="2">
        <v>40000000</v>
      </c>
      <c r="I186" s="2">
        <v>5.9</v>
      </c>
      <c r="J186" s="2">
        <v>3300000</v>
      </c>
      <c r="K186">
        <f t="shared" si="12"/>
        <v>1.3775047412552699E-3</v>
      </c>
      <c r="R186" s="12" t="str">
        <f ca="1">IFERROR(__xludf.DUMMYFUNCTION("""COMPUTED_VALUE"""),"Hulk ")</f>
        <v>Hulk </v>
      </c>
      <c r="S186" s="12">
        <f t="shared" si="13"/>
        <v>137031347</v>
      </c>
    </row>
    <row r="187" spans="1:19" x14ac:dyDescent="0.3">
      <c r="A187" s="2" t="s">
        <v>691</v>
      </c>
      <c r="B187" s="2">
        <v>139</v>
      </c>
      <c r="C187" s="3">
        <v>113733726</v>
      </c>
      <c r="D187" s="3" t="s">
        <v>5833</v>
      </c>
      <c r="E187" s="2" t="s">
        <v>1685</v>
      </c>
      <c r="F187" s="2" t="s">
        <v>10</v>
      </c>
      <c r="G187" s="2" t="s">
        <v>11</v>
      </c>
      <c r="H187" s="2">
        <v>40000000</v>
      </c>
      <c r="I187" s="2">
        <v>7.3</v>
      </c>
      <c r="J187" s="2">
        <v>3300000</v>
      </c>
      <c r="K187">
        <f t="shared" si="12"/>
        <v>1.3775047412552699E-3</v>
      </c>
      <c r="R187" s="12" t="str">
        <f ca="1">IFERROR(__xludf.DUMMYFUNCTION("""COMPUTED_VALUE"""),"G.I. Joe: Retaliation ")</f>
        <v>G.I. Joe: Retaliation </v>
      </c>
      <c r="S187" s="12">
        <f t="shared" si="13"/>
        <v>85099659</v>
      </c>
    </row>
    <row r="188" spans="1:19" x14ac:dyDescent="0.3">
      <c r="A188" s="2" t="s">
        <v>981</v>
      </c>
      <c r="B188" s="2">
        <v>89</v>
      </c>
      <c r="C188" s="3">
        <v>68218041</v>
      </c>
      <c r="D188" s="3" t="s">
        <v>5820</v>
      </c>
      <c r="E188" s="2" t="s">
        <v>3310</v>
      </c>
      <c r="F188" s="2" t="s">
        <v>10</v>
      </c>
      <c r="G188" s="2" t="s">
        <v>11</v>
      </c>
      <c r="H188" s="2">
        <v>16000000</v>
      </c>
      <c r="I188" s="2">
        <v>4.8</v>
      </c>
      <c r="J188" s="2">
        <v>3300000</v>
      </c>
      <c r="K188">
        <f t="shared" si="12"/>
        <v>1.3775047412552699E-3</v>
      </c>
      <c r="R188" s="12" t="str">
        <f ca="1">IFERROR(__xludf.DUMMYFUNCTION("""COMPUTED_VALUE"""),"Sahara ")</f>
        <v>Sahara </v>
      </c>
      <c r="S188" s="12">
        <f t="shared" si="13"/>
        <v>12035515</v>
      </c>
    </row>
    <row r="189" spans="1:19" x14ac:dyDescent="0.3">
      <c r="A189" s="2" t="s">
        <v>1354</v>
      </c>
      <c r="B189" s="2">
        <v>106</v>
      </c>
      <c r="C189" s="3">
        <v>191796233</v>
      </c>
      <c r="D189" s="3" t="s">
        <v>5834</v>
      </c>
      <c r="E189" s="2" t="s">
        <v>1355</v>
      </c>
      <c r="F189" s="2" t="s">
        <v>10</v>
      </c>
      <c r="G189" s="2" t="s">
        <v>16</v>
      </c>
      <c r="H189" s="2">
        <v>50000000</v>
      </c>
      <c r="I189" s="2">
        <v>7</v>
      </c>
      <c r="J189" s="2">
        <v>3300000</v>
      </c>
      <c r="K189">
        <f t="shared" si="12"/>
        <v>1.3775047412552699E-3</v>
      </c>
      <c r="R189" s="12" t="str">
        <f ca="1">IFERROR(__xludf.DUMMYFUNCTION("""COMPUTED_VALUE"""),"Final Fantasy: The Spirits Within ")</f>
        <v>Final Fantasy: The Spirits Within </v>
      </c>
      <c r="S189" s="12">
        <f t="shared" si="13"/>
        <v>72917283</v>
      </c>
    </row>
    <row r="190" spans="1:19" x14ac:dyDescent="0.3">
      <c r="A190" s="2" t="s">
        <v>1063</v>
      </c>
      <c r="B190" s="2">
        <v>95</v>
      </c>
      <c r="C190" s="3">
        <v>83813460</v>
      </c>
      <c r="D190" s="3" t="s">
        <v>5758</v>
      </c>
      <c r="E190" s="2" t="s">
        <v>4359</v>
      </c>
      <c r="F190" s="2" t="s">
        <v>10</v>
      </c>
      <c r="G190" s="2" t="s">
        <v>11</v>
      </c>
      <c r="H190" s="2">
        <v>5000000</v>
      </c>
      <c r="I190" s="2">
        <v>7</v>
      </c>
      <c r="J190" s="2">
        <v>3300000</v>
      </c>
      <c r="K190">
        <f t="shared" si="12"/>
        <v>1.3775047412552699E-3</v>
      </c>
      <c r="R190" s="12" t="str">
        <f ca="1">IFERROR(__xludf.DUMMYFUNCTION("""COMPUTED_VALUE"""),"Captain America: The First Avenger ")</f>
        <v>Captain America: The First Avenger </v>
      </c>
      <c r="S190" s="12">
        <f t="shared" si="13"/>
        <v>99963226</v>
      </c>
    </row>
    <row r="191" spans="1:19" x14ac:dyDescent="0.3">
      <c r="A191" s="2" t="s">
        <v>5303</v>
      </c>
      <c r="B191" s="2">
        <v>109</v>
      </c>
      <c r="C191" s="3">
        <v>326308</v>
      </c>
      <c r="D191" s="3" t="s">
        <v>5835</v>
      </c>
      <c r="E191" s="2" t="s">
        <v>5304</v>
      </c>
      <c r="F191" s="2" t="s">
        <v>10</v>
      </c>
      <c r="G191" s="2" t="s">
        <v>11</v>
      </c>
      <c r="H191" s="2">
        <v>900000</v>
      </c>
      <c r="I191" s="2">
        <v>6.2</v>
      </c>
      <c r="J191" s="2">
        <v>3300000</v>
      </c>
      <c r="K191">
        <f t="shared" si="12"/>
        <v>1.3775047412552699E-3</v>
      </c>
      <c r="R191" s="12" t="str">
        <f ca="1">IFERROR(__xludf.DUMMYFUNCTION("""COMPUTED_VALUE"""),"The World Is Not Enough ")</f>
        <v>The World Is Not Enough </v>
      </c>
      <c r="S191" s="12">
        <f t="shared" si="13"/>
        <v>45667870</v>
      </c>
    </row>
    <row r="192" spans="1:19" x14ac:dyDescent="0.3">
      <c r="A192" s="2" t="s">
        <v>2097</v>
      </c>
      <c r="B192" s="2">
        <v>111</v>
      </c>
      <c r="C192" s="3">
        <v>161317423</v>
      </c>
      <c r="D192" s="3" t="s">
        <v>5755</v>
      </c>
      <c r="E192" s="2" t="s">
        <v>2898</v>
      </c>
      <c r="F192" s="2" t="s">
        <v>10</v>
      </c>
      <c r="G192" s="2" t="s">
        <v>11</v>
      </c>
      <c r="H192" s="2">
        <v>20000000</v>
      </c>
      <c r="I192" s="2">
        <v>6.8</v>
      </c>
      <c r="J192" s="2">
        <v>3300000</v>
      </c>
      <c r="K192">
        <f t="shared" si="12"/>
        <v>1.3775047412552699E-3</v>
      </c>
      <c r="R192" s="12" t="str">
        <f ca="1">IFERROR(__xludf.DUMMYFUNCTION("""COMPUTED_VALUE"""),"Master and Commander: The Far Side of the World ")</f>
        <v>Master and Commander: The Far Side of the World </v>
      </c>
      <c r="S192" s="12">
        <f t="shared" si="13"/>
        <v>115805112</v>
      </c>
    </row>
    <row r="193" spans="1:19" x14ac:dyDescent="0.3">
      <c r="A193" s="2" t="s">
        <v>619</v>
      </c>
      <c r="B193" s="2">
        <v>115</v>
      </c>
      <c r="C193" s="3">
        <v>136801374</v>
      </c>
      <c r="D193" s="3" t="s">
        <v>5836</v>
      </c>
      <c r="E193" s="2" t="s">
        <v>620</v>
      </c>
      <c r="F193" s="2" t="s">
        <v>10</v>
      </c>
      <c r="G193" s="2" t="s">
        <v>11</v>
      </c>
      <c r="H193" s="2">
        <v>85000000</v>
      </c>
      <c r="I193" s="2">
        <v>6.8</v>
      </c>
      <c r="J193" s="2">
        <v>3300000</v>
      </c>
      <c r="K193">
        <f t="shared" si="12"/>
        <v>1.3775047412552699E-3</v>
      </c>
      <c r="R193" s="12" t="str">
        <f ca="1">IFERROR(__xludf.DUMMYFUNCTION("""COMPUTED_VALUE"""),"The Twilight Saga: Breaking Dawn - Part 2 ")</f>
        <v>The Twilight Saga: Breaking Dawn - Part 2 </v>
      </c>
      <c r="S193" s="12">
        <f t="shared" si="13"/>
        <v>77556401</v>
      </c>
    </row>
    <row r="194" spans="1:19" x14ac:dyDescent="0.3">
      <c r="A194" s="2" t="s">
        <v>3497</v>
      </c>
      <c r="B194" s="2">
        <v>97</v>
      </c>
      <c r="C194" s="3">
        <v>144812796</v>
      </c>
      <c r="D194" s="3" t="s">
        <v>5804</v>
      </c>
      <c r="E194" s="2" t="s">
        <v>3498</v>
      </c>
      <c r="F194" s="2" t="s">
        <v>10</v>
      </c>
      <c r="G194" s="2" t="s">
        <v>11</v>
      </c>
      <c r="H194" s="2">
        <v>15000000</v>
      </c>
      <c r="I194" s="2">
        <v>5.6</v>
      </c>
      <c r="J194" s="2">
        <v>3300000</v>
      </c>
      <c r="K194">
        <f t="shared" ref="K194:K257" si="14">CORREL(H$2:H$3941,J$2:J$3941)</f>
        <v>1.3775047412552699E-3</v>
      </c>
      <c r="R194" s="12" t="str">
        <f ca="1">IFERROR(__xludf.DUMMYFUNCTION("""COMPUTED_VALUE"""),"Happy Feet 2 ")</f>
        <v>Happy Feet 2 </v>
      </c>
      <c r="S194" s="12">
        <f t="shared" si="13"/>
        <v>15031286</v>
      </c>
    </row>
    <row r="195" spans="1:19" x14ac:dyDescent="0.3">
      <c r="A195" s="2" t="s">
        <v>1117</v>
      </c>
      <c r="B195" s="2">
        <v>94</v>
      </c>
      <c r="C195" s="3">
        <v>67823573</v>
      </c>
      <c r="D195" s="3" t="s">
        <v>5837</v>
      </c>
      <c r="E195" s="2" t="s">
        <v>1118</v>
      </c>
      <c r="F195" s="2" t="s">
        <v>10</v>
      </c>
      <c r="G195" s="2" t="s">
        <v>11</v>
      </c>
      <c r="H195" s="2">
        <v>65000000</v>
      </c>
      <c r="I195" s="2">
        <v>4.9000000000000004</v>
      </c>
      <c r="J195" s="2">
        <v>3300000</v>
      </c>
      <c r="K195">
        <f t="shared" si="14"/>
        <v>1.3775047412552699E-3</v>
      </c>
      <c r="R195" s="12" t="str">
        <f ca="1">IFERROR(__xludf.DUMMYFUNCTION("""COMPUTED_VALUE"""),"The Incredible Hulk ")</f>
        <v>The Incredible Hulk </v>
      </c>
      <c r="S195" s="12">
        <f t="shared" si="13"/>
        <v>192574175</v>
      </c>
    </row>
    <row r="196" spans="1:19" x14ac:dyDescent="0.3">
      <c r="A196" s="2" t="s">
        <v>157</v>
      </c>
      <c r="B196" s="2">
        <v>130</v>
      </c>
      <c r="C196" s="3">
        <v>125305545</v>
      </c>
      <c r="D196" s="3" t="s">
        <v>5765</v>
      </c>
      <c r="E196" s="2" t="s">
        <v>158</v>
      </c>
      <c r="F196" s="2" t="s">
        <v>10</v>
      </c>
      <c r="G196" s="2" t="s">
        <v>11</v>
      </c>
      <c r="H196" s="2">
        <v>190000000</v>
      </c>
      <c r="I196" s="2">
        <v>6.5</v>
      </c>
      <c r="J196" s="2">
        <v>3300000</v>
      </c>
      <c r="K196">
        <f t="shared" si="14"/>
        <v>1.3775047412552699E-3</v>
      </c>
      <c r="R196" s="12" t="str">
        <f ca="1">IFERROR(__xludf.DUMMYFUNCTION("""COMPUTED_VALUE"""),"The BFG ")</f>
        <v>The BFG </v>
      </c>
      <c r="S196" s="12">
        <f t="shared" si="13"/>
        <v>-24374890</v>
      </c>
    </row>
    <row r="197" spans="1:19" x14ac:dyDescent="0.3">
      <c r="A197" s="2" t="s">
        <v>4186</v>
      </c>
      <c r="B197" s="2">
        <v>120</v>
      </c>
      <c r="C197" s="3">
        <v>162804648</v>
      </c>
      <c r="D197" s="3" t="s">
        <v>5838</v>
      </c>
      <c r="E197" s="2" t="s">
        <v>4187</v>
      </c>
      <c r="F197" s="2" t="s">
        <v>10</v>
      </c>
      <c r="G197" s="2" t="s">
        <v>11</v>
      </c>
      <c r="H197" s="2">
        <v>8000000</v>
      </c>
      <c r="I197" s="2">
        <v>7</v>
      </c>
      <c r="J197" s="2">
        <v>3300000</v>
      </c>
      <c r="K197">
        <f t="shared" si="14"/>
        <v>1.3775047412552699E-3</v>
      </c>
      <c r="R197" s="12" t="str">
        <f ca="1">IFERROR(__xludf.DUMMYFUNCTION("""COMPUTED_VALUE"""),"The Revenant ")</f>
        <v>The Revenant </v>
      </c>
      <c r="S197" s="12">
        <f t="shared" si="13"/>
        <v>173132370</v>
      </c>
    </row>
    <row r="198" spans="1:19" x14ac:dyDescent="0.3">
      <c r="A198" s="2" t="s">
        <v>5718</v>
      </c>
      <c r="B198" s="2">
        <v>88</v>
      </c>
      <c r="C198" s="3">
        <v>56702901</v>
      </c>
      <c r="D198" s="3" t="s">
        <v>5752</v>
      </c>
      <c r="E198" s="2" t="s">
        <v>5720</v>
      </c>
      <c r="F198" s="2" t="s">
        <v>10</v>
      </c>
      <c r="G198" s="2" t="s">
        <v>11</v>
      </c>
      <c r="H198" s="3">
        <v>474544677</v>
      </c>
      <c r="I198" s="2">
        <v>6.2</v>
      </c>
      <c r="J198" s="2">
        <v>3300000</v>
      </c>
      <c r="K198">
        <f t="shared" si="14"/>
        <v>1.3775047412552699E-3</v>
      </c>
      <c r="R198" s="12" t="str">
        <f ca="1">IFERROR(__xludf.DUMMYFUNCTION("""COMPUTED_VALUE"""),"Turbo ")</f>
        <v>Turbo </v>
      </c>
      <c r="S198" s="12">
        <f t="shared" si="13"/>
        <v>-16290008</v>
      </c>
    </row>
    <row r="199" spans="1:19" x14ac:dyDescent="0.3">
      <c r="A199" s="2" t="s">
        <v>1803</v>
      </c>
      <c r="B199" s="2">
        <v>103</v>
      </c>
      <c r="C199" s="3">
        <v>157299717</v>
      </c>
      <c r="D199" s="3" t="s">
        <v>5831</v>
      </c>
      <c r="E199" s="2" t="s">
        <v>1804</v>
      </c>
      <c r="F199" s="2" t="s">
        <v>10</v>
      </c>
      <c r="G199" s="2" t="s">
        <v>16</v>
      </c>
      <c r="H199" s="2">
        <v>60000000</v>
      </c>
      <c r="I199" s="2">
        <v>6.2</v>
      </c>
      <c r="J199" s="2">
        <v>3300000</v>
      </c>
      <c r="K199">
        <f t="shared" si="14"/>
        <v>1.3775047412552699E-3</v>
      </c>
      <c r="R199" s="12" t="str">
        <f ca="1">IFERROR(__xludf.DUMMYFUNCTION("""COMPUTED_VALUE"""),"Rango ")</f>
        <v>Rango </v>
      </c>
      <c r="S199" s="12">
        <f t="shared" si="13"/>
        <v>76530738</v>
      </c>
    </row>
    <row r="200" spans="1:19" x14ac:dyDescent="0.3">
      <c r="A200" s="2" t="s">
        <v>346</v>
      </c>
      <c r="B200" s="2">
        <v>102</v>
      </c>
      <c r="C200" s="3">
        <v>169705587</v>
      </c>
      <c r="D200" s="3" t="s">
        <v>5808</v>
      </c>
      <c r="E200" s="2" t="s">
        <v>347</v>
      </c>
      <c r="F200" s="2" t="s">
        <v>10</v>
      </c>
      <c r="G200" s="2" t="s">
        <v>11</v>
      </c>
      <c r="H200" s="2">
        <v>85000000</v>
      </c>
      <c r="I200" s="2">
        <v>6.6</v>
      </c>
      <c r="J200" s="2">
        <v>3300000</v>
      </c>
      <c r="K200">
        <f t="shared" si="14"/>
        <v>1.3775047412552699E-3</v>
      </c>
      <c r="R200" s="12" t="str">
        <f ca="1">IFERROR(__xludf.DUMMYFUNCTION("""COMPUTED_VALUE"""),"Penguins of Madagascar ")</f>
        <v>Penguins of Madagascar </v>
      </c>
      <c r="S200" s="12">
        <f t="shared" si="13"/>
        <v>145708996</v>
      </c>
    </row>
    <row r="201" spans="1:19" x14ac:dyDescent="0.3">
      <c r="A201" s="2" t="s">
        <v>93</v>
      </c>
      <c r="B201" s="2">
        <v>132</v>
      </c>
      <c r="C201" s="3">
        <v>32519322</v>
      </c>
      <c r="D201" s="3" t="s">
        <v>5839</v>
      </c>
      <c r="E201" s="2" t="s">
        <v>94</v>
      </c>
      <c r="F201" s="2" t="s">
        <v>10</v>
      </c>
      <c r="G201" s="2" t="s">
        <v>11</v>
      </c>
      <c r="H201" s="2">
        <v>190000000</v>
      </c>
      <c r="I201" s="2">
        <v>7.8</v>
      </c>
      <c r="J201" s="2">
        <v>3300000</v>
      </c>
      <c r="K201">
        <f t="shared" si="14"/>
        <v>1.3775047412552699E-3</v>
      </c>
      <c r="R201" s="12" t="str">
        <f ca="1">IFERROR(__xludf.DUMMYFUNCTION("""COMPUTED_VALUE"""),"The Bourne Ultimatum ")</f>
        <v>The Bourne Ultimatum </v>
      </c>
      <c r="S201" s="12">
        <f t="shared" si="13"/>
        <v>55631572</v>
      </c>
    </row>
    <row r="202" spans="1:19" x14ac:dyDescent="0.3">
      <c r="A202" s="2" t="s">
        <v>810</v>
      </c>
      <c r="B202" s="2">
        <v>123</v>
      </c>
      <c r="C202" s="3">
        <v>113330342</v>
      </c>
      <c r="D202" s="3" t="s">
        <v>5770</v>
      </c>
      <c r="E202" s="2" t="s">
        <v>811</v>
      </c>
      <c r="F202" s="2" t="s">
        <v>10</v>
      </c>
      <c r="G202" s="2" t="s">
        <v>11</v>
      </c>
      <c r="H202" s="2">
        <v>80000000</v>
      </c>
      <c r="I202" s="2">
        <v>6.6</v>
      </c>
      <c r="J202" s="2">
        <v>3300000</v>
      </c>
      <c r="K202">
        <f t="shared" si="14"/>
        <v>1.3775047412552699E-3</v>
      </c>
      <c r="R202" s="12" t="str">
        <f ca="1">IFERROR(__xludf.DUMMYFUNCTION("""COMPUTED_VALUE"""),"Kung Fu Panda ")</f>
        <v>Kung Fu Panda </v>
      </c>
      <c r="S202" s="12">
        <f t="shared" si="13"/>
        <v>91126012</v>
      </c>
    </row>
    <row r="203" spans="1:19" x14ac:dyDescent="0.3">
      <c r="A203" s="2" t="s">
        <v>5419</v>
      </c>
      <c r="B203" s="2">
        <v>107</v>
      </c>
      <c r="C203" s="3">
        <v>90443603</v>
      </c>
      <c r="D203" s="3" t="s">
        <v>5773</v>
      </c>
      <c r="E203" s="2" t="s">
        <v>5420</v>
      </c>
      <c r="F203" s="2" t="s">
        <v>10</v>
      </c>
      <c r="G203" s="2" t="s">
        <v>11</v>
      </c>
      <c r="H203" s="2">
        <v>850000</v>
      </c>
      <c r="I203" s="2">
        <v>7.2</v>
      </c>
      <c r="J203" s="2">
        <v>3300000</v>
      </c>
      <c r="K203">
        <f t="shared" si="14"/>
        <v>1.3775047412552699E-3</v>
      </c>
      <c r="R203" s="12" t="str">
        <f ca="1">IFERROR(__xludf.DUMMYFUNCTION("""COMPUTED_VALUE"""),"Ant-Man ")</f>
        <v>Ant-Man </v>
      </c>
      <c r="S203" s="12">
        <f t="shared" si="13"/>
        <v>178405771</v>
      </c>
    </row>
    <row r="204" spans="1:19" x14ac:dyDescent="0.3">
      <c r="A204" s="2" t="s">
        <v>1420</v>
      </c>
      <c r="B204" s="2">
        <v>122</v>
      </c>
      <c r="C204" s="3">
        <v>165230261</v>
      </c>
      <c r="D204" s="3" t="s">
        <v>5840</v>
      </c>
      <c r="E204" s="2" t="s">
        <v>1639</v>
      </c>
      <c r="F204" s="2" t="s">
        <v>10</v>
      </c>
      <c r="G204" s="2" t="s">
        <v>11</v>
      </c>
      <c r="H204" s="2">
        <v>50000000</v>
      </c>
      <c r="I204" s="2">
        <v>7.6</v>
      </c>
      <c r="J204" s="2">
        <v>3300000</v>
      </c>
      <c r="K204">
        <f t="shared" si="14"/>
        <v>1.3775047412552699E-3</v>
      </c>
      <c r="R204" s="12" t="str">
        <f ca="1">IFERROR(__xludf.DUMMYFUNCTION("""COMPUTED_VALUE"""),"The Hunger Games: Catching Fire ")</f>
        <v>The Hunger Games: Catching Fire </v>
      </c>
      <c r="S204" s="12">
        <f t="shared" si="13"/>
        <v>125583765</v>
      </c>
    </row>
    <row r="205" spans="1:19" x14ac:dyDescent="0.3">
      <c r="A205" s="2" t="s">
        <v>3656</v>
      </c>
      <c r="B205" s="2">
        <v>107</v>
      </c>
      <c r="C205" s="3">
        <v>136448821</v>
      </c>
      <c r="D205" s="3" t="s">
        <v>5752</v>
      </c>
      <c r="E205" s="2" t="s">
        <v>3657</v>
      </c>
      <c r="F205" s="2" t="s">
        <v>10</v>
      </c>
      <c r="G205" s="2" t="s">
        <v>11</v>
      </c>
      <c r="H205" s="2">
        <v>13000000</v>
      </c>
      <c r="I205" s="2">
        <v>6.8</v>
      </c>
      <c r="J205" s="2">
        <v>3300000</v>
      </c>
      <c r="K205">
        <f t="shared" si="14"/>
        <v>1.3775047412552699E-3</v>
      </c>
      <c r="R205" s="12" t="str">
        <f ca="1">IFERROR(__xludf.DUMMYFUNCTION("""COMPUTED_VALUE"""),"Home ")</f>
        <v>Home </v>
      </c>
      <c r="S205" s="12">
        <f t="shared" si="13"/>
        <v>128387272</v>
      </c>
    </row>
    <row r="206" spans="1:19" x14ac:dyDescent="0.3">
      <c r="A206" s="2" t="s">
        <v>3545</v>
      </c>
      <c r="B206" s="2">
        <v>94</v>
      </c>
      <c r="C206" s="3">
        <v>155370362</v>
      </c>
      <c r="D206" s="3" t="s">
        <v>5795</v>
      </c>
      <c r="E206" s="2" t="s">
        <v>3731</v>
      </c>
      <c r="F206" s="2" t="s">
        <v>10</v>
      </c>
      <c r="G206" s="2" t="s">
        <v>11</v>
      </c>
      <c r="H206" s="2">
        <v>13000000</v>
      </c>
      <c r="I206" s="2">
        <v>6.7</v>
      </c>
      <c r="J206" s="2">
        <v>3300000</v>
      </c>
      <c r="K206">
        <f t="shared" si="14"/>
        <v>1.3775047412552699E-3</v>
      </c>
      <c r="R206" s="12" t="str">
        <f ca="1">IFERROR(__xludf.DUMMYFUNCTION("""COMPUTED_VALUE"""),"War of the Worlds ")</f>
        <v>War of the Worlds </v>
      </c>
      <c r="S206" s="12">
        <f t="shared" si="13"/>
        <v>-10774146</v>
      </c>
    </row>
    <row r="207" spans="1:19" x14ac:dyDescent="0.3">
      <c r="A207" s="2" t="s">
        <v>2601</v>
      </c>
      <c r="B207" s="2">
        <v>106</v>
      </c>
      <c r="C207" s="3">
        <v>147637474</v>
      </c>
      <c r="D207" s="3" t="s">
        <v>5841</v>
      </c>
      <c r="E207" s="2" t="s">
        <v>2602</v>
      </c>
      <c r="F207" s="2" t="s">
        <v>10</v>
      </c>
      <c r="G207" s="2" t="s">
        <v>16</v>
      </c>
      <c r="H207" s="2">
        <v>23000000</v>
      </c>
      <c r="I207" s="2">
        <v>7.5</v>
      </c>
      <c r="J207" s="2">
        <v>3300000</v>
      </c>
      <c r="K207">
        <f t="shared" si="14"/>
        <v>1.3775047412552699E-3</v>
      </c>
      <c r="R207" s="12" t="str">
        <f ca="1">IFERROR(__xludf.DUMMYFUNCTION("""COMPUTED_VALUE"""),"Bad Boys II ")</f>
        <v>Bad Boys II </v>
      </c>
      <c r="S207" s="12">
        <f t="shared" si="13"/>
        <v>-45824146</v>
      </c>
    </row>
    <row r="208" spans="1:19" x14ac:dyDescent="0.3">
      <c r="A208" s="2" t="s">
        <v>1145</v>
      </c>
      <c r="B208" s="2">
        <v>131</v>
      </c>
      <c r="C208" s="3">
        <v>58800000</v>
      </c>
      <c r="D208" s="3" t="s">
        <v>5753</v>
      </c>
      <c r="E208" s="2" t="s">
        <v>1146</v>
      </c>
      <c r="F208" s="2" t="s">
        <v>10</v>
      </c>
      <c r="G208" s="2" t="s">
        <v>11</v>
      </c>
      <c r="H208" s="2">
        <v>60000000</v>
      </c>
      <c r="I208" s="2">
        <v>6.9</v>
      </c>
      <c r="J208" s="2">
        <v>3300000</v>
      </c>
      <c r="K208">
        <f t="shared" si="14"/>
        <v>1.3775047412552699E-3</v>
      </c>
      <c r="R208" s="12" t="str">
        <f ca="1">IFERROR(__xludf.DUMMYFUNCTION("""COMPUTED_VALUE"""),"Puss in Boots ")</f>
        <v>Puss in Boots </v>
      </c>
      <c r="S208" s="12">
        <f t="shared" si="13"/>
        <v>86597121</v>
      </c>
    </row>
    <row r="209" spans="1:19" x14ac:dyDescent="0.3">
      <c r="A209" s="2" t="s">
        <v>137</v>
      </c>
      <c r="B209" s="2">
        <v>102</v>
      </c>
      <c r="C209" s="3">
        <v>48745150</v>
      </c>
      <c r="D209" s="3" t="s">
        <v>351</v>
      </c>
      <c r="E209" s="2" t="s">
        <v>4447</v>
      </c>
      <c r="F209" s="2" t="s">
        <v>10</v>
      </c>
      <c r="G209" s="2" t="s">
        <v>11</v>
      </c>
      <c r="H209" s="2">
        <v>6500000</v>
      </c>
      <c r="I209" s="2">
        <v>7.3</v>
      </c>
      <c r="J209" s="2">
        <v>3300000</v>
      </c>
      <c r="K209">
        <f t="shared" si="14"/>
        <v>1.3775047412552699E-3</v>
      </c>
      <c r="R209" s="12" t="str">
        <f ca="1">IFERROR(__xludf.DUMMYFUNCTION("""COMPUTED_VALUE"""),"Salt ")</f>
        <v>Salt </v>
      </c>
      <c r="S209" s="12">
        <f t="shared" si="13"/>
        <v>73733726</v>
      </c>
    </row>
    <row r="210" spans="1:19" x14ac:dyDescent="0.3">
      <c r="A210" s="2" t="s">
        <v>1405</v>
      </c>
      <c r="B210" s="2">
        <v>94</v>
      </c>
      <c r="C210" s="3">
        <v>90646554</v>
      </c>
      <c r="D210" s="3" t="s">
        <v>5785</v>
      </c>
      <c r="E210" s="2" t="s">
        <v>4904</v>
      </c>
      <c r="F210" s="2" t="s">
        <v>10</v>
      </c>
      <c r="G210" s="2" t="s">
        <v>16</v>
      </c>
      <c r="H210" s="2">
        <v>3500000</v>
      </c>
      <c r="I210" s="2">
        <v>8.1999999999999993</v>
      </c>
      <c r="J210" s="2">
        <v>3300000</v>
      </c>
      <c r="K210">
        <f t="shared" si="14"/>
        <v>1.3775047412552699E-3</v>
      </c>
      <c r="R210" s="12" t="str">
        <f ca="1">IFERROR(__xludf.DUMMYFUNCTION("""COMPUTED_VALUE"""),"Noah ")</f>
        <v>Noah </v>
      </c>
      <c r="S210" s="12">
        <f t="shared" si="13"/>
        <v>52218041</v>
      </c>
    </row>
    <row r="211" spans="1:19" x14ac:dyDescent="0.3">
      <c r="A211" s="2" t="s">
        <v>930</v>
      </c>
      <c r="B211" s="2">
        <v>125</v>
      </c>
      <c r="C211" s="3">
        <v>140080850</v>
      </c>
      <c r="D211" s="3" t="s">
        <v>5768</v>
      </c>
      <c r="E211" s="2" t="s">
        <v>3645</v>
      </c>
      <c r="F211" s="2" t="s">
        <v>723</v>
      </c>
      <c r="G211" s="2" t="s">
        <v>932</v>
      </c>
      <c r="H211" s="2">
        <v>10000000</v>
      </c>
      <c r="I211" s="2">
        <v>8.1</v>
      </c>
      <c r="J211" s="2">
        <v>3300000</v>
      </c>
      <c r="K211">
        <f t="shared" si="14"/>
        <v>1.3775047412552699E-3</v>
      </c>
      <c r="R211" s="12" t="str">
        <f ca="1">IFERROR(__xludf.DUMMYFUNCTION("""COMPUTED_VALUE"""),"The Adventures of Tintin ")</f>
        <v>The Adventures of Tintin </v>
      </c>
      <c r="S211" s="12">
        <f t="shared" si="13"/>
        <v>141796233</v>
      </c>
    </row>
    <row r="212" spans="1:19" x14ac:dyDescent="0.3">
      <c r="A212" s="2" t="s">
        <v>133</v>
      </c>
      <c r="B212" s="2">
        <v>123</v>
      </c>
      <c r="C212" s="3">
        <v>56443482</v>
      </c>
      <c r="D212" s="3" t="s">
        <v>5753</v>
      </c>
      <c r="E212" s="2" t="s">
        <v>134</v>
      </c>
      <c r="F212" s="2" t="s">
        <v>10</v>
      </c>
      <c r="G212" s="2" t="s">
        <v>11</v>
      </c>
      <c r="H212" s="3">
        <v>7605668</v>
      </c>
      <c r="I212" s="2">
        <v>6.9</v>
      </c>
      <c r="J212" s="2">
        <v>3300000</v>
      </c>
      <c r="K212">
        <f t="shared" si="14"/>
        <v>1.3775047412552699E-3</v>
      </c>
      <c r="R212" s="12" t="str">
        <f ca="1">IFERROR(__xludf.DUMMYFUNCTION("""COMPUTED_VALUE"""),"Harry Potter and the Prisoner of Azkaban ")</f>
        <v>Harry Potter and the Prisoner of Azkaban </v>
      </c>
      <c r="S212" s="12">
        <f t="shared" si="13"/>
        <v>78813460</v>
      </c>
    </row>
    <row r="213" spans="1:19" x14ac:dyDescent="0.3">
      <c r="A213" s="2" t="s">
        <v>1633</v>
      </c>
      <c r="B213" s="2">
        <v>100</v>
      </c>
      <c r="C213" s="3">
        <v>27356090</v>
      </c>
      <c r="D213" s="3" t="s">
        <v>5799</v>
      </c>
      <c r="E213" s="2" t="s">
        <v>1634</v>
      </c>
      <c r="F213" s="2" t="s">
        <v>10</v>
      </c>
      <c r="G213" s="2" t="s">
        <v>11</v>
      </c>
      <c r="H213" s="2">
        <v>42000000</v>
      </c>
      <c r="I213" s="2">
        <v>5.4</v>
      </c>
      <c r="J213" s="2">
        <v>3300000</v>
      </c>
      <c r="K213">
        <f t="shared" si="14"/>
        <v>1.3775047412552699E-3</v>
      </c>
      <c r="R213" s="12" t="str">
        <f ca="1">IFERROR(__xludf.DUMMYFUNCTION("""COMPUTED_VALUE"""),"Australia ")</f>
        <v>Australia </v>
      </c>
      <c r="S213" s="12">
        <f t="shared" si="13"/>
        <v>-573692</v>
      </c>
    </row>
    <row r="214" spans="1:19" x14ac:dyDescent="0.3">
      <c r="A214" s="2" t="s">
        <v>1414</v>
      </c>
      <c r="B214" s="2">
        <v>115</v>
      </c>
      <c r="C214" s="3">
        <v>81638674</v>
      </c>
      <c r="D214" s="3" t="s">
        <v>5768</v>
      </c>
      <c r="E214" s="2" t="s">
        <v>1415</v>
      </c>
      <c r="F214" s="2" t="s">
        <v>10</v>
      </c>
      <c r="G214" s="2" t="s">
        <v>11</v>
      </c>
      <c r="H214" s="2">
        <v>50000000</v>
      </c>
      <c r="I214" s="2">
        <v>6.1</v>
      </c>
      <c r="J214" s="2">
        <v>3300000</v>
      </c>
      <c r="K214">
        <f t="shared" si="14"/>
        <v>1.3775047412552699E-3</v>
      </c>
      <c r="R214" s="12" t="str">
        <f ca="1">IFERROR(__xludf.DUMMYFUNCTION("""COMPUTED_VALUE"""),"After Earth ")</f>
        <v>After Earth </v>
      </c>
      <c r="S214" s="12">
        <f t="shared" si="13"/>
        <v>141317423</v>
      </c>
    </row>
    <row r="215" spans="1:19" x14ac:dyDescent="0.3">
      <c r="A215" s="2" t="s">
        <v>868</v>
      </c>
      <c r="B215" s="2">
        <v>105</v>
      </c>
      <c r="C215" s="3">
        <v>169692572</v>
      </c>
      <c r="D215" s="3" t="s">
        <v>5842</v>
      </c>
      <c r="E215" s="2" t="s">
        <v>1920</v>
      </c>
      <c r="F215" s="2" t="s">
        <v>10</v>
      </c>
      <c r="G215" s="2" t="s">
        <v>11</v>
      </c>
      <c r="H215" s="2">
        <v>37000000</v>
      </c>
      <c r="I215" s="2">
        <v>5.4</v>
      </c>
      <c r="J215" s="2">
        <v>3300000</v>
      </c>
      <c r="K215">
        <f t="shared" si="14"/>
        <v>1.3775047412552699E-3</v>
      </c>
      <c r="R215" s="12" t="str">
        <f ca="1">IFERROR(__xludf.DUMMYFUNCTION("""COMPUTED_VALUE"""),"Dinosaur ")</f>
        <v>Dinosaur </v>
      </c>
      <c r="S215" s="12">
        <f t="shared" si="13"/>
        <v>51801374</v>
      </c>
    </row>
    <row r="216" spans="1:19" x14ac:dyDescent="0.3">
      <c r="A216" s="2" t="s">
        <v>23</v>
      </c>
      <c r="B216" s="2">
        <v>100</v>
      </c>
      <c r="C216" s="3">
        <v>48637684</v>
      </c>
      <c r="D216" s="3" t="s">
        <v>5843</v>
      </c>
      <c r="E216" s="2" t="s">
        <v>24</v>
      </c>
      <c r="F216" s="2" t="s">
        <v>10</v>
      </c>
      <c r="G216" s="2" t="s">
        <v>11</v>
      </c>
      <c r="H216" s="2">
        <v>260000000</v>
      </c>
      <c r="I216" s="2">
        <v>7.8</v>
      </c>
      <c r="J216" s="2">
        <v>3300000</v>
      </c>
      <c r="K216">
        <f t="shared" si="14"/>
        <v>1.3775047412552699E-3</v>
      </c>
      <c r="R216" s="12" t="str">
        <f ca="1">IFERROR(__xludf.DUMMYFUNCTION("""COMPUTED_VALUE"""),"Night at the Museum: Secret of the Tomb ")</f>
        <v>Night at the Museum: Secret of the Tomb </v>
      </c>
      <c r="S216" s="12">
        <f t="shared" si="13"/>
        <v>129812796</v>
      </c>
    </row>
    <row r="217" spans="1:19" x14ac:dyDescent="0.3">
      <c r="A217" s="2" t="s">
        <v>802</v>
      </c>
      <c r="B217" s="2">
        <v>132</v>
      </c>
      <c r="C217" s="3">
        <v>113165635</v>
      </c>
      <c r="D217" s="3" t="s">
        <v>5754</v>
      </c>
      <c r="E217" s="2" t="s">
        <v>3269</v>
      </c>
      <c r="F217" s="2" t="s">
        <v>10</v>
      </c>
      <c r="G217" s="2" t="s">
        <v>11</v>
      </c>
      <c r="H217" s="2">
        <v>17000000</v>
      </c>
      <c r="I217" s="2">
        <v>6.7</v>
      </c>
      <c r="J217" s="2">
        <v>3300000</v>
      </c>
      <c r="K217">
        <f t="shared" si="14"/>
        <v>1.3775047412552699E-3</v>
      </c>
      <c r="R217" s="12" t="str">
        <f ca="1">IFERROR(__xludf.DUMMYFUNCTION("""COMPUTED_VALUE"""),"Megamind ")</f>
        <v>Megamind </v>
      </c>
      <c r="S217" s="12">
        <f t="shared" ref="S217:S280" si="15">C195-H195</f>
        <v>2823573</v>
      </c>
    </row>
    <row r="218" spans="1:19" x14ac:dyDescent="0.3">
      <c r="A218" s="2" t="s">
        <v>193</v>
      </c>
      <c r="B218" s="2">
        <v>116</v>
      </c>
      <c r="C218" s="3">
        <v>176781728</v>
      </c>
      <c r="D218" s="3" t="s">
        <v>5844</v>
      </c>
      <c r="E218" s="2" t="s">
        <v>3047</v>
      </c>
      <c r="F218" s="2" t="s">
        <v>10</v>
      </c>
      <c r="G218" s="2" t="s">
        <v>11</v>
      </c>
      <c r="H218" s="2">
        <v>20000000</v>
      </c>
      <c r="I218" s="2">
        <v>7.2</v>
      </c>
      <c r="J218" s="2">
        <v>3300000</v>
      </c>
      <c r="K218">
        <f t="shared" si="14"/>
        <v>1.3775047412552699E-3</v>
      </c>
      <c r="R218" s="12" t="str">
        <f ca="1">IFERROR(__xludf.DUMMYFUNCTION("""COMPUTED_VALUE"""),"Harry Potter and the Sorcerer's Stone ")</f>
        <v>Harry Potter and the Sorcerer's Stone </v>
      </c>
      <c r="S218" s="12">
        <f t="shared" si="15"/>
        <v>-64694455</v>
      </c>
    </row>
    <row r="219" spans="1:19" x14ac:dyDescent="0.3">
      <c r="A219" s="2" t="s">
        <v>1764</v>
      </c>
      <c r="B219" s="2">
        <v>116</v>
      </c>
      <c r="C219" s="3">
        <v>144156464</v>
      </c>
      <c r="D219" s="3" t="s">
        <v>5845</v>
      </c>
      <c r="E219" s="2" t="s">
        <v>1765</v>
      </c>
      <c r="F219" s="2" t="s">
        <v>10</v>
      </c>
      <c r="G219" s="2" t="s">
        <v>11</v>
      </c>
      <c r="H219" s="2">
        <v>40000000</v>
      </c>
      <c r="I219" s="2">
        <v>5.7</v>
      </c>
      <c r="J219" s="2">
        <v>3300000</v>
      </c>
      <c r="K219">
        <f t="shared" si="14"/>
        <v>1.3775047412552699E-3</v>
      </c>
      <c r="R219" s="12" t="str">
        <f ca="1">IFERROR(__xludf.DUMMYFUNCTION("""COMPUTED_VALUE"""),"R.I.P.D. ")</f>
        <v>R.I.P.D. </v>
      </c>
      <c r="S219" s="12">
        <f t="shared" si="15"/>
        <v>154804648</v>
      </c>
    </row>
    <row r="220" spans="1:19" x14ac:dyDescent="0.3">
      <c r="A220" s="2" t="s">
        <v>240</v>
      </c>
      <c r="B220" s="2">
        <v>108</v>
      </c>
      <c r="C220" s="3">
        <v>114968774</v>
      </c>
      <c r="D220" s="3" t="s">
        <v>5771</v>
      </c>
      <c r="E220" s="2" t="s">
        <v>851</v>
      </c>
      <c r="F220" s="2" t="s">
        <v>10</v>
      </c>
      <c r="G220" s="2" t="s">
        <v>11</v>
      </c>
      <c r="H220" s="2">
        <v>60000000</v>
      </c>
      <c r="I220" s="2">
        <v>6.5</v>
      </c>
      <c r="J220" s="2">
        <v>3300000</v>
      </c>
      <c r="K220">
        <f t="shared" si="14"/>
        <v>1.3775047412552699E-3</v>
      </c>
      <c r="R220" s="12" t="str">
        <f ca="1">IFERROR(__xludf.DUMMYFUNCTION("""COMPUTED_VALUE"""),"Pirates of the Caribbean: The Curse of the Black Pearl ")</f>
        <v>Pirates of the Caribbean: The Curse of the Black Pearl </v>
      </c>
      <c r="S220" s="12">
        <f t="shared" si="15"/>
        <v>-417841776</v>
      </c>
    </row>
    <row r="221" spans="1:19" x14ac:dyDescent="0.3">
      <c r="A221" s="2" t="s">
        <v>3654</v>
      </c>
      <c r="B221" s="2">
        <v>83</v>
      </c>
      <c r="C221" s="3">
        <v>90356857</v>
      </c>
      <c r="D221" s="3" t="s">
        <v>5846</v>
      </c>
      <c r="E221" s="2" t="s">
        <v>3655</v>
      </c>
      <c r="F221" s="2" t="s">
        <v>10</v>
      </c>
      <c r="G221" s="2" t="s">
        <v>11</v>
      </c>
      <c r="H221" s="2">
        <v>13000000</v>
      </c>
      <c r="I221" s="2">
        <v>5.5</v>
      </c>
      <c r="J221" s="2">
        <v>3300000</v>
      </c>
      <c r="K221">
        <f t="shared" si="14"/>
        <v>1.3775047412552699E-3</v>
      </c>
      <c r="R221" s="12" t="str">
        <f ca="1">IFERROR(__xludf.DUMMYFUNCTION("""COMPUTED_VALUE"""),"The Hunger Games: Mockingjay - Part 1 ")</f>
        <v>The Hunger Games: Mockingjay - Part 1 </v>
      </c>
      <c r="S221" s="12">
        <f t="shared" si="15"/>
        <v>97299717</v>
      </c>
    </row>
    <row r="222" spans="1:19" x14ac:dyDescent="0.3">
      <c r="A222" s="2" t="s">
        <v>544</v>
      </c>
      <c r="B222" s="2">
        <v>113</v>
      </c>
      <c r="C222" s="3">
        <v>56505065</v>
      </c>
      <c r="D222" s="3" t="s">
        <v>5768</v>
      </c>
      <c r="E222" s="2" t="s">
        <v>826</v>
      </c>
      <c r="F222" s="2" t="s">
        <v>10</v>
      </c>
      <c r="G222" s="2" t="s">
        <v>11</v>
      </c>
      <c r="H222" s="2">
        <v>45000000</v>
      </c>
      <c r="I222" s="2">
        <v>6.1</v>
      </c>
      <c r="J222" s="2">
        <v>3300000</v>
      </c>
      <c r="K222">
        <f t="shared" si="14"/>
        <v>1.3775047412552699E-3</v>
      </c>
      <c r="R222" s="12" t="str">
        <f ca="1">IFERROR(__xludf.DUMMYFUNCTION("""COMPUTED_VALUE"""),"The Da Vinci Code ")</f>
        <v>The Da Vinci Code </v>
      </c>
      <c r="S222" s="12">
        <f t="shared" si="15"/>
        <v>84705587</v>
      </c>
    </row>
    <row r="223" spans="1:19" x14ac:dyDescent="0.3">
      <c r="A223" s="2" t="s">
        <v>3489</v>
      </c>
      <c r="B223" s="2">
        <v>121</v>
      </c>
      <c r="C223" s="3">
        <v>124590960</v>
      </c>
      <c r="D223" s="3" t="s">
        <v>5847</v>
      </c>
      <c r="E223" s="2" t="s">
        <v>3490</v>
      </c>
      <c r="F223" s="2" t="s">
        <v>10</v>
      </c>
      <c r="G223" s="2" t="s">
        <v>11</v>
      </c>
      <c r="H223" s="2">
        <v>15000000</v>
      </c>
      <c r="I223" s="2">
        <v>6.2</v>
      </c>
      <c r="J223" s="2">
        <v>3300000</v>
      </c>
      <c r="K223">
        <f t="shared" si="14"/>
        <v>1.3775047412552699E-3</v>
      </c>
      <c r="R223" s="12" t="str">
        <f ca="1">IFERROR(__xludf.DUMMYFUNCTION("""COMPUTED_VALUE"""),"Rio 2 ")</f>
        <v>Rio 2 </v>
      </c>
      <c r="S223" s="12">
        <f t="shared" si="15"/>
        <v>-157480678</v>
      </c>
    </row>
    <row r="224" spans="1:19" x14ac:dyDescent="0.3">
      <c r="A224" s="2" t="s">
        <v>2308</v>
      </c>
      <c r="B224" s="2">
        <v>130</v>
      </c>
      <c r="C224" s="3">
        <v>90835030</v>
      </c>
      <c r="D224" s="3" t="s">
        <v>5848</v>
      </c>
      <c r="E224" s="2" t="s">
        <v>2309</v>
      </c>
      <c r="F224" s="2" t="s">
        <v>10</v>
      </c>
      <c r="G224" s="2" t="s">
        <v>11</v>
      </c>
      <c r="H224" s="2">
        <v>30000000</v>
      </c>
      <c r="I224" s="2">
        <v>6.7</v>
      </c>
      <c r="J224" s="2">
        <v>3300000</v>
      </c>
      <c r="K224">
        <f t="shared" si="14"/>
        <v>1.3775047412552699E-3</v>
      </c>
      <c r="R224" s="12" t="str">
        <f ca="1">IFERROR(__xludf.DUMMYFUNCTION("""COMPUTED_VALUE"""),"X-Men 2 ")</f>
        <v>X-Men 2 </v>
      </c>
      <c r="S224" s="12">
        <f t="shared" si="15"/>
        <v>33330342</v>
      </c>
    </row>
    <row r="225" spans="1:19" x14ac:dyDescent="0.3">
      <c r="A225" s="2" t="s">
        <v>1488</v>
      </c>
      <c r="B225" s="2">
        <v>132</v>
      </c>
      <c r="C225" s="3">
        <v>138339411</v>
      </c>
      <c r="D225" s="3" t="s">
        <v>5849</v>
      </c>
      <c r="E225" s="2" t="s">
        <v>1489</v>
      </c>
      <c r="F225" s="2" t="s">
        <v>10</v>
      </c>
      <c r="G225" s="2" t="s">
        <v>11</v>
      </c>
      <c r="H225" s="2">
        <v>48000000</v>
      </c>
      <c r="I225" s="2">
        <v>6.4</v>
      </c>
      <c r="J225" s="2">
        <v>3300000</v>
      </c>
      <c r="K225">
        <f t="shared" si="14"/>
        <v>1.3775047412552699E-3</v>
      </c>
      <c r="R225" s="12" t="str">
        <f ca="1">IFERROR(__xludf.DUMMYFUNCTION("""COMPUTED_VALUE"""),"Fast Five ")</f>
        <v>Fast Five </v>
      </c>
      <c r="S225" s="12">
        <f t="shared" si="15"/>
        <v>89593603</v>
      </c>
    </row>
    <row r="226" spans="1:19" x14ac:dyDescent="0.3">
      <c r="A226" s="2" t="s">
        <v>915</v>
      </c>
      <c r="B226" s="2">
        <v>116</v>
      </c>
      <c r="C226" s="3">
        <v>73326666</v>
      </c>
      <c r="D226" s="3" t="s">
        <v>5850</v>
      </c>
      <c r="E226" s="2" t="s">
        <v>916</v>
      </c>
      <c r="F226" s="2" t="s">
        <v>10</v>
      </c>
      <c r="G226" s="2" t="s">
        <v>16</v>
      </c>
      <c r="H226" s="2">
        <v>70000000</v>
      </c>
      <c r="I226" s="2">
        <v>4.2</v>
      </c>
      <c r="J226" s="2">
        <v>3300000</v>
      </c>
      <c r="K226">
        <f t="shared" si="14"/>
        <v>1.3775047412552699E-3</v>
      </c>
      <c r="R226" s="12" t="str">
        <f ca="1">IFERROR(__xludf.DUMMYFUNCTION("""COMPUTED_VALUE"""),"Sherlock Holmes: A Game of Shadows ")</f>
        <v>Sherlock Holmes: A Game of Shadows </v>
      </c>
      <c r="S226" s="12">
        <f t="shared" si="15"/>
        <v>115230261</v>
      </c>
    </row>
    <row r="227" spans="1:19" x14ac:dyDescent="0.3">
      <c r="A227" s="2" t="s">
        <v>197</v>
      </c>
      <c r="B227" s="2">
        <v>140</v>
      </c>
      <c r="C227" s="3">
        <v>25240988</v>
      </c>
      <c r="D227" s="3" t="s">
        <v>5851</v>
      </c>
      <c r="E227" s="2" t="s">
        <v>1747</v>
      </c>
      <c r="F227" s="2" t="s">
        <v>10</v>
      </c>
      <c r="G227" s="2" t="s">
        <v>11</v>
      </c>
      <c r="H227" s="2">
        <v>38000000</v>
      </c>
      <c r="I227" s="2">
        <v>7.2</v>
      </c>
      <c r="J227" s="2">
        <v>3300000</v>
      </c>
      <c r="K227">
        <f t="shared" si="14"/>
        <v>1.3775047412552699E-3</v>
      </c>
      <c r="R227" s="12" t="str">
        <f ca="1">IFERROR(__xludf.DUMMYFUNCTION("""COMPUTED_VALUE"""),"Clash of the Titans ")</f>
        <v>Clash of the Titans </v>
      </c>
      <c r="S227" s="12">
        <f t="shared" si="15"/>
        <v>123448821</v>
      </c>
    </row>
    <row r="228" spans="1:19" x14ac:dyDescent="0.3">
      <c r="A228" s="2" t="s">
        <v>5309</v>
      </c>
      <c r="B228" s="2">
        <v>97</v>
      </c>
      <c r="C228" s="3">
        <v>90454043</v>
      </c>
      <c r="D228" s="3" t="s">
        <v>5751</v>
      </c>
      <c r="E228" s="2" t="s">
        <v>5310</v>
      </c>
      <c r="F228" s="2" t="s">
        <v>10</v>
      </c>
      <c r="G228" s="2" t="s">
        <v>11</v>
      </c>
      <c r="H228" s="2">
        <v>1000000</v>
      </c>
      <c r="I228" s="2">
        <v>7.2</v>
      </c>
      <c r="J228" s="2">
        <v>3300000</v>
      </c>
      <c r="K228">
        <f t="shared" si="14"/>
        <v>1.3775047412552699E-3</v>
      </c>
      <c r="R228" s="12" t="str">
        <f ca="1">IFERROR(__xludf.DUMMYFUNCTION("""COMPUTED_VALUE"""),"Total Recall ")</f>
        <v>Total Recall </v>
      </c>
      <c r="S228" s="12">
        <f t="shared" si="15"/>
        <v>142370362</v>
      </c>
    </row>
    <row r="229" spans="1:19" x14ac:dyDescent="0.3">
      <c r="A229" s="2" t="s">
        <v>4948</v>
      </c>
      <c r="B229" s="2">
        <v>108</v>
      </c>
      <c r="C229" s="3">
        <v>40270895</v>
      </c>
      <c r="D229" s="3" t="s">
        <v>5751</v>
      </c>
      <c r="E229" s="2" t="s">
        <v>4949</v>
      </c>
      <c r="F229" s="2" t="s">
        <v>10</v>
      </c>
      <c r="G229" s="2" t="s">
        <v>11</v>
      </c>
      <c r="H229" s="2">
        <v>3300000</v>
      </c>
      <c r="I229" s="2">
        <v>6.9</v>
      </c>
      <c r="J229" s="2">
        <v>3300000</v>
      </c>
      <c r="K229">
        <f t="shared" si="14"/>
        <v>1.3775047412552699E-3</v>
      </c>
      <c r="R229" s="12" t="str">
        <f ca="1">IFERROR(__xludf.DUMMYFUNCTION("""COMPUTED_VALUE"""),"The 13th Warrior ")</f>
        <v>The 13th Warrior </v>
      </c>
      <c r="S229" s="12">
        <f t="shared" si="15"/>
        <v>124637474</v>
      </c>
    </row>
    <row r="230" spans="1:19" x14ac:dyDescent="0.3">
      <c r="A230" s="2" t="s">
        <v>4997</v>
      </c>
      <c r="B230" s="2">
        <v>86</v>
      </c>
      <c r="C230" s="3">
        <v>158348400</v>
      </c>
      <c r="D230" s="3" t="s">
        <v>5771</v>
      </c>
      <c r="E230" s="2" t="s">
        <v>4998</v>
      </c>
      <c r="F230" s="2" t="s">
        <v>10</v>
      </c>
      <c r="G230" s="2" t="s">
        <v>11</v>
      </c>
      <c r="H230" s="2">
        <v>2800000</v>
      </c>
      <c r="I230" s="2">
        <v>6</v>
      </c>
      <c r="J230" s="2">
        <v>3300000</v>
      </c>
      <c r="K230">
        <f t="shared" si="14"/>
        <v>1.3775047412552699E-3</v>
      </c>
      <c r="R230" s="12" t="str">
        <f ca="1">IFERROR(__xludf.DUMMYFUNCTION("""COMPUTED_VALUE"""),"The Bourne Legacy ")</f>
        <v>The Bourne Legacy </v>
      </c>
      <c r="S230" s="12">
        <f t="shared" si="15"/>
        <v>-1200000</v>
      </c>
    </row>
    <row r="231" spans="1:19" x14ac:dyDescent="0.3">
      <c r="A231" s="2" t="s">
        <v>1342</v>
      </c>
      <c r="B231" s="2">
        <v>120</v>
      </c>
      <c r="C231" s="3">
        <v>136019448</v>
      </c>
      <c r="D231" s="3" t="s">
        <v>5768</v>
      </c>
      <c r="E231" s="2" t="s">
        <v>2122</v>
      </c>
      <c r="F231" s="2" t="s">
        <v>10</v>
      </c>
      <c r="G231" s="2" t="s">
        <v>11</v>
      </c>
      <c r="H231" s="2">
        <v>32000000</v>
      </c>
      <c r="I231" s="2">
        <v>7.1</v>
      </c>
      <c r="J231" s="2">
        <v>3300000</v>
      </c>
      <c r="K231">
        <f t="shared" si="14"/>
        <v>1.3775047412552699E-3</v>
      </c>
      <c r="R231" s="12" t="str">
        <f ca="1">IFERROR(__xludf.DUMMYFUNCTION("""COMPUTED_VALUE"""),"Batman &amp; Robin ")</f>
        <v>Batman &amp; Robin </v>
      </c>
      <c r="S231" s="12">
        <f t="shared" si="15"/>
        <v>42245150</v>
      </c>
    </row>
    <row r="232" spans="1:19" x14ac:dyDescent="0.3">
      <c r="A232" s="2" t="s">
        <v>3401</v>
      </c>
      <c r="B232" s="2">
        <v>95</v>
      </c>
      <c r="C232" s="3">
        <v>101470202</v>
      </c>
      <c r="D232" s="3" t="s">
        <v>5751</v>
      </c>
      <c r="E232" s="2" t="s">
        <v>3402</v>
      </c>
      <c r="F232" s="2" t="s">
        <v>10</v>
      </c>
      <c r="G232" s="2" t="s">
        <v>16</v>
      </c>
      <c r="H232" s="2">
        <v>17000000</v>
      </c>
      <c r="I232" s="2">
        <v>6.4</v>
      </c>
      <c r="J232" s="2">
        <v>3300000</v>
      </c>
      <c r="K232">
        <f t="shared" si="14"/>
        <v>1.3775047412552699E-3</v>
      </c>
      <c r="R232" s="12" t="str">
        <f ca="1">IFERROR(__xludf.DUMMYFUNCTION("""COMPUTED_VALUE"""),"How the Grinch Stole Christmas ")</f>
        <v>How the Grinch Stole Christmas </v>
      </c>
      <c r="S232" s="12">
        <f t="shared" si="15"/>
        <v>87146554</v>
      </c>
    </row>
    <row r="233" spans="1:19" x14ac:dyDescent="0.3">
      <c r="A233" s="2" t="s">
        <v>2923</v>
      </c>
      <c r="B233" s="2">
        <v>91</v>
      </c>
      <c r="C233" s="3">
        <v>3885134</v>
      </c>
      <c r="D233" s="3" t="s">
        <v>5771</v>
      </c>
      <c r="E233" s="2" t="s">
        <v>2924</v>
      </c>
      <c r="F233" s="2" t="s">
        <v>10</v>
      </c>
      <c r="G233" s="2" t="s">
        <v>11</v>
      </c>
      <c r="H233" s="2">
        <v>35000000</v>
      </c>
      <c r="I233" s="2">
        <v>5.5</v>
      </c>
      <c r="J233" s="2">
        <v>3300000</v>
      </c>
      <c r="K233">
        <f t="shared" si="14"/>
        <v>1.3775047412552699E-3</v>
      </c>
      <c r="R233" s="12" t="str">
        <f ca="1">IFERROR(__xludf.DUMMYFUNCTION("""COMPUTED_VALUE"""),"The Day After Tomorrow ")</f>
        <v>The Day After Tomorrow </v>
      </c>
      <c r="S233" s="12">
        <f t="shared" si="15"/>
        <v>130080850</v>
      </c>
    </row>
    <row r="234" spans="1:19" x14ac:dyDescent="0.3">
      <c r="A234" s="2" t="s">
        <v>5451</v>
      </c>
      <c r="B234" s="2">
        <v>107</v>
      </c>
      <c r="C234" s="3">
        <v>40247512</v>
      </c>
      <c r="D234" s="3" t="s">
        <v>5852</v>
      </c>
      <c r="E234" s="2" t="s">
        <v>5452</v>
      </c>
      <c r="F234" s="2" t="s">
        <v>10</v>
      </c>
      <c r="G234" s="2" t="s">
        <v>11</v>
      </c>
      <c r="H234" s="2">
        <v>700000</v>
      </c>
      <c r="I234" s="2">
        <v>6.5</v>
      </c>
      <c r="J234" s="2">
        <v>3300000</v>
      </c>
      <c r="K234">
        <f t="shared" si="14"/>
        <v>1.3775047412552699E-3</v>
      </c>
      <c r="R234" s="12" t="str">
        <f ca="1">IFERROR(__xludf.DUMMYFUNCTION("""COMPUTED_VALUE"""),"Mission: Impossible II ")</f>
        <v>Mission: Impossible II </v>
      </c>
      <c r="S234" s="12">
        <f t="shared" si="15"/>
        <v>48837814</v>
      </c>
    </row>
    <row r="235" spans="1:19" x14ac:dyDescent="0.3">
      <c r="A235" s="2" t="s">
        <v>318</v>
      </c>
      <c r="B235" s="2">
        <v>84</v>
      </c>
      <c r="C235" s="3">
        <v>75280058</v>
      </c>
      <c r="D235" s="3" t="s">
        <v>5788</v>
      </c>
      <c r="E235" s="2" t="s">
        <v>5679</v>
      </c>
      <c r="F235" s="2" t="s">
        <v>10</v>
      </c>
      <c r="G235" s="2" t="s">
        <v>11</v>
      </c>
      <c r="H235" s="2">
        <v>7830000</v>
      </c>
      <c r="I235" s="2">
        <v>7.5</v>
      </c>
      <c r="J235" s="2">
        <v>3300000</v>
      </c>
      <c r="K235">
        <f t="shared" si="14"/>
        <v>1.3775047412552699E-3</v>
      </c>
      <c r="R235" s="12" t="str">
        <f ca="1">IFERROR(__xludf.DUMMYFUNCTION("""COMPUTED_VALUE"""),"The Perfect Storm ")</f>
        <v>The Perfect Storm </v>
      </c>
      <c r="S235" s="12">
        <f t="shared" si="15"/>
        <v>-14643910</v>
      </c>
    </row>
    <row r="236" spans="1:19" x14ac:dyDescent="0.3">
      <c r="A236" s="2" t="s">
        <v>330</v>
      </c>
      <c r="B236" s="2">
        <v>106</v>
      </c>
      <c r="C236" s="3">
        <v>160762022</v>
      </c>
      <c r="D236" s="3" t="s">
        <v>5784</v>
      </c>
      <c r="E236" s="2" t="s">
        <v>576</v>
      </c>
      <c r="F236" s="2" t="s">
        <v>10</v>
      </c>
      <c r="G236" s="2" t="s">
        <v>11</v>
      </c>
      <c r="H236" s="2">
        <v>88000000</v>
      </c>
      <c r="I236" s="2">
        <v>5.6</v>
      </c>
      <c r="J236" s="2">
        <v>3300000</v>
      </c>
      <c r="K236">
        <f t="shared" si="14"/>
        <v>1.3775047412552699E-3</v>
      </c>
      <c r="R236" s="12" t="str">
        <f ca="1">IFERROR(__xludf.DUMMYFUNCTION("""COMPUTED_VALUE"""),"Fantastic 4: Rise of the Silver Surfer ")</f>
        <v>Fantastic 4: Rise of the Silver Surfer </v>
      </c>
      <c r="S236" s="12">
        <f t="shared" si="15"/>
        <v>31638674</v>
      </c>
    </row>
    <row r="237" spans="1:19" x14ac:dyDescent="0.3">
      <c r="A237" s="2" t="s">
        <v>3677</v>
      </c>
      <c r="B237" s="2">
        <v>72</v>
      </c>
      <c r="C237" s="3">
        <v>36985501</v>
      </c>
      <c r="D237" s="3" t="s">
        <v>5853</v>
      </c>
      <c r="E237" s="2" t="s">
        <v>3678</v>
      </c>
      <c r="F237" s="2" t="s">
        <v>10</v>
      </c>
      <c r="G237" s="2" t="s">
        <v>11</v>
      </c>
      <c r="H237" s="2">
        <v>13000000</v>
      </c>
      <c r="I237" s="2">
        <v>5.7</v>
      </c>
      <c r="J237" s="2">
        <v>3300000</v>
      </c>
      <c r="K237">
        <f t="shared" si="14"/>
        <v>1.3775047412552699E-3</v>
      </c>
      <c r="R237" s="12" t="str">
        <f ca="1">IFERROR(__xludf.DUMMYFUNCTION("""COMPUTED_VALUE"""),"Life of Pi ")</f>
        <v>Life of Pi </v>
      </c>
      <c r="S237" s="12">
        <f t="shared" si="15"/>
        <v>132692572</v>
      </c>
    </row>
    <row r="238" spans="1:19" x14ac:dyDescent="0.3">
      <c r="A238" s="2" t="s">
        <v>1349</v>
      </c>
      <c r="B238" s="2">
        <v>99</v>
      </c>
      <c r="C238" s="3">
        <v>63034755</v>
      </c>
      <c r="D238" s="3" t="s">
        <v>5753</v>
      </c>
      <c r="E238" s="2" t="s">
        <v>1350</v>
      </c>
      <c r="F238" s="2" t="s">
        <v>10</v>
      </c>
      <c r="G238" s="2" t="s">
        <v>11</v>
      </c>
      <c r="H238" s="2">
        <v>60000000</v>
      </c>
      <c r="I238" s="2">
        <v>5.2</v>
      </c>
      <c r="J238" s="2">
        <v>3300000</v>
      </c>
      <c r="K238">
        <f t="shared" si="14"/>
        <v>1.3775047412552699E-3</v>
      </c>
      <c r="R238" s="12" t="str">
        <f ca="1">IFERROR(__xludf.DUMMYFUNCTION("""COMPUTED_VALUE"""),"Ghost Rider ")</f>
        <v>Ghost Rider </v>
      </c>
      <c r="S238" s="12">
        <f t="shared" si="15"/>
        <v>-211362316</v>
      </c>
    </row>
    <row r="239" spans="1:19" x14ac:dyDescent="0.3">
      <c r="A239" s="2" t="s">
        <v>2023</v>
      </c>
      <c r="B239" s="2">
        <v>109</v>
      </c>
      <c r="C239" s="3">
        <v>146405371</v>
      </c>
      <c r="D239" s="3" t="s">
        <v>5784</v>
      </c>
      <c r="E239" s="2" t="s">
        <v>2024</v>
      </c>
      <c r="F239" s="2" t="s">
        <v>10</v>
      </c>
      <c r="G239" s="2" t="s">
        <v>11</v>
      </c>
      <c r="H239" s="2">
        <v>35000000</v>
      </c>
      <c r="I239" s="2">
        <v>6.2</v>
      </c>
      <c r="J239" s="2">
        <v>3300000</v>
      </c>
      <c r="K239">
        <f t="shared" si="14"/>
        <v>1.3775047412552699E-3</v>
      </c>
      <c r="R239" s="12" t="str">
        <f ca="1">IFERROR(__xludf.DUMMYFUNCTION("""COMPUTED_VALUE"""),"Jason Bourne ")</f>
        <v>Jason Bourne </v>
      </c>
      <c r="S239" s="12">
        <f t="shared" si="15"/>
        <v>96165635</v>
      </c>
    </row>
    <row r="240" spans="1:19" x14ac:dyDescent="0.3">
      <c r="A240" s="2" t="s">
        <v>3755</v>
      </c>
      <c r="B240" s="2">
        <v>108</v>
      </c>
      <c r="C240" s="3">
        <v>50859889</v>
      </c>
      <c r="D240" s="3" t="s">
        <v>5755</v>
      </c>
      <c r="E240" s="2" t="s">
        <v>3756</v>
      </c>
      <c r="F240" s="2" t="s">
        <v>10</v>
      </c>
      <c r="G240" s="2" t="s">
        <v>71</v>
      </c>
      <c r="H240" s="2">
        <v>15000000</v>
      </c>
      <c r="I240" s="2">
        <v>6.2</v>
      </c>
      <c r="J240" s="2">
        <v>3300000</v>
      </c>
      <c r="K240">
        <f t="shared" si="14"/>
        <v>1.3775047412552699E-3</v>
      </c>
      <c r="R240" s="12" t="str">
        <f ca="1">IFERROR(__xludf.DUMMYFUNCTION("""COMPUTED_VALUE"""),"Charlie's Angels: Full Throttle ")</f>
        <v>Charlie's Angels: Full Throttle </v>
      </c>
      <c r="S240" s="12">
        <f t="shared" si="15"/>
        <v>156781728</v>
      </c>
    </row>
    <row r="241" spans="1:19" x14ac:dyDescent="0.3">
      <c r="A241" s="2" t="s">
        <v>69</v>
      </c>
      <c r="B241" s="2">
        <v>104</v>
      </c>
      <c r="C241" s="3">
        <v>42877165</v>
      </c>
      <c r="D241" s="3" t="s">
        <v>5854</v>
      </c>
      <c r="E241" s="2" t="s">
        <v>70</v>
      </c>
      <c r="F241" s="2" t="s">
        <v>10</v>
      </c>
      <c r="G241" s="2" t="s">
        <v>71</v>
      </c>
      <c r="H241" s="2">
        <v>210000000</v>
      </c>
      <c r="I241" s="2">
        <v>6.8</v>
      </c>
      <c r="J241" s="2">
        <v>3300000</v>
      </c>
      <c r="K241">
        <f t="shared" si="14"/>
        <v>1.3775047412552699E-3</v>
      </c>
      <c r="R241" s="12" t="str">
        <f ca="1">IFERROR(__xludf.DUMMYFUNCTION("""COMPUTED_VALUE"""),"Prometheus ")</f>
        <v>Prometheus </v>
      </c>
      <c r="S241" s="12">
        <f t="shared" si="15"/>
        <v>104156464</v>
      </c>
    </row>
    <row r="242" spans="1:19" x14ac:dyDescent="0.3">
      <c r="A242" s="2" t="s">
        <v>1365</v>
      </c>
      <c r="B242" s="2">
        <v>115</v>
      </c>
      <c r="C242" s="3">
        <v>126546825</v>
      </c>
      <c r="D242" s="3" t="s">
        <v>5799</v>
      </c>
      <c r="E242" s="2" t="s">
        <v>3555</v>
      </c>
      <c r="F242" s="2" t="s">
        <v>10</v>
      </c>
      <c r="G242" s="2" t="s">
        <v>11</v>
      </c>
      <c r="H242" s="2">
        <v>7000000</v>
      </c>
      <c r="I242" s="2">
        <v>6.8</v>
      </c>
      <c r="J242" s="2">
        <v>3300000</v>
      </c>
      <c r="K242">
        <f t="shared" si="14"/>
        <v>1.3775047412552699E-3</v>
      </c>
      <c r="R242" s="12" t="str">
        <f ca="1">IFERROR(__xludf.DUMMYFUNCTION("""COMPUTED_VALUE"""),"Stuart Little 2 ")</f>
        <v>Stuart Little 2 </v>
      </c>
      <c r="S242" s="12">
        <f t="shared" si="15"/>
        <v>54968774</v>
      </c>
    </row>
    <row r="243" spans="1:19" x14ac:dyDescent="0.3">
      <c r="A243" s="2" t="s">
        <v>2325</v>
      </c>
      <c r="B243" s="2">
        <v>101</v>
      </c>
      <c r="C243" s="3">
        <v>143523463</v>
      </c>
      <c r="D243" s="3" t="s">
        <v>5753</v>
      </c>
      <c r="E243" s="2" t="s">
        <v>2326</v>
      </c>
      <c r="F243" s="2" t="s">
        <v>10</v>
      </c>
      <c r="G243" s="2" t="s">
        <v>11</v>
      </c>
      <c r="H243" s="2">
        <v>23000000</v>
      </c>
      <c r="I243" s="2">
        <v>6.1</v>
      </c>
      <c r="J243" s="2">
        <v>3300000</v>
      </c>
      <c r="K243">
        <f t="shared" si="14"/>
        <v>1.3775047412552699E-3</v>
      </c>
      <c r="R243" s="12" t="str">
        <f ca="1">IFERROR(__xludf.DUMMYFUNCTION("""COMPUTED_VALUE"""),"Elysium ")</f>
        <v>Elysium </v>
      </c>
      <c r="S243" s="12">
        <f t="shared" si="15"/>
        <v>77356857</v>
      </c>
    </row>
    <row r="244" spans="1:19" x14ac:dyDescent="0.3">
      <c r="A244" s="2" t="s">
        <v>965</v>
      </c>
      <c r="B244" s="2">
        <v>135</v>
      </c>
      <c r="C244" s="3">
        <v>83892374</v>
      </c>
      <c r="D244" s="3" t="s">
        <v>5819</v>
      </c>
      <c r="E244" s="2" t="s">
        <v>2771</v>
      </c>
      <c r="F244" s="2" t="s">
        <v>10</v>
      </c>
      <c r="G244" s="2" t="s">
        <v>11</v>
      </c>
      <c r="H244" s="2">
        <v>35000000</v>
      </c>
      <c r="I244" s="2">
        <v>7.5</v>
      </c>
      <c r="J244" s="2">
        <v>3300000</v>
      </c>
      <c r="K244">
        <f t="shared" si="14"/>
        <v>1.3775047412552699E-3</v>
      </c>
      <c r="R244" s="12" t="str">
        <f ca="1">IFERROR(__xludf.DUMMYFUNCTION("""COMPUTED_VALUE"""),"The Chronicles of Riddick ")</f>
        <v>The Chronicles of Riddick </v>
      </c>
      <c r="S244" s="12">
        <f t="shared" si="15"/>
        <v>11505065</v>
      </c>
    </row>
    <row r="245" spans="1:19" x14ac:dyDescent="0.3">
      <c r="A245" s="2" t="s">
        <v>2420</v>
      </c>
      <c r="B245" s="2">
        <v>103</v>
      </c>
      <c r="C245" s="3">
        <v>40118420</v>
      </c>
      <c r="D245" s="3" t="s">
        <v>5855</v>
      </c>
      <c r="E245" s="2" t="s">
        <v>2421</v>
      </c>
      <c r="F245" s="2" t="s">
        <v>10</v>
      </c>
      <c r="G245" s="2" t="s">
        <v>11</v>
      </c>
      <c r="H245" s="2">
        <v>28000000</v>
      </c>
      <c r="I245" s="2">
        <v>6.6</v>
      </c>
      <c r="J245" s="2">
        <v>3300000</v>
      </c>
      <c r="K245">
        <f t="shared" si="14"/>
        <v>1.3775047412552699E-3</v>
      </c>
      <c r="R245" s="12" t="str">
        <f ca="1">IFERROR(__xludf.DUMMYFUNCTION("""COMPUTED_VALUE"""),"RoboCop ")</f>
        <v>RoboCop </v>
      </c>
      <c r="S245" s="12">
        <f t="shared" si="15"/>
        <v>109590960</v>
      </c>
    </row>
    <row r="246" spans="1:19" x14ac:dyDescent="0.3">
      <c r="A246" s="2" t="s">
        <v>1301</v>
      </c>
      <c r="B246" s="2">
        <v>215</v>
      </c>
      <c r="C246" s="3">
        <v>484221</v>
      </c>
      <c r="D246" s="3" t="s">
        <v>5856</v>
      </c>
      <c r="E246" s="2" t="s">
        <v>1302</v>
      </c>
      <c r="F246" s="2" t="s">
        <v>10</v>
      </c>
      <c r="G246" s="2" t="s">
        <v>11</v>
      </c>
      <c r="H246" s="2">
        <v>52000000</v>
      </c>
      <c r="I246" s="2">
        <v>7.6</v>
      </c>
      <c r="J246" s="2">
        <v>3300000</v>
      </c>
      <c r="K246">
        <f t="shared" si="14"/>
        <v>1.3775047412552699E-3</v>
      </c>
      <c r="R246" s="12" t="str">
        <f ca="1">IFERROR(__xludf.DUMMYFUNCTION("""COMPUTED_VALUE"""),"Speed Racer ")</f>
        <v>Speed Racer </v>
      </c>
      <c r="S246" s="12">
        <f t="shared" si="15"/>
        <v>60835030</v>
      </c>
    </row>
    <row r="247" spans="1:19" x14ac:dyDescent="0.3">
      <c r="A247" s="2" t="s">
        <v>214</v>
      </c>
      <c r="B247" s="2">
        <v>102</v>
      </c>
      <c r="C247" s="3">
        <v>117698894</v>
      </c>
      <c r="D247" s="3" t="s">
        <v>5831</v>
      </c>
      <c r="E247" s="2" t="s">
        <v>215</v>
      </c>
      <c r="F247" s="2" t="s">
        <v>10</v>
      </c>
      <c r="G247" s="2" t="s">
        <v>11</v>
      </c>
      <c r="H247" s="2">
        <v>150000000</v>
      </c>
      <c r="I247" s="2">
        <v>7.6</v>
      </c>
      <c r="J247" s="2">
        <v>3300000</v>
      </c>
      <c r="K247">
        <f t="shared" si="14"/>
        <v>1.3775047412552699E-3</v>
      </c>
      <c r="R247" s="12" t="str">
        <f ca="1">IFERROR(__xludf.DUMMYFUNCTION("""COMPUTED_VALUE"""),"How Do You Know ")</f>
        <v>How Do You Know </v>
      </c>
      <c r="S247" s="12">
        <f t="shared" si="15"/>
        <v>90339411</v>
      </c>
    </row>
    <row r="248" spans="1:19" x14ac:dyDescent="0.3">
      <c r="A248" s="2" t="s">
        <v>248</v>
      </c>
      <c r="B248" s="2">
        <v>111</v>
      </c>
      <c r="C248" s="3">
        <v>74058698</v>
      </c>
      <c r="D248" s="3" t="s">
        <v>5857</v>
      </c>
      <c r="E248" s="2" t="s">
        <v>249</v>
      </c>
      <c r="F248" s="2" t="s">
        <v>10</v>
      </c>
      <c r="G248" s="2" t="s">
        <v>11</v>
      </c>
      <c r="H248" s="2">
        <v>150000000</v>
      </c>
      <c r="I248" s="2">
        <v>5.8</v>
      </c>
      <c r="J248" s="2">
        <v>3300000</v>
      </c>
      <c r="K248">
        <f t="shared" si="14"/>
        <v>1.3775047412552699E-3</v>
      </c>
      <c r="R248" s="12" t="str">
        <f ca="1">IFERROR(__xludf.DUMMYFUNCTION("""COMPUTED_VALUE"""),"Knight and Day ")</f>
        <v>Knight and Day </v>
      </c>
      <c r="S248" s="12">
        <f t="shared" si="15"/>
        <v>3326666</v>
      </c>
    </row>
    <row r="249" spans="1:19" x14ac:dyDescent="0.3">
      <c r="A249" s="2" t="s">
        <v>2308</v>
      </c>
      <c r="B249" s="2">
        <v>140</v>
      </c>
      <c r="C249" s="3">
        <v>75305995</v>
      </c>
      <c r="D249" s="3" t="s">
        <v>5804</v>
      </c>
      <c r="E249" s="2" t="s">
        <v>2646</v>
      </c>
      <c r="F249" s="2" t="s">
        <v>10</v>
      </c>
      <c r="G249" s="2" t="s">
        <v>11</v>
      </c>
      <c r="H249" s="2">
        <v>25000000</v>
      </c>
      <c r="I249" s="2">
        <v>8.1999999999999993</v>
      </c>
      <c r="J249" s="2">
        <v>3300000</v>
      </c>
      <c r="K249">
        <f t="shared" si="14"/>
        <v>1.3775047412552699E-3</v>
      </c>
      <c r="R249" s="12" t="str">
        <f ca="1">IFERROR(__xludf.DUMMYFUNCTION("""COMPUTED_VALUE"""),"Oblivion ")</f>
        <v>Oblivion </v>
      </c>
      <c r="S249" s="12">
        <f t="shared" si="15"/>
        <v>-12759012</v>
      </c>
    </row>
    <row r="250" spans="1:19" x14ac:dyDescent="0.3">
      <c r="A250" s="2" t="s">
        <v>598</v>
      </c>
      <c r="B250" s="2">
        <v>157</v>
      </c>
      <c r="C250" s="3">
        <v>40219708</v>
      </c>
      <c r="D250" s="3" t="s">
        <v>5858</v>
      </c>
      <c r="E250" s="2" t="s">
        <v>1294</v>
      </c>
      <c r="F250" s="2" t="s">
        <v>10</v>
      </c>
      <c r="G250" s="2" t="s">
        <v>11</v>
      </c>
      <c r="H250" s="2">
        <v>40000000</v>
      </c>
      <c r="I250" s="2">
        <v>7.4</v>
      </c>
      <c r="J250" s="2">
        <v>3300000</v>
      </c>
      <c r="K250">
        <f t="shared" si="14"/>
        <v>1.3775047412552699E-3</v>
      </c>
      <c r="R250" s="12" t="str">
        <f ca="1">IFERROR(__xludf.DUMMYFUNCTION("""COMPUTED_VALUE"""),"Star Wars: Episode III - Revenge of the Sith ")</f>
        <v>Star Wars: Episode III - Revenge of the Sith </v>
      </c>
      <c r="S250" s="12">
        <f t="shared" si="15"/>
        <v>89454043</v>
      </c>
    </row>
    <row r="251" spans="1:19" x14ac:dyDescent="0.3">
      <c r="A251" s="2" t="s">
        <v>5192</v>
      </c>
      <c r="B251" s="2">
        <v>114</v>
      </c>
      <c r="C251" s="3">
        <v>93452056</v>
      </c>
      <c r="D251" s="3" t="s">
        <v>5859</v>
      </c>
      <c r="E251" s="2" t="s">
        <v>5193</v>
      </c>
      <c r="F251" s="2" t="s">
        <v>723</v>
      </c>
      <c r="G251" s="2" t="s">
        <v>4867</v>
      </c>
      <c r="H251" s="2">
        <v>1500000</v>
      </c>
      <c r="I251" s="2">
        <v>7.9</v>
      </c>
      <c r="J251" s="2">
        <v>3300000</v>
      </c>
      <c r="K251">
        <f t="shared" si="14"/>
        <v>1.3775047412552699E-3</v>
      </c>
      <c r="R251" s="12" t="str">
        <f ca="1">IFERROR(__xludf.DUMMYFUNCTION("""COMPUTED_VALUE"""),"Star Wars: Episode II - Attack of the Clones ")</f>
        <v>Star Wars: Episode II - Attack of the Clones </v>
      </c>
      <c r="S251" s="12">
        <f t="shared" si="15"/>
        <v>36970895</v>
      </c>
    </row>
    <row r="252" spans="1:19" x14ac:dyDescent="0.3">
      <c r="A252" s="2" t="s">
        <v>321</v>
      </c>
      <c r="B252" s="2">
        <v>106</v>
      </c>
      <c r="C252" s="3">
        <v>187991439</v>
      </c>
      <c r="D252" s="3" t="s">
        <v>5771</v>
      </c>
      <c r="E252" s="2" t="s">
        <v>4643</v>
      </c>
      <c r="F252" s="2" t="s">
        <v>723</v>
      </c>
      <c r="G252" s="2" t="s">
        <v>3044</v>
      </c>
      <c r="H252" s="2">
        <v>2000000</v>
      </c>
      <c r="I252" s="2">
        <v>7.7</v>
      </c>
      <c r="J252" s="2">
        <v>3300000</v>
      </c>
      <c r="K252">
        <f t="shared" si="14"/>
        <v>1.3775047412552699E-3</v>
      </c>
      <c r="R252" s="12" t="str">
        <f ca="1">IFERROR(__xludf.DUMMYFUNCTION("""COMPUTED_VALUE"""),"Monsters, Inc. ")</f>
        <v>Monsters, Inc. </v>
      </c>
      <c r="S252" s="12">
        <f t="shared" si="15"/>
        <v>155548400</v>
      </c>
    </row>
    <row r="253" spans="1:19" x14ac:dyDescent="0.3">
      <c r="A253" s="2" t="s">
        <v>83</v>
      </c>
      <c r="B253" s="2">
        <v>144</v>
      </c>
      <c r="C253" s="3">
        <v>44469602</v>
      </c>
      <c r="D253" s="3" t="s">
        <v>5860</v>
      </c>
      <c r="E253" s="2" t="s">
        <v>448</v>
      </c>
      <c r="F253" s="2" t="s">
        <v>10</v>
      </c>
      <c r="G253" s="2" t="s">
        <v>16</v>
      </c>
      <c r="H253" s="2">
        <v>150000000</v>
      </c>
      <c r="I253" s="2">
        <v>8</v>
      </c>
      <c r="J253" s="2">
        <v>3300000</v>
      </c>
      <c r="K253">
        <f t="shared" si="14"/>
        <v>1.3775047412552699E-3</v>
      </c>
      <c r="R253" s="12" t="str">
        <f ca="1">IFERROR(__xludf.DUMMYFUNCTION("""COMPUTED_VALUE"""),"The Wolverine ")</f>
        <v>The Wolverine </v>
      </c>
      <c r="S253" s="12">
        <f t="shared" si="15"/>
        <v>104019448</v>
      </c>
    </row>
    <row r="254" spans="1:19" x14ac:dyDescent="0.3">
      <c r="A254" s="2" t="s">
        <v>1626</v>
      </c>
      <c r="B254" s="2">
        <v>132</v>
      </c>
      <c r="C254" s="3">
        <v>155181732</v>
      </c>
      <c r="D254" s="3" t="s">
        <v>5861</v>
      </c>
      <c r="E254" s="2" t="s">
        <v>3784</v>
      </c>
      <c r="F254" s="2" t="s">
        <v>10</v>
      </c>
      <c r="G254" s="2" t="s">
        <v>16</v>
      </c>
      <c r="H254" s="2">
        <v>12000000</v>
      </c>
      <c r="I254" s="2">
        <v>6.6</v>
      </c>
      <c r="J254" s="2">
        <v>3300000</v>
      </c>
      <c r="K254">
        <f t="shared" si="14"/>
        <v>1.3775047412552699E-3</v>
      </c>
      <c r="R254" s="12" t="str">
        <f ca="1">IFERROR(__xludf.DUMMYFUNCTION("""COMPUTED_VALUE"""),"Star Wars: Episode I - The Phantom Menace ")</f>
        <v>Star Wars: Episode I - The Phantom Menace </v>
      </c>
      <c r="S254" s="12">
        <f t="shared" si="15"/>
        <v>84470202</v>
      </c>
    </row>
    <row r="255" spans="1:19" x14ac:dyDescent="0.3">
      <c r="A255" s="2" t="s">
        <v>2883</v>
      </c>
      <c r="B255" s="2">
        <v>93</v>
      </c>
      <c r="C255" s="3">
        <v>11008432</v>
      </c>
      <c r="D255" s="3" t="s">
        <v>5862</v>
      </c>
      <c r="E255" s="2" t="s">
        <v>3709</v>
      </c>
      <c r="F255" s="2" t="s">
        <v>10</v>
      </c>
      <c r="G255" s="2" t="s">
        <v>11</v>
      </c>
      <c r="H255" s="2">
        <v>13000000</v>
      </c>
      <c r="I255" s="2">
        <v>5.9</v>
      </c>
      <c r="J255" s="2">
        <v>3300000</v>
      </c>
      <c r="K255">
        <f t="shared" si="14"/>
        <v>1.3775047412552699E-3</v>
      </c>
      <c r="R255" s="12" t="str">
        <f ca="1">IFERROR(__xludf.DUMMYFUNCTION("""COMPUTED_VALUE"""),"The Croods ")</f>
        <v>The Croods </v>
      </c>
      <c r="S255" s="12">
        <f t="shared" si="15"/>
        <v>-31114866</v>
      </c>
    </row>
    <row r="256" spans="1:19" x14ac:dyDescent="0.3">
      <c r="A256" s="2" t="s">
        <v>4107</v>
      </c>
      <c r="B256" s="2">
        <v>96</v>
      </c>
      <c r="C256" s="3">
        <v>165500000</v>
      </c>
      <c r="D256" s="3" t="s">
        <v>5771</v>
      </c>
      <c r="E256" s="2" t="s">
        <v>4108</v>
      </c>
      <c r="F256" s="2" t="s">
        <v>10</v>
      </c>
      <c r="G256" s="2" t="s">
        <v>11</v>
      </c>
      <c r="H256" s="2">
        <v>5000000</v>
      </c>
      <c r="I256" s="2">
        <v>6.5</v>
      </c>
      <c r="J256" s="2">
        <v>3300000</v>
      </c>
      <c r="K256">
        <f t="shared" si="14"/>
        <v>1.3775047412552699E-3</v>
      </c>
      <c r="R256" s="12" t="str">
        <f ca="1">IFERROR(__xludf.DUMMYFUNCTION("""COMPUTED_VALUE"""),"Windtalkers ")</f>
        <v>Windtalkers </v>
      </c>
      <c r="S256" s="12">
        <f t="shared" si="15"/>
        <v>39547512</v>
      </c>
    </row>
    <row r="257" spans="1:19" x14ac:dyDescent="0.3">
      <c r="A257" s="2" t="s">
        <v>1867</v>
      </c>
      <c r="B257" s="2">
        <v>123</v>
      </c>
      <c r="C257" s="3">
        <v>141600000</v>
      </c>
      <c r="D257" s="3" t="s">
        <v>5863</v>
      </c>
      <c r="E257" s="2" t="s">
        <v>1868</v>
      </c>
      <c r="F257" s="2" t="s">
        <v>10</v>
      </c>
      <c r="G257" s="2" t="s">
        <v>11</v>
      </c>
      <c r="H257" s="2">
        <v>35000000</v>
      </c>
      <c r="I257" s="2">
        <v>6.2</v>
      </c>
      <c r="J257" s="2">
        <v>3300000</v>
      </c>
      <c r="K257">
        <f t="shared" si="14"/>
        <v>1.3775047412552699E-3</v>
      </c>
      <c r="R257" s="12" t="str">
        <f ca="1">IFERROR(__xludf.DUMMYFUNCTION("""COMPUTED_VALUE"""),"The Huntsman: Winter's War ")</f>
        <v>The Huntsman: Winter's War </v>
      </c>
      <c r="S257" s="12">
        <f t="shared" si="15"/>
        <v>67450058</v>
      </c>
    </row>
    <row r="258" spans="1:19" x14ac:dyDescent="0.3">
      <c r="A258" s="2" t="s">
        <v>19</v>
      </c>
      <c r="B258" s="2">
        <v>132</v>
      </c>
      <c r="C258" s="3">
        <v>73103784</v>
      </c>
      <c r="D258" s="3" t="s">
        <v>5795</v>
      </c>
      <c r="E258" s="2" t="s">
        <v>20</v>
      </c>
      <c r="F258" s="2" t="s">
        <v>10</v>
      </c>
      <c r="G258" s="2" t="s">
        <v>11</v>
      </c>
      <c r="H258" s="2">
        <v>263700000</v>
      </c>
      <c r="I258" s="2">
        <v>6.6</v>
      </c>
      <c r="J258" s="2">
        <v>3300000</v>
      </c>
      <c r="K258">
        <f t="shared" ref="K258:K321" si="16">CORREL(H$2:H$3941,J$2:J$3941)</f>
        <v>1.3775047412552699E-3</v>
      </c>
      <c r="R258" s="12" t="str">
        <f ca="1">IFERROR(__xludf.DUMMYFUNCTION("""COMPUTED_VALUE"""),"Teenage Mutant Ninja Turtles ")</f>
        <v>Teenage Mutant Ninja Turtles </v>
      </c>
      <c r="S258" s="12">
        <f t="shared" si="15"/>
        <v>72762022</v>
      </c>
    </row>
    <row r="259" spans="1:19" x14ac:dyDescent="0.3">
      <c r="A259" s="2" t="s">
        <v>4935</v>
      </c>
      <c r="B259" s="2">
        <v>96</v>
      </c>
      <c r="C259" s="3">
        <v>122012710</v>
      </c>
      <c r="D259" s="3" t="s">
        <v>5753</v>
      </c>
      <c r="E259" s="2" t="s">
        <v>4936</v>
      </c>
      <c r="F259" s="2" t="s">
        <v>10</v>
      </c>
      <c r="G259" s="2" t="s">
        <v>16</v>
      </c>
      <c r="H259" s="2">
        <v>1900000</v>
      </c>
      <c r="I259" s="2">
        <v>6.9</v>
      </c>
      <c r="J259" s="2">
        <v>3300000</v>
      </c>
      <c r="K259">
        <f t="shared" si="16"/>
        <v>1.3775047412552699E-3</v>
      </c>
      <c r="R259" s="12" t="str">
        <f ca="1">IFERROR(__xludf.DUMMYFUNCTION("""COMPUTED_VALUE"""),"Gravity ")</f>
        <v>Gravity </v>
      </c>
      <c r="S259" s="12">
        <f t="shared" si="15"/>
        <v>23985501</v>
      </c>
    </row>
    <row r="260" spans="1:19" x14ac:dyDescent="0.3">
      <c r="A260" s="2" t="s">
        <v>165</v>
      </c>
      <c r="B260" s="2">
        <v>98</v>
      </c>
      <c r="C260" s="3">
        <v>81645152</v>
      </c>
      <c r="D260" s="3" t="s">
        <v>5788</v>
      </c>
      <c r="E260" s="2" t="s">
        <v>166</v>
      </c>
      <c r="F260" s="2" t="s">
        <v>10</v>
      </c>
      <c r="G260" s="2" t="s">
        <v>11</v>
      </c>
      <c r="H260" s="2">
        <v>165000000</v>
      </c>
      <c r="I260" s="2">
        <v>8.1999999999999993</v>
      </c>
      <c r="J260" s="2">
        <v>3300000</v>
      </c>
      <c r="K260">
        <f t="shared" si="16"/>
        <v>1.3775047412552699E-3</v>
      </c>
      <c r="R260" s="12" t="str">
        <f ca="1">IFERROR(__xludf.DUMMYFUNCTION("""COMPUTED_VALUE"""),"Dante's Peak ")</f>
        <v>Dante's Peak </v>
      </c>
      <c r="S260" s="12">
        <f t="shared" si="15"/>
        <v>3034755</v>
      </c>
    </row>
    <row r="261" spans="1:19" x14ac:dyDescent="0.3">
      <c r="A261" s="2" t="s">
        <v>693</v>
      </c>
      <c r="B261" s="2">
        <v>118</v>
      </c>
      <c r="C261" s="3">
        <v>90755643</v>
      </c>
      <c r="D261" s="3" t="s">
        <v>5864</v>
      </c>
      <c r="E261" s="2" t="s">
        <v>694</v>
      </c>
      <c r="F261" s="2" t="s">
        <v>10</v>
      </c>
      <c r="G261" s="2" t="s">
        <v>11</v>
      </c>
      <c r="H261" s="2">
        <v>80000000</v>
      </c>
      <c r="I261" s="2">
        <v>6.9</v>
      </c>
      <c r="J261" s="2">
        <v>3300000</v>
      </c>
      <c r="K261">
        <f t="shared" si="16"/>
        <v>1.3775047412552699E-3</v>
      </c>
      <c r="R261" s="12" t="str">
        <f ca="1">IFERROR(__xludf.DUMMYFUNCTION("""COMPUTED_VALUE"""),"Teenage Mutant Ninja Turtles: Out of the Shadows ")</f>
        <v>Teenage Mutant Ninja Turtles: Out of the Shadows </v>
      </c>
      <c r="S261" s="12">
        <f t="shared" si="15"/>
        <v>111405371</v>
      </c>
    </row>
    <row r="262" spans="1:19" x14ac:dyDescent="0.3">
      <c r="A262" s="2" t="s">
        <v>2801</v>
      </c>
      <c r="B262" s="2">
        <v>88</v>
      </c>
      <c r="C262" s="3">
        <v>102981571</v>
      </c>
      <c r="D262" s="3" t="s">
        <v>5865</v>
      </c>
      <c r="E262" s="2" t="s">
        <v>5364</v>
      </c>
      <c r="F262" s="2" t="s">
        <v>10</v>
      </c>
      <c r="G262" s="2" t="s">
        <v>199</v>
      </c>
      <c r="H262" s="2">
        <v>1000000</v>
      </c>
      <c r="I262" s="2">
        <v>4.0999999999999996</v>
      </c>
      <c r="J262" s="2">
        <v>3300000</v>
      </c>
      <c r="K262">
        <f t="shared" si="16"/>
        <v>1.3775047412552699E-3</v>
      </c>
      <c r="R262" s="12" t="str">
        <f ca="1">IFERROR(__xludf.DUMMYFUNCTION("""COMPUTED_VALUE"""),"Fantastic Four ")</f>
        <v>Fantastic Four </v>
      </c>
      <c r="S262" s="12">
        <f t="shared" si="15"/>
        <v>35859889</v>
      </c>
    </row>
    <row r="263" spans="1:19" x14ac:dyDescent="0.3">
      <c r="A263" s="2" t="s">
        <v>341</v>
      </c>
      <c r="B263" s="2">
        <v>114</v>
      </c>
      <c r="C263" s="3">
        <v>127214072</v>
      </c>
      <c r="D263" s="3" t="s">
        <v>5804</v>
      </c>
      <c r="E263" s="2" t="s">
        <v>3204</v>
      </c>
      <c r="F263" s="2" t="s">
        <v>10</v>
      </c>
      <c r="G263" s="2" t="s">
        <v>16</v>
      </c>
      <c r="H263" s="2">
        <v>18000000</v>
      </c>
      <c r="I263" s="2">
        <v>7.3</v>
      </c>
      <c r="J263" s="2">
        <v>3300000</v>
      </c>
      <c r="K263">
        <f t="shared" si="16"/>
        <v>1.3775047412552699E-3</v>
      </c>
      <c r="R263" s="12" t="str">
        <f ca="1">IFERROR(__xludf.DUMMYFUNCTION("""COMPUTED_VALUE"""),"Night at the Museum ")</f>
        <v>Night at the Museum </v>
      </c>
      <c r="S263" s="12">
        <f t="shared" si="15"/>
        <v>-167122835</v>
      </c>
    </row>
    <row r="264" spans="1:19" x14ac:dyDescent="0.3">
      <c r="A264" s="2" t="s">
        <v>228</v>
      </c>
      <c r="B264" s="2">
        <v>99</v>
      </c>
      <c r="C264" s="3">
        <v>101334374</v>
      </c>
      <c r="D264" s="3" t="s">
        <v>5866</v>
      </c>
      <c r="E264" s="2" t="s">
        <v>229</v>
      </c>
      <c r="F264" s="2" t="s">
        <v>10</v>
      </c>
      <c r="G264" s="2" t="s">
        <v>11</v>
      </c>
      <c r="H264" s="2">
        <v>150000000</v>
      </c>
      <c r="I264" s="2">
        <v>5.8</v>
      </c>
      <c r="J264" s="2">
        <v>3300000</v>
      </c>
      <c r="K264">
        <f t="shared" si="16"/>
        <v>1.3775047412552699E-3</v>
      </c>
      <c r="R264" s="12" t="str">
        <f ca="1">IFERROR(__xludf.DUMMYFUNCTION("""COMPUTED_VALUE"""),"San Andreas ")</f>
        <v>San Andreas </v>
      </c>
      <c r="S264" s="12">
        <f t="shared" si="15"/>
        <v>119546825</v>
      </c>
    </row>
    <row r="265" spans="1:19" x14ac:dyDescent="0.3">
      <c r="A265" s="2" t="s">
        <v>4093</v>
      </c>
      <c r="B265" s="2">
        <v>93</v>
      </c>
      <c r="C265" s="3">
        <v>170684505</v>
      </c>
      <c r="D265" s="3" t="s">
        <v>5825</v>
      </c>
      <c r="E265" s="2" t="s">
        <v>4094</v>
      </c>
      <c r="F265" s="2" t="s">
        <v>10</v>
      </c>
      <c r="G265" s="2" t="s">
        <v>11</v>
      </c>
      <c r="H265" s="2">
        <v>10000000</v>
      </c>
      <c r="I265" s="2">
        <v>4.8</v>
      </c>
      <c r="J265" s="2">
        <v>3300000</v>
      </c>
      <c r="K265">
        <f t="shared" si="16"/>
        <v>1.3775047412552699E-3</v>
      </c>
      <c r="R265" s="12" t="str">
        <f ca="1">IFERROR(__xludf.DUMMYFUNCTION("""COMPUTED_VALUE"""),"Tomorrow Never Dies ")</f>
        <v>Tomorrow Never Dies </v>
      </c>
      <c r="S265" s="12">
        <f t="shared" si="15"/>
        <v>120523463</v>
      </c>
    </row>
    <row r="266" spans="1:19" x14ac:dyDescent="0.3">
      <c r="A266" s="2" t="s">
        <v>96</v>
      </c>
      <c r="B266" s="2">
        <v>143</v>
      </c>
      <c r="C266" s="3">
        <v>187670866</v>
      </c>
      <c r="D266" s="3" t="s">
        <v>5804</v>
      </c>
      <c r="E266" s="2" t="s">
        <v>97</v>
      </c>
      <c r="F266" s="2" t="s">
        <v>10</v>
      </c>
      <c r="G266" s="2" t="s">
        <v>98</v>
      </c>
      <c r="H266" s="2">
        <v>105000000</v>
      </c>
      <c r="I266" s="2">
        <v>7.3</v>
      </c>
      <c r="J266" s="2">
        <v>3300000</v>
      </c>
      <c r="K266">
        <f t="shared" si="16"/>
        <v>1.3775047412552699E-3</v>
      </c>
      <c r="R266" s="12" t="str">
        <f ca="1">IFERROR(__xludf.DUMMYFUNCTION("""COMPUTED_VALUE"""),"The Patriot ")</f>
        <v>The Patriot </v>
      </c>
      <c r="S266" s="12">
        <f t="shared" si="15"/>
        <v>48892374</v>
      </c>
    </row>
    <row r="267" spans="1:19" x14ac:dyDescent="0.3">
      <c r="A267" s="2" t="s">
        <v>3458</v>
      </c>
      <c r="B267" s="2">
        <v>97</v>
      </c>
      <c r="C267" s="3">
        <v>22954968</v>
      </c>
      <c r="D267" s="3" t="s">
        <v>5867</v>
      </c>
      <c r="E267" s="2" t="s">
        <v>4459</v>
      </c>
      <c r="F267" s="2" t="s">
        <v>10</v>
      </c>
      <c r="G267" s="2" t="s">
        <v>11</v>
      </c>
      <c r="H267" s="2">
        <v>6500000</v>
      </c>
      <c r="I267" s="2">
        <v>6.8</v>
      </c>
      <c r="J267" s="2">
        <v>3300000</v>
      </c>
      <c r="K267">
        <f t="shared" si="16"/>
        <v>1.3775047412552699E-3</v>
      </c>
      <c r="R267" s="12" t="str">
        <f ca="1">IFERROR(__xludf.DUMMYFUNCTION("""COMPUTED_VALUE"""),"Ocean's Twelve ")</f>
        <v>Ocean's Twelve </v>
      </c>
      <c r="S267" s="12">
        <f t="shared" si="15"/>
        <v>12118420</v>
      </c>
    </row>
    <row r="268" spans="1:19" x14ac:dyDescent="0.3">
      <c r="A268" s="2" t="s">
        <v>1254</v>
      </c>
      <c r="B268" s="2">
        <v>124</v>
      </c>
      <c r="C268" s="3">
        <v>141600000</v>
      </c>
      <c r="D268" s="3" t="s">
        <v>5796</v>
      </c>
      <c r="E268" s="2" t="s">
        <v>2585</v>
      </c>
      <c r="F268" s="2" t="s">
        <v>10</v>
      </c>
      <c r="G268" s="2" t="s">
        <v>16</v>
      </c>
      <c r="H268" s="2">
        <v>25000000</v>
      </c>
      <c r="I268" s="2">
        <v>7.5</v>
      </c>
      <c r="J268" s="2">
        <v>3300000</v>
      </c>
      <c r="K268">
        <f t="shared" si="16"/>
        <v>1.3775047412552699E-3</v>
      </c>
      <c r="R268" s="12" t="str">
        <f ca="1">IFERROR(__xludf.DUMMYFUNCTION("""COMPUTED_VALUE"""),"Mr. &amp; Mrs. Smith ")</f>
        <v>Mr. &amp; Mrs. Smith </v>
      </c>
      <c r="S268" s="12">
        <f t="shared" si="15"/>
        <v>-51515779</v>
      </c>
    </row>
    <row r="269" spans="1:19" x14ac:dyDescent="0.3">
      <c r="A269" s="2" t="s">
        <v>1347</v>
      </c>
      <c r="B269" s="2">
        <v>93</v>
      </c>
      <c r="C269" s="3">
        <v>25464480</v>
      </c>
      <c r="D269" s="3" t="s">
        <v>5868</v>
      </c>
      <c r="E269" s="2" t="s">
        <v>2906</v>
      </c>
      <c r="F269" s="2" t="s">
        <v>10</v>
      </c>
      <c r="G269" s="2" t="s">
        <v>11</v>
      </c>
      <c r="H269" s="2">
        <v>20000000</v>
      </c>
      <c r="I269" s="2">
        <v>6.2</v>
      </c>
      <c r="J269" s="2">
        <v>3300000</v>
      </c>
      <c r="K269">
        <f t="shared" si="16"/>
        <v>1.3775047412552699E-3</v>
      </c>
      <c r="R269" s="12" t="str">
        <f ca="1">IFERROR(__xludf.DUMMYFUNCTION("""COMPUTED_VALUE"""),"Insurgent ")</f>
        <v>Insurgent </v>
      </c>
      <c r="S269" s="12">
        <f t="shared" si="15"/>
        <v>-32301106</v>
      </c>
    </row>
    <row r="270" spans="1:19" x14ac:dyDescent="0.3">
      <c r="A270" s="2" t="s">
        <v>3052</v>
      </c>
      <c r="B270" s="2">
        <v>106</v>
      </c>
      <c r="C270" s="3">
        <v>33422806</v>
      </c>
      <c r="D270" s="3" t="s">
        <v>5869</v>
      </c>
      <c r="E270" s="2" t="s">
        <v>4229</v>
      </c>
      <c r="F270" s="2" t="s">
        <v>10</v>
      </c>
      <c r="G270" s="2" t="s">
        <v>11</v>
      </c>
      <c r="H270" s="2">
        <v>9000000</v>
      </c>
      <c r="I270" s="2">
        <v>6.9</v>
      </c>
      <c r="J270" s="2">
        <v>3300000</v>
      </c>
      <c r="K270">
        <f t="shared" si="16"/>
        <v>1.3775047412552699E-3</v>
      </c>
      <c r="R270" s="12" t="str">
        <f ca="1">IFERROR(__xludf.DUMMYFUNCTION("""COMPUTED_VALUE"""),"The Aviator ")</f>
        <v>The Aviator </v>
      </c>
      <c r="S270" s="12">
        <f t="shared" si="15"/>
        <v>-75941302</v>
      </c>
    </row>
    <row r="271" spans="1:19" x14ac:dyDescent="0.3">
      <c r="A271" s="2" t="s">
        <v>1124</v>
      </c>
      <c r="B271" s="2">
        <v>107</v>
      </c>
      <c r="C271" s="3">
        <v>67266300</v>
      </c>
      <c r="D271" s="3" t="s">
        <v>5773</v>
      </c>
      <c r="E271" s="2" t="s">
        <v>2480</v>
      </c>
      <c r="F271" s="2" t="s">
        <v>10</v>
      </c>
      <c r="G271" s="2" t="s">
        <v>16</v>
      </c>
      <c r="H271" s="2">
        <v>26000000</v>
      </c>
      <c r="I271" s="2">
        <v>7.8</v>
      </c>
      <c r="J271" s="2">
        <v>3300000</v>
      </c>
      <c r="K271">
        <f t="shared" si="16"/>
        <v>1.3775047412552699E-3</v>
      </c>
      <c r="R271" s="12" t="str">
        <f ca="1">IFERROR(__xludf.DUMMYFUNCTION("""COMPUTED_VALUE"""),"Gulliver's Travels ")</f>
        <v>Gulliver's Travels </v>
      </c>
      <c r="S271" s="12">
        <f t="shared" si="15"/>
        <v>50305995</v>
      </c>
    </row>
    <row r="272" spans="1:19" x14ac:dyDescent="0.3">
      <c r="A272" s="2" t="s">
        <v>330</v>
      </c>
      <c r="B272" s="2">
        <v>103</v>
      </c>
      <c r="C272" s="3">
        <v>42044321</v>
      </c>
      <c r="D272" s="3" t="s">
        <v>5870</v>
      </c>
      <c r="E272" s="2" t="s">
        <v>3376</v>
      </c>
      <c r="F272" s="2" t="s">
        <v>10</v>
      </c>
      <c r="G272" s="2" t="s">
        <v>11</v>
      </c>
      <c r="H272" s="2">
        <v>18000000</v>
      </c>
      <c r="I272" s="2">
        <v>7.5</v>
      </c>
      <c r="J272" s="2">
        <v>3300000</v>
      </c>
      <c r="K272">
        <f t="shared" si="16"/>
        <v>1.3775047412552699E-3</v>
      </c>
      <c r="R272" s="12" t="str">
        <f ca="1">IFERROR(__xludf.DUMMYFUNCTION("""COMPUTED_VALUE"""),"The Green Hornet ")</f>
        <v>The Green Hornet </v>
      </c>
      <c r="S272" s="12">
        <f t="shared" si="15"/>
        <v>219708</v>
      </c>
    </row>
    <row r="273" spans="1:19" x14ac:dyDescent="0.3">
      <c r="A273" s="2" t="s">
        <v>574</v>
      </c>
      <c r="B273" s="2">
        <v>91</v>
      </c>
      <c r="C273" s="3">
        <v>143704210</v>
      </c>
      <c r="D273" s="3" t="s">
        <v>5866</v>
      </c>
      <c r="E273" s="2" t="s">
        <v>761</v>
      </c>
      <c r="F273" s="2" t="s">
        <v>10</v>
      </c>
      <c r="G273" s="2" t="s">
        <v>11</v>
      </c>
      <c r="H273" s="2">
        <v>79000000</v>
      </c>
      <c r="I273" s="2">
        <v>3.4</v>
      </c>
      <c r="J273" s="2">
        <v>3300000</v>
      </c>
      <c r="K273">
        <f t="shared" si="16"/>
        <v>1.3775047412552699E-3</v>
      </c>
      <c r="R273" s="12" t="str">
        <f ca="1">IFERROR(__xludf.DUMMYFUNCTION("""COMPUTED_VALUE"""),"300: Rise of an Empire ")</f>
        <v>300: Rise of an Empire </v>
      </c>
      <c r="S273" s="12">
        <f t="shared" si="15"/>
        <v>91952056</v>
      </c>
    </row>
    <row r="274" spans="1:19" x14ac:dyDescent="0.3">
      <c r="A274" s="2" t="s">
        <v>619</v>
      </c>
      <c r="B274" s="2">
        <v>137</v>
      </c>
      <c r="C274" s="3">
        <v>135381507</v>
      </c>
      <c r="D274" s="3" t="s">
        <v>5758</v>
      </c>
      <c r="E274" s="2" t="s">
        <v>1473</v>
      </c>
      <c r="F274" s="2" t="s">
        <v>10</v>
      </c>
      <c r="G274" s="2" t="s">
        <v>1474</v>
      </c>
      <c r="H274" s="2">
        <v>50000000</v>
      </c>
      <c r="I274" s="2">
        <v>6.4</v>
      </c>
      <c r="J274" s="2">
        <v>3300000</v>
      </c>
      <c r="K274">
        <f t="shared" si="16"/>
        <v>1.3775047412552699E-3</v>
      </c>
      <c r="R274" s="12" t="str">
        <f ca="1">IFERROR(__xludf.DUMMYFUNCTION("""COMPUTED_VALUE"""),"The Smurfs ")</f>
        <v>The Smurfs </v>
      </c>
      <c r="S274" s="12">
        <f t="shared" si="15"/>
        <v>185991439</v>
      </c>
    </row>
    <row r="275" spans="1:19" x14ac:dyDescent="0.3">
      <c r="A275" s="2" t="s">
        <v>1330</v>
      </c>
      <c r="B275" s="2">
        <v>123</v>
      </c>
      <c r="C275" s="3">
        <v>49121934</v>
      </c>
      <c r="D275" s="3" t="s">
        <v>5753</v>
      </c>
      <c r="E275" s="2" t="s">
        <v>1331</v>
      </c>
      <c r="F275" s="2" t="s">
        <v>10</v>
      </c>
      <c r="G275" s="2" t="s">
        <v>11</v>
      </c>
      <c r="H275" s="2">
        <v>60000000</v>
      </c>
      <c r="I275" s="2">
        <v>7.6</v>
      </c>
      <c r="J275" s="2">
        <v>3300000</v>
      </c>
      <c r="K275">
        <f t="shared" si="16"/>
        <v>1.3775047412552699E-3</v>
      </c>
      <c r="R275" s="12" t="str">
        <f ca="1">IFERROR(__xludf.DUMMYFUNCTION("""COMPUTED_VALUE"""),"Home on the Range ")</f>
        <v>Home on the Range </v>
      </c>
      <c r="S275" s="12">
        <f t="shared" si="15"/>
        <v>-105530398</v>
      </c>
    </row>
    <row r="276" spans="1:19" x14ac:dyDescent="0.3">
      <c r="A276" s="2" t="s">
        <v>5640</v>
      </c>
      <c r="B276" s="2">
        <v>106</v>
      </c>
      <c r="C276" s="3">
        <v>134821952</v>
      </c>
      <c r="D276" s="3" t="s">
        <v>5768</v>
      </c>
      <c r="E276" s="2" t="s">
        <v>5641</v>
      </c>
      <c r="F276" s="2" t="s">
        <v>10</v>
      </c>
      <c r="G276" s="2" t="s">
        <v>11</v>
      </c>
      <c r="H276" s="3">
        <v>474544677</v>
      </c>
      <c r="I276" s="2">
        <v>7.7</v>
      </c>
      <c r="J276" s="2">
        <v>3300000</v>
      </c>
      <c r="K276">
        <f t="shared" si="16"/>
        <v>1.3775047412552699E-3</v>
      </c>
      <c r="R276" s="12" t="str">
        <f ca="1">IFERROR(__xludf.DUMMYFUNCTION("""COMPUTED_VALUE"""),"Allegiant ")</f>
        <v>Allegiant </v>
      </c>
      <c r="S276" s="12">
        <f t="shared" si="15"/>
        <v>143181732</v>
      </c>
    </row>
    <row r="277" spans="1:19" x14ac:dyDescent="0.3">
      <c r="A277" s="2" t="s">
        <v>17</v>
      </c>
      <c r="B277" s="2">
        <v>152</v>
      </c>
      <c r="C277" s="3">
        <v>83552429</v>
      </c>
      <c r="D277" s="3" t="s">
        <v>5795</v>
      </c>
      <c r="E277" s="2" t="s">
        <v>121</v>
      </c>
      <c r="F277" s="2" t="s">
        <v>10</v>
      </c>
      <c r="G277" s="2" t="s">
        <v>11</v>
      </c>
      <c r="H277" s="2">
        <v>185000000</v>
      </c>
      <c r="I277" s="2">
        <v>9</v>
      </c>
      <c r="J277" s="2">
        <v>3300000</v>
      </c>
      <c r="K277">
        <f t="shared" si="16"/>
        <v>1.3775047412552699E-3</v>
      </c>
      <c r="R277" s="12" t="str">
        <f ca="1">IFERROR(__xludf.DUMMYFUNCTION("""COMPUTED_VALUE"""),"Real Steel ")</f>
        <v>Real Steel </v>
      </c>
      <c r="S277" s="12">
        <f t="shared" si="15"/>
        <v>-1991568</v>
      </c>
    </row>
    <row r="278" spans="1:19" x14ac:dyDescent="0.3">
      <c r="A278" s="2" t="s">
        <v>909</v>
      </c>
      <c r="B278" s="2">
        <v>111</v>
      </c>
      <c r="C278" s="3">
        <v>176740650</v>
      </c>
      <c r="D278" s="3" t="s">
        <v>5871</v>
      </c>
      <c r="E278" s="2" t="s">
        <v>935</v>
      </c>
      <c r="F278" s="2" t="s">
        <v>10</v>
      </c>
      <c r="G278" s="2" t="s">
        <v>11</v>
      </c>
      <c r="H278" s="2">
        <v>36000000</v>
      </c>
      <c r="I278" s="2">
        <v>5.9</v>
      </c>
      <c r="J278" s="2">
        <v>3300000</v>
      </c>
      <c r="K278">
        <f t="shared" si="16"/>
        <v>1.3775047412552699E-3</v>
      </c>
      <c r="R278" s="12" t="str">
        <f ca="1">IFERROR(__xludf.DUMMYFUNCTION("""COMPUTED_VALUE"""),"The Smurfs 2 ")</f>
        <v>The Smurfs 2 </v>
      </c>
      <c r="S278" s="12">
        <f t="shared" si="15"/>
        <v>160500000</v>
      </c>
    </row>
    <row r="279" spans="1:19" x14ac:dyDescent="0.3">
      <c r="A279" s="2" t="s">
        <v>3032</v>
      </c>
      <c r="B279" s="2">
        <v>110</v>
      </c>
      <c r="C279" s="3">
        <v>67631157</v>
      </c>
      <c r="D279" s="3" t="s">
        <v>5872</v>
      </c>
      <c r="E279" s="2" t="s">
        <v>3033</v>
      </c>
      <c r="F279" s="2" t="s">
        <v>10</v>
      </c>
      <c r="G279" s="2" t="s">
        <v>11</v>
      </c>
      <c r="H279" s="2">
        <v>20000000</v>
      </c>
      <c r="I279" s="2">
        <v>5</v>
      </c>
      <c r="J279" s="2">
        <v>3300000</v>
      </c>
      <c r="K279">
        <f t="shared" si="16"/>
        <v>1.3775047412552699E-3</v>
      </c>
      <c r="R279" s="12" t="str">
        <f ca="1">IFERROR(__xludf.DUMMYFUNCTION("""COMPUTED_VALUE"""),"Speed 2: Cruise Control ")</f>
        <v>Speed 2: Cruise Control </v>
      </c>
      <c r="S279" s="12">
        <f t="shared" si="15"/>
        <v>106600000</v>
      </c>
    </row>
    <row r="280" spans="1:19" x14ac:dyDescent="0.3">
      <c r="A280" s="2" t="s">
        <v>5457</v>
      </c>
      <c r="B280" s="2">
        <v>81</v>
      </c>
      <c r="C280" s="3">
        <v>121468960</v>
      </c>
      <c r="D280" s="3" t="s">
        <v>5873</v>
      </c>
      <c r="E280" s="2" t="s">
        <v>5458</v>
      </c>
      <c r="F280" s="2" t="s">
        <v>10</v>
      </c>
      <c r="G280" s="2" t="s">
        <v>11</v>
      </c>
      <c r="H280" s="2">
        <v>7830000</v>
      </c>
      <c r="I280" s="2">
        <v>6.4</v>
      </c>
      <c r="J280" s="2">
        <v>3300000</v>
      </c>
      <c r="K280">
        <f t="shared" si="16"/>
        <v>1.3775047412552699E-3</v>
      </c>
      <c r="R280" s="12" t="str">
        <f ca="1">IFERROR(__xludf.DUMMYFUNCTION("""COMPUTED_VALUE"""),"Ender's Game ")</f>
        <v>Ender's Game </v>
      </c>
      <c r="S280" s="12">
        <f t="shared" si="15"/>
        <v>-190596216</v>
      </c>
    </row>
    <row r="281" spans="1:19" x14ac:dyDescent="0.3">
      <c r="A281" s="2" t="s">
        <v>5208</v>
      </c>
      <c r="B281" s="2">
        <v>84</v>
      </c>
      <c r="C281" s="3">
        <v>155019340</v>
      </c>
      <c r="D281" s="3" t="s">
        <v>5773</v>
      </c>
      <c r="E281" s="2" t="s">
        <v>5209</v>
      </c>
      <c r="F281" s="2" t="s">
        <v>10</v>
      </c>
      <c r="G281" s="2" t="s">
        <v>11</v>
      </c>
      <c r="H281" s="2">
        <v>1500000</v>
      </c>
      <c r="I281" s="2">
        <v>6.3</v>
      </c>
      <c r="J281" s="2">
        <v>3300000</v>
      </c>
      <c r="K281">
        <f t="shared" si="16"/>
        <v>1.3775047412552699E-3</v>
      </c>
      <c r="R281" s="12" t="str">
        <f ca="1">IFERROR(__xludf.DUMMYFUNCTION("""COMPUTED_VALUE"""),"Live Free or Die Hard ")</f>
        <v>Live Free or Die Hard </v>
      </c>
      <c r="S281" s="12">
        <f t="shared" ref="S281:S344" si="17">C259-H259</f>
        <v>120112710</v>
      </c>
    </row>
    <row r="282" spans="1:19" x14ac:dyDescent="0.3">
      <c r="A282" s="2" t="s">
        <v>2653</v>
      </c>
      <c r="B282" s="2">
        <v>92</v>
      </c>
      <c r="C282" s="3">
        <v>63071133</v>
      </c>
      <c r="D282" s="3" t="s">
        <v>5869</v>
      </c>
      <c r="E282" s="2" t="s">
        <v>2654</v>
      </c>
      <c r="F282" s="2" t="s">
        <v>10</v>
      </c>
      <c r="G282" s="2" t="s">
        <v>11</v>
      </c>
      <c r="H282" s="2">
        <v>14000000</v>
      </c>
      <c r="I282" s="2">
        <v>5.9</v>
      </c>
      <c r="J282" s="2">
        <v>3300000</v>
      </c>
      <c r="K282">
        <f t="shared" si="16"/>
        <v>1.3775047412552699E-3</v>
      </c>
      <c r="R282" s="12" t="str">
        <f ca="1">IFERROR(__xludf.DUMMYFUNCTION("""COMPUTED_VALUE"""),"The Lord of the Rings: The Fellowship of the Ring ")</f>
        <v>The Lord of the Rings: The Fellowship of the Ring </v>
      </c>
      <c r="S282" s="12">
        <f t="shared" si="17"/>
        <v>-83354848</v>
      </c>
    </row>
    <row r="283" spans="1:19" x14ac:dyDescent="0.3">
      <c r="A283" s="2" t="s">
        <v>1067</v>
      </c>
      <c r="B283" s="2">
        <v>96</v>
      </c>
      <c r="C283" s="3">
        <v>62933793</v>
      </c>
      <c r="D283" s="3" t="s">
        <v>5874</v>
      </c>
      <c r="E283" s="2" t="s">
        <v>2393</v>
      </c>
      <c r="F283" s="2" t="s">
        <v>10</v>
      </c>
      <c r="G283" s="2" t="s">
        <v>11</v>
      </c>
      <c r="H283" s="2">
        <v>28000000</v>
      </c>
      <c r="I283" s="2">
        <v>6.7</v>
      </c>
      <c r="J283" s="2">
        <v>3300000</v>
      </c>
      <c r="K283">
        <f t="shared" si="16"/>
        <v>1.3775047412552699E-3</v>
      </c>
      <c r="R283" s="12" t="str">
        <f ca="1">IFERROR(__xludf.DUMMYFUNCTION("""COMPUTED_VALUE"""),"Around the World in 80 Days ")</f>
        <v>Around the World in 80 Days </v>
      </c>
      <c r="S283" s="12">
        <f t="shared" si="17"/>
        <v>10755643</v>
      </c>
    </row>
    <row r="284" spans="1:19" x14ac:dyDescent="0.3">
      <c r="A284" s="2" t="s">
        <v>3749</v>
      </c>
      <c r="B284" s="2">
        <v>99</v>
      </c>
      <c r="C284" s="3">
        <v>73058679</v>
      </c>
      <c r="D284" s="3" t="s">
        <v>5875</v>
      </c>
      <c r="E284" s="2" t="s">
        <v>3750</v>
      </c>
      <c r="F284" s="2" t="s">
        <v>10</v>
      </c>
      <c r="G284" s="2" t="s">
        <v>11</v>
      </c>
      <c r="H284" s="2">
        <v>12500000</v>
      </c>
      <c r="I284" s="2">
        <v>6.6</v>
      </c>
      <c r="J284" s="2">
        <v>3300000</v>
      </c>
      <c r="K284">
        <f t="shared" si="16"/>
        <v>1.3775047412552699E-3</v>
      </c>
      <c r="R284" s="12" t="str">
        <f ca="1">IFERROR(__xludf.DUMMYFUNCTION("""COMPUTED_VALUE"""),"Ali ")</f>
        <v>Ali </v>
      </c>
      <c r="S284" s="12">
        <f t="shared" si="17"/>
        <v>101981571</v>
      </c>
    </row>
    <row r="285" spans="1:19" x14ac:dyDescent="0.3">
      <c r="A285" s="2" t="s">
        <v>1864</v>
      </c>
      <c r="B285" s="2">
        <v>146</v>
      </c>
      <c r="C285" s="3">
        <v>75074950</v>
      </c>
      <c r="D285" s="3" t="s">
        <v>5876</v>
      </c>
      <c r="E285" s="2" t="s">
        <v>1865</v>
      </c>
      <c r="F285" s="2" t="s">
        <v>10</v>
      </c>
      <c r="G285" s="2" t="s">
        <v>11</v>
      </c>
      <c r="H285" s="2">
        <v>38000000</v>
      </c>
      <c r="I285" s="2">
        <v>7.6</v>
      </c>
      <c r="J285" s="2">
        <v>3300000</v>
      </c>
      <c r="K285">
        <f t="shared" si="16"/>
        <v>1.3775047412552699E-3</v>
      </c>
      <c r="R285" s="12" t="str">
        <f ca="1">IFERROR(__xludf.DUMMYFUNCTION("""COMPUTED_VALUE"""),"The Cat in the Hat ")</f>
        <v>The Cat in the Hat </v>
      </c>
      <c r="S285" s="12">
        <f t="shared" si="17"/>
        <v>109214072</v>
      </c>
    </row>
    <row r="286" spans="1:19" x14ac:dyDescent="0.3">
      <c r="A286" s="2" t="s">
        <v>3337</v>
      </c>
      <c r="B286" s="2">
        <v>113</v>
      </c>
      <c r="C286" s="3">
        <v>127490802</v>
      </c>
      <c r="D286" s="3" t="s">
        <v>5877</v>
      </c>
      <c r="E286" s="2" t="s">
        <v>3338</v>
      </c>
      <c r="F286" s="2" t="s">
        <v>10</v>
      </c>
      <c r="G286" s="2" t="s">
        <v>11</v>
      </c>
      <c r="H286" s="2">
        <v>16000000</v>
      </c>
      <c r="I286" s="2">
        <v>7.2</v>
      </c>
      <c r="J286" s="2">
        <v>3300000</v>
      </c>
      <c r="K286">
        <f t="shared" si="16"/>
        <v>1.3775047412552699E-3</v>
      </c>
      <c r="R286" s="12" t="str">
        <f ca="1">IFERROR(__xludf.DUMMYFUNCTION("""COMPUTED_VALUE"""),"I, Robot ")</f>
        <v>I, Robot </v>
      </c>
      <c r="S286" s="12">
        <f t="shared" si="17"/>
        <v>-48665626</v>
      </c>
    </row>
    <row r="287" spans="1:19" x14ac:dyDescent="0.3">
      <c r="A287" s="2" t="s">
        <v>1891</v>
      </c>
      <c r="B287" s="2">
        <v>85</v>
      </c>
      <c r="C287" s="3">
        <v>24475416</v>
      </c>
      <c r="D287" s="3" t="s">
        <v>5771</v>
      </c>
      <c r="E287" s="2" t="s">
        <v>5415</v>
      </c>
      <c r="F287" s="2" t="s">
        <v>10</v>
      </c>
      <c r="G287" s="2" t="s">
        <v>11</v>
      </c>
      <c r="H287" s="2">
        <v>900000</v>
      </c>
      <c r="I287" s="2">
        <v>7.5</v>
      </c>
      <c r="J287" s="2">
        <v>3300000</v>
      </c>
      <c r="K287">
        <f t="shared" si="16"/>
        <v>1.3775047412552699E-3</v>
      </c>
      <c r="R287" s="12" t="str">
        <f ca="1">IFERROR(__xludf.DUMMYFUNCTION("""COMPUTED_VALUE"""),"Kingdom of Heaven ")</f>
        <v>Kingdom of Heaven </v>
      </c>
      <c r="S287" s="12">
        <f t="shared" si="17"/>
        <v>160684505</v>
      </c>
    </row>
    <row r="288" spans="1:19" x14ac:dyDescent="0.3">
      <c r="A288" s="2" t="s">
        <v>3112</v>
      </c>
      <c r="B288" s="2">
        <v>100</v>
      </c>
      <c r="C288" s="3">
        <v>89732035</v>
      </c>
      <c r="D288" s="3" t="s">
        <v>5753</v>
      </c>
      <c r="E288" s="2" t="s">
        <v>3113</v>
      </c>
      <c r="F288" s="2" t="s">
        <v>10</v>
      </c>
      <c r="G288" s="2" t="s">
        <v>11</v>
      </c>
      <c r="H288" s="2">
        <v>19000000</v>
      </c>
      <c r="I288" s="2">
        <v>6.4</v>
      </c>
      <c r="J288" s="2">
        <v>3300000</v>
      </c>
      <c r="K288">
        <f t="shared" si="16"/>
        <v>1.3775047412552699E-3</v>
      </c>
      <c r="R288" s="12" t="str">
        <f ca="1">IFERROR(__xludf.DUMMYFUNCTION("""COMPUTED_VALUE"""),"Stuart Little ")</f>
        <v>Stuart Little </v>
      </c>
      <c r="S288" s="12">
        <f t="shared" si="17"/>
        <v>82670866</v>
      </c>
    </row>
    <row r="289" spans="1:19" x14ac:dyDescent="0.3">
      <c r="A289" s="2" t="s">
        <v>2148</v>
      </c>
      <c r="B289" s="2">
        <v>113</v>
      </c>
      <c r="C289" s="3">
        <v>126464904</v>
      </c>
      <c r="D289" s="3" t="s">
        <v>5878</v>
      </c>
      <c r="E289" s="2" t="s">
        <v>2149</v>
      </c>
      <c r="F289" s="2" t="s">
        <v>10</v>
      </c>
      <c r="G289" s="2" t="s">
        <v>16</v>
      </c>
      <c r="H289" s="2">
        <v>31500000</v>
      </c>
      <c r="I289" s="2">
        <v>6.3</v>
      </c>
      <c r="J289" s="2">
        <v>3300000</v>
      </c>
      <c r="K289">
        <f t="shared" si="16"/>
        <v>1.3775047412552699E-3</v>
      </c>
      <c r="R289" s="12" t="str">
        <f ca="1">IFERROR(__xludf.DUMMYFUNCTION("""COMPUTED_VALUE"""),"The Princess and the Frog ")</f>
        <v>The Princess and the Frog </v>
      </c>
      <c r="S289" s="12">
        <f t="shared" si="17"/>
        <v>16454968</v>
      </c>
    </row>
    <row r="290" spans="1:19" x14ac:dyDescent="0.3">
      <c r="A290" s="2" t="s">
        <v>810</v>
      </c>
      <c r="B290" s="2">
        <v>128</v>
      </c>
      <c r="C290" s="3">
        <v>186336103</v>
      </c>
      <c r="D290" s="3" t="s">
        <v>5761</v>
      </c>
      <c r="E290" s="2" t="s">
        <v>1218</v>
      </c>
      <c r="F290" s="2" t="s">
        <v>10</v>
      </c>
      <c r="G290" s="2" t="s">
        <v>11</v>
      </c>
      <c r="H290" s="2">
        <v>55000000</v>
      </c>
      <c r="I290" s="2">
        <v>6</v>
      </c>
      <c r="J290" s="2">
        <v>3300000</v>
      </c>
      <c r="K290">
        <f t="shared" si="16"/>
        <v>1.3775047412552699E-3</v>
      </c>
      <c r="R290" s="12" t="str">
        <f ca="1">IFERROR(__xludf.DUMMYFUNCTION("""COMPUTED_VALUE"""),"The Martian ")</f>
        <v>The Martian </v>
      </c>
      <c r="S290" s="12">
        <f t="shared" si="17"/>
        <v>116600000</v>
      </c>
    </row>
    <row r="291" spans="1:19" x14ac:dyDescent="0.3">
      <c r="A291" s="2" t="s">
        <v>1075</v>
      </c>
      <c r="B291" s="2">
        <v>98</v>
      </c>
      <c r="C291" s="3">
        <v>137340146</v>
      </c>
      <c r="D291" s="3" t="s">
        <v>5787</v>
      </c>
      <c r="E291" s="2" t="s">
        <v>1076</v>
      </c>
      <c r="F291" s="2" t="s">
        <v>10</v>
      </c>
      <c r="G291" s="2" t="s">
        <v>11</v>
      </c>
      <c r="H291" s="2">
        <v>50000000</v>
      </c>
      <c r="I291" s="2">
        <v>4.4000000000000004</v>
      </c>
      <c r="J291" s="2">
        <v>3300000</v>
      </c>
      <c r="K291">
        <f t="shared" si="16"/>
        <v>1.3775047412552699E-3</v>
      </c>
      <c r="R291" s="12" t="str">
        <f ca="1">IFERROR(__xludf.DUMMYFUNCTION("""COMPUTED_VALUE"""),"The Island ")</f>
        <v>The Island </v>
      </c>
      <c r="S291" s="12">
        <f t="shared" si="17"/>
        <v>5464480</v>
      </c>
    </row>
    <row r="292" spans="1:19" x14ac:dyDescent="0.3">
      <c r="A292" s="2" t="s">
        <v>1949</v>
      </c>
      <c r="B292" s="2">
        <v>106</v>
      </c>
      <c r="C292" s="3">
        <v>34334256</v>
      </c>
      <c r="D292" s="3" t="s">
        <v>5794</v>
      </c>
      <c r="E292" s="2" t="s">
        <v>3139</v>
      </c>
      <c r="F292" s="2" t="s">
        <v>10</v>
      </c>
      <c r="G292" s="2" t="s">
        <v>11</v>
      </c>
      <c r="H292" s="2">
        <v>18000000</v>
      </c>
      <c r="I292" s="2">
        <v>5.7</v>
      </c>
      <c r="J292" s="2">
        <v>3300000</v>
      </c>
      <c r="K292">
        <f t="shared" si="16"/>
        <v>1.3775047412552699E-3</v>
      </c>
      <c r="R292" s="12" t="str">
        <f ca="1">IFERROR(__xludf.DUMMYFUNCTION("""COMPUTED_VALUE"""),"Town &amp; Country ")</f>
        <v>Town &amp; Country </v>
      </c>
      <c r="S292" s="12">
        <f t="shared" si="17"/>
        <v>24422806</v>
      </c>
    </row>
    <row r="293" spans="1:19" x14ac:dyDescent="0.3">
      <c r="A293" s="2" t="s">
        <v>549</v>
      </c>
      <c r="B293" s="2">
        <v>102</v>
      </c>
      <c r="C293" s="3">
        <v>69800000</v>
      </c>
      <c r="D293" s="3" t="s">
        <v>5879</v>
      </c>
      <c r="E293" s="2" t="s">
        <v>4816</v>
      </c>
      <c r="F293" s="2" t="s">
        <v>10</v>
      </c>
      <c r="G293" s="2" t="s">
        <v>11</v>
      </c>
      <c r="H293" s="2">
        <v>1300000</v>
      </c>
      <c r="I293" s="2">
        <v>5.9</v>
      </c>
      <c r="J293" s="2">
        <v>3300000</v>
      </c>
      <c r="K293">
        <f t="shared" si="16"/>
        <v>1.3775047412552699E-3</v>
      </c>
      <c r="R293" s="12" t="str">
        <f ca="1">IFERROR(__xludf.DUMMYFUNCTION("""COMPUTED_VALUE"""),"Gone in Sixty Seconds ")</f>
        <v>Gone in Sixty Seconds </v>
      </c>
      <c r="S293" s="12">
        <f t="shared" si="17"/>
        <v>41266300</v>
      </c>
    </row>
    <row r="294" spans="1:19" x14ac:dyDescent="0.3">
      <c r="A294" s="2" t="s">
        <v>2102</v>
      </c>
      <c r="B294" s="2">
        <v>113</v>
      </c>
      <c r="C294" s="3">
        <v>16929123</v>
      </c>
      <c r="D294" s="3" t="s">
        <v>5880</v>
      </c>
      <c r="E294" s="2" t="s">
        <v>2103</v>
      </c>
      <c r="F294" s="2" t="s">
        <v>10</v>
      </c>
      <c r="G294" s="2" t="s">
        <v>16</v>
      </c>
      <c r="H294" s="2">
        <v>30000000</v>
      </c>
      <c r="I294" s="2">
        <v>6</v>
      </c>
      <c r="J294" s="2">
        <v>3300000</v>
      </c>
      <c r="K294">
        <f t="shared" si="16"/>
        <v>1.3775047412552699E-3</v>
      </c>
      <c r="R294" s="12" t="str">
        <f ca="1">IFERROR(__xludf.DUMMYFUNCTION("""COMPUTED_VALUE"""),"Gladiator ")</f>
        <v>Gladiator </v>
      </c>
      <c r="S294" s="12">
        <f t="shared" si="17"/>
        <v>24044321</v>
      </c>
    </row>
    <row r="295" spans="1:19" x14ac:dyDescent="0.3">
      <c r="A295" s="2" t="s">
        <v>519</v>
      </c>
      <c r="B295" s="2">
        <v>85</v>
      </c>
      <c r="C295" s="3">
        <v>90135191</v>
      </c>
      <c r="D295" s="3" t="s">
        <v>5881</v>
      </c>
      <c r="E295" s="2" t="s">
        <v>521</v>
      </c>
      <c r="F295" s="2" t="s">
        <v>10</v>
      </c>
      <c r="G295" s="2" t="s">
        <v>11</v>
      </c>
      <c r="H295" s="2">
        <v>95000000</v>
      </c>
      <c r="I295" s="2">
        <v>6.2</v>
      </c>
      <c r="J295" s="2">
        <v>3300000</v>
      </c>
      <c r="K295">
        <f t="shared" si="16"/>
        <v>1.3775047412552699E-3</v>
      </c>
      <c r="R295" s="12" t="str">
        <f ca="1">IFERROR(__xludf.DUMMYFUNCTION("""COMPUTED_VALUE"""),"Minority Report ")</f>
        <v>Minority Report </v>
      </c>
      <c r="S295" s="12">
        <f t="shared" si="17"/>
        <v>64704210</v>
      </c>
    </row>
    <row r="296" spans="1:19" x14ac:dyDescent="0.3">
      <c r="A296" s="2" t="s">
        <v>211</v>
      </c>
      <c r="B296" s="2">
        <v>122</v>
      </c>
      <c r="C296" s="3">
        <v>81593527</v>
      </c>
      <c r="D296" s="3" t="s">
        <v>5882</v>
      </c>
      <c r="E296" s="2" t="s">
        <v>2433</v>
      </c>
      <c r="F296" s="2" t="s">
        <v>10</v>
      </c>
      <c r="G296" s="2" t="s">
        <v>11</v>
      </c>
      <c r="H296" s="2">
        <v>27500000</v>
      </c>
      <c r="I296" s="2">
        <v>6.8</v>
      </c>
      <c r="J296" s="2">
        <v>3300000</v>
      </c>
      <c r="K296">
        <f t="shared" si="16"/>
        <v>1.3775047412552699E-3</v>
      </c>
      <c r="R296" s="12" t="str">
        <f ca="1">IFERROR(__xludf.DUMMYFUNCTION("""COMPUTED_VALUE"""),"Harry Potter and the Chamber of Secrets ")</f>
        <v>Harry Potter and the Chamber of Secrets </v>
      </c>
      <c r="S296" s="12">
        <f t="shared" si="17"/>
        <v>85381507</v>
      </c>
    </row>
    <row r="297" spans="1:19" x14ac:dyDescent="0.3">
      <c r="A297" s="2" t="s">
        <v>5290</v>
      </c>
      <c r="B297" s="2">
        <v>86</v>
      </c>
      <c r="C297" s="3">
        <v>73209340</v>
      </c>
      <c r="D297" s="3" t="s">
        <v>5752</v>
      </c>
      <c r="E297" s="2" t="s">
        <v>5291</v>
      </c>
      <c r="F297" s="2" t="s">
        <v>10</v>
      </c>
      <c r="G297" s="2" t="s">
        <v>11</v>
      </c>
      <c r="H297" s="2">
        <v>1000000</v>
      </c>
      <c r="I297" s="2">
        <v>5</v>
      </c>
      <c r="J297" s="2">
        <v>3300000</v>
      </c>
      <c r="K297">
        <f t="shared" si="16"/>
        <v>1.3775047412552699E-3</v>
      </c>
      <c r="R297" s="12" t="str">
        <f ca="1">IFERROR(__xludf.DUMMYFUNCTION("""COMPUTED_VALUE"""),"Casino Royale ")</f>
        <v>Casino Royale </v>
      </c>
      <c r="S297" s="12">
        <f t="shared" si="17"/>
        <v>-10878066</v>
      </c>
    </row>
    <row r="298" spans="1:19" x14ac:dyDescent="0.3">
      <c r="A298" s="2" t="s">
        <v>165</v>
      </c>
      <c r="B298" s="2">
        <v>102</v>
      </c>
      <c r="C298" s="3">
        <v>69951824</v>
      </c>
      <c r="D298" s="3" t="s">
        <v>5883</v>
      </c>
      <c r="E298" s="2" t="s">
        <v>273</v>
      </c>
      <c r="F298" s="2" t="s">
        <v>10</v>
      </c>
      <c r="G298" s="2" t="s">
        <v>11</v>
      </c>
      <c r="H298" s="2">
        <v>145000000</v>
      </c>
      <c r="I298" s="2">
        <v>7.9</v>
      </c>
      <c r="J298" s="2">
        <v>3300000</v>
      </c>
      <c r="K298">
        <f t="shared" si="16"/>
        <v>1.3775047412552699E-3</v>
      </c>
      <c r="R298" s="12" t="str">
        <f ca="1">IFERROR(__xludf.DUMMYFUNCTION("""COMPUTED_VALUE"""),"Planet of the Apes ")</f>
        <v>Planet of the Apes </v>
      </c>
      <c r="S298" s="12">
        <f t="shared" si="17"/>
        <v>-339722725</v>
      </c>
    </row>
    <row r="299" spans="1:19" x14ac:dyDescent="0.3">
      <c r="A299" s="2" t="s">
        <v>4836</v>
      </c>
      <c r="B299" s="2">
        <v>226</v>
      </c>
      <c r="C299" s="2">
        <v>198655278</v>
      </c>
      <c r="D299" s="3" t="s">
        <v>5884</v>
      </c>
      <c r="E299" s="2" t="s">
        <v>4837</v>
      </c>
      <c r="F299" s="2" t="s">
        <v>10</v>
      </c>
      <c r="G299" s="2" t="s">
        <v>11</v>
      </c>
      <c r="H299" s="2">
        <v>3977000</v>
      </c>
      <c r="I299" s="2">
        <v>8.1999999999999993</v>
      </c>
      <c r="J299" s="2">
        <v>3300000</v>
      </c>
      <c r="K299">
        <f t="shared" si="16"/>
        <v>1.3775047412552699E-3</v>
      </c>
      <c r="R299" s="12" t="str">
        <f ca="1">IFERROR(__xludf.DUMMYFUNCTION("""COMPUTED_VALUE"""),"Terminator 2: Judgment Day ")</f>
        <v>Terminator 2: Judgment Day </v>
      </c>
      <c r="S299" s="12">
        <f t="shared" si="17"/>
        <v>-101447571</v>
      </c>
    </row>
    <row r="300" spans="1:19" x14ac:dyDescent="0.3">
      <c r="A300" s="2" t="s">
        <v>2422</v>
      </c>
      <c r="B300" s="2">
        <v>100</v>
      </c>
      <c r="C300" s="3">
        <v>56684819</v>
      </c>
      <c r="D300" s="3" t="s">
        <v>5885</v>
      </c>
      <c r="E300" s="2" t="s">
        <v>2423</v>
      </c>
      <c r="F300" s="2" t="s">
        <v>10</v>
      </c>
      <c r="G300" s="2" t="s">
        <v>504</v>
      </c>
      <c r="H300" s="2">
        <v>28000000</v>
      </c>
      <c r="I300" s="2">
        <v>5.7</v>
      </c>
      <c r="J300" s="3">
        <v>70527</v>
      </c>
      <c r="K300">
        <f t="shared" si="16"/>
        <v>1.3775047412552699E-3</v>
      </c>
      <c r="R300" s="12" t="str">
        <f ca="1">IFERROR(__xludf.DUMMYFUNCTION("""COMPUTED_VALUE"""),"Public Enemies ")</f>
        <v>Public Enemies </v>
      </c>
      <c r="S300" s="12">
        <f t="shared" si="17"/>
        <v>140740650</v>
      </c>
    </row>
    <row r="301" spans="1:19" x14ac:dyDescent="0.3">
      <c r="A301" s="2" t="s">
        <v>1779</v>
      </c>
      <c r="B301" s="2">
        <v>86</v>
      </c>
      <c r="C301" s="3">
        <v>45290318</v>
      </c>
      <c r="D301" s="3" t="s">
        <v>5886</v>
      </c>
      <c r="E301" s="2" t="s">
        <v>1780</v>
      </c>
      <c r="F301" s="2" t="s">
        <v>10</v>
      </c>
      <c r="G301" s="2" t="s">
        <v>11</v>
      </c>
      <c r="H301" s="2">
        <v>40000000</v>
      </c>
      <c r="I301" s="2">
        <v>6.2</v>
      </c>
      <c r="J301" s="3">
        <v>71442</v>
      </c>
      <c r="K301">
        <f t="shared" si="16"/>
        <v>1.3775047412552699E-3</v>
      </c>
      <c r="R301" s="12" t="str">
        <f ca="1">IFERROR(__xludf.DUMMYFUNCTION("""COMPUTED_VALUE"""),"American Gangster ")</f>
        <v>American Gangster </v>
      </c>
      <c r="S301" s="12">
        <f t="shared" si="17"/>
        <v>47631157</v>
      </c>
    </row>
    <row r="302" spans="1:19" x14ac:dyDescent="0.3">
      <c r="A302" s="2" t="s">
        <v>4075</v>
      </c>
      <c r="B302" s="2">
        <v>83</v>
      </c>
      <c r="C302" s="3">
        <v>105444419</v>
      </c>
      <c r="D302" s="3" t="s">
        <v>5759</v>
      </c>
      <c r="E302" s="2" t="s">
        <v>4076</v>
      </c>
      <c r="F302" s="2" t="s">
        <v>10</v>
      </c>
      <c r="G302" s="2" t="s">
        <v>11</v>
      </c>
      <c r="H302" s="2">
        <v>10000000</v>
      </c>
      <c r="I302" s="2">
        <v>6.5</v>
      </c>
      <c r="J302" s="3">
        <v>71904</v>
      </c>
      <c r="K302">
        <f t="shared" si="16"/>
        <v>1.3775047412552699E-3</v>
      </c>
      <c r="R302" s="12" t="str">
        <f ca="1">IFERROR(__xludf.DUMMYFUNCTION("""COMPUTED_VALUE"""),"True Lies ")</f>
        <v>True Lies </v>
      </c>
      <c r="S302" s="12">
        <f t="shared" si="17"/>
        <v>113638960</v>
      </c>
    </row>
    <row r="303" spans="1:19" x14ac:dyDescent="0.3">
      <c r="A303" s="2" t="s">
        <v>104</v>
      </c>
      <c r="B303" s="2">
        <v>154</v>
      </c>
      <c r="C303" s="3">
        <v>2833383</v>
      </c>
      <c r="D303" s="3" t="s">
        <v>5775</v>
      </c>
      <c r="E303" s="2" t="s">
        <v>3387</v>
      </c>
      <c r="F303" s="2" t="s">
        <v>10</v>
      </c>
      <c r="G303" s="2" t="s">
        <v>11</v>
      </c>
      <c r="H303" s="2">
        <v>15000000</v>
      </c>
      <c r="I303" s="2">
        <v>7.8</v>
      </c>
      <c r="J303" s="3">
        <v>72413</v>
      </c>
      <c r="K303">
        <f t="shared" si="16"/>
        <v>1.3775047412552699E-3</v>
      </c>
      <c r="R303" s="12" t="str">
        <f ca="1">IFERROR(__xludf.DUMMYFUNCTION("""COMPUTED_VALUE"""),"The Taking of Pelham 1 2 3 ")</f>
        <v>The Taking of Pelham 1 2 3 </v>
      </c>
      <c r="S303" s="12">
        <f t="shared" si="17"/>
        <v>153519340</v>
      </c>
    </row>
    <row r="304" spans="1:19" x14ac:dyDescent="0.3">
      <c r="A304" s="2" t="s">
        <v>2628</v>
      </c>
      <c r="B304" s="2">
        <v>101</v>
      </c>
      <c r="C304" s="3">
        <v>40218903</v>
      </c>
      <c r="D304" s="3" t="s">
        <v>5887</v>
      </c>
      <c r="E304" s="2" t="s">
        <v>2933</v>
      </c>
      <c r="F304" s="2" t="s">
        <v>10</v>
      </c>
      <c r="G304" s="2" t="s">
        <v>11</v>
      </c>
      <c r="H304" s="2">
        <v>20000000</v>
      </c>
      <c r="I304" s="2">
        <v>6.1</v>
      </c>
      <c r="J304" s="3">
        <v>73548</v>
      </c>
      <c r="K304">
        <f t="shared" si="16"/>
        <v>1.3775047412552699E-3</v>
      </c>
      <c r="R304" s="12" t="str">
        <f ca="1">IFERROR(__xludf.DUMMYFUNCTION("""COMPUTED_VALUE"""),"Little Fockers ")</f>
        <v>Little Fockers </v>
      </c>
      <c r="S304" s="12">
        <f t="shared" si="17"/>
        <v>49071133</v>
      </c>
    </row>
    <row r="305" spans="1:19" x14ac:dyDescent="0.3">
      <c r="A305" s="2" t="s">
        <v>1405</v>
      </c>
      <c r="B305" s="2">
        <v>107</v>
      </c>
      <c r="C305" s="3">
        <v>101217900</v>
      </c>
      <c r="D305" s="3" t="s">
        <v>5753</v>
      </c>
      <c r="E305" s="2" t="s">
        <v>1822</v>
      </c>
      <c r="F305" s="2" t="s">
        <v>10</v>
      </c>
      <c r="G305" s="2" t="s">
        <v>16</v>
      </c>
      <c r="H305" s="2">
        <v>26000000</v>
      </c>
      <c r="I305" s="2">
        <v>7.3</v>
      </c>
      <c r="J305" s="3">
        <v>73678</v>
      </c>
      <c r="K305">
        <f t="shared" si="16"/>
        <v>1.3775047412552699E-3</v>
      </c>
      <c r="R305" s="12" t="str">
        <f ca="1">IFERROR(__xludf.DUMMYFUNCTION("""COMPUTED_VALUE"""),"The Other Guys ")</f>
        <v>The Other Guys </v>
      </c>
      <c r="S305" s="12">
        <f t="shared" si="17"/>
        <v>34933793</v>
      </c>
    </row>
    <row r="306" spans="1:19" x14ac:dyDescent="0.3">
      <c r="A306" s="2" t="s">
        <v>1859</v>
      </c>
      <c r="B306" s="2">
        <v>118</v>
      </c>
      <c r="C306" s="3">
        <v>40559930</v>
      </c>
      <c r="D306" s="3" t="s">
        <v>5888</v>
      </c>
      <c r="E306" s="2" t="s">
        <v>1860</v>
      </c>
      <c r="F306" s="2" t="s">
        <v>10</v>
      </c>
      <c r="G306" s="2" t="s">
        <v>11</v>
      </c>
      <c r="H306" s="2">
        <v>35000000</v>
      </c>
      <c r="I306" s="2">
        <v>6.6</v>
      </c>
      <c r="J306" s="3">
        <v>74205</v>
      </c>
      <c r="K306">
        <f t="shared" si="16"/>
        <v>1.3775047412552699E-3</v>
      </c>
      <c r="R306" s="12" t="str">
        <f ca="1">IFERROR(__xludf.DUMMYFUNCTION("""COMPUTED_VALUE"""),"Eraser ")</f>
        <v>Eraser </v>
      </c>
      <c r="S306" s="12">
        <f t="shared" si="17"/>
        <v>60558679</v>
      </c>
    </row>
    <row r="307" spans="1:19" x14ac:dyDescent="0.3">
      <c r="A307" s="2" t="s">
        <v>600</v>
      </c>
      <c r="B307" s="2">
        <v>115</v>
      </c>
      <c r="C307" s="3">
        <v>89808372</v>
      </c>
      <c r="D307" s="3" t="s">
        <v>5785</v>
      </c>
      <c r="E307" s="2" t="s">
        <v>2033</v>
      </c>
      <c r="F307" s="2" t="s">
        <v>10</v>
      </c>
      <c r="G307" s="2" t="s">
        <v>11</v>
      </c>
      <c r="H307" s="2">
        <v>35000000</v>
      </c>
      <c r="I307" s="2">
        <v>5.7</v>
      </c>
      <c r="J307" s="3">
        <v>75078</v>
      </c>
      <c r="K307">
        <f t="shared" si="16"/>
        <v>1.3775047412552699E-3</v>
      </c>
      <c r="R307" s="12" t="str">
        <f ca="1">IFERROR(__xludf.DUMMYFUNCTION("""COMPUTED_VALUE"""),"Django Unchained ")</f>
        <v>Django Unchained </v>
      </c>
      <c r="S307" s="12">
        <f t="shared" si="17"/>
        <v>37074950</v>
      </c>
    </row>
    <row r="308" spans="1:19" x14ac:dyDescent="0.3">
      <c r="A308" s="2" t="s">
        <v>810</v>
      </c>
      <c r="B308" s="2">
        <v>99</v>
      </c>
      <c r="C308" s="3">
        <v>106369117</v>
      </c>
      <c r="D308" s="3" t="s">
        <v>5889</v>
      </c>
      <c r="E308" s="2" t="s">
        <v>3000</v>
      </c>
      <c r="F308" s="2" t="s">
        <v>10</v>
      </c>
      <c r="G308" s="2" t="s">
        <v>11</v>
      </c>
      <c r="H308" s="2">
        <v>40000000</v>
      </c>
      <c r="I308" s="2">
        <v>4.8</v>
      </c>
      <c r="J308" s="3">
        <v>75727</v>
      </c>
      <c r="K308">
        <f t="shared" si="16"/>
        <v>1.3775047412552699E-3</v>
      </c>
      <c r="R308" s="12" t="str">
        <f ca="1">IFERROR(__xludf.DUMMYFUNCTION("""COMPUTED_VALUE"""),"The Hunchback of Notre Dame ")</f>
        <v>The Hunchback of Notre Dame </v>
      </c>
      <c r="S308" s="12">
        <f t="shared" si="17"/>
        <v>111490802</v>
      </c>
    </row>
    <row r="309" spans="1:19" x14ac:dyDescent="0.3">
      <c r="A309" s="2" t="s">
        <v>3545</v>
      </c>
      <c r="B309" s="2">
        <v>100</v>
      </c>
      <c r="C309" s="3">
        <v>196573705</v>
      </c>
      <c r="D309" s="3" t="s">
        <v>5890</v>
      </c>
      <c r="E309" s="2" t="s">
        <v>5201</v>
      </c>
      <c r="F309" s="2" t="s">
        <v>10</v>
      </c>
      <c r="G309" s="2" t="s">
        <v>11</v>
      </c>
      <c r="H309" s="2">
        <v>1500000</v>
      </c>
      <c r="I309" s="2">
        <v>6.5</v>
      </c>
      <c r="J309" s="3">
        <v>76382</v>
      </c>
      <c r="K309">
        <f t="shared" si="16"/>
        <v>1.3775047412552699E-3</v>
      </c>
      <c r="R309" s="12" t="str">
        <f ca="1">IFERROR(__xludf.DUMMYFUNCTION("""COMPUTED_VALUE"""),"The Emperor's New Groove ")</f>
        <v>The Emperor's New Groove </v>
      </c>
      <c r="S309" s="12">
        <f t="shared" si="17"/>
        <v>23575416</v>
      </c>
    </row>
    <row r="310" spans="1:19" x14ac:dyDescent="0.3">
      <c r="A310" s="2" t="s">
        <v>114</v>
      </c>
      <c r="B310" s="2">
        <v>118</v>
      </c>
      <c r="C310" s="3">
        <v>11905519</v>
      </c>
      <c r="D310" s="3" t="s">
        <v>5891</v>
      </c>
      <c r="E310" s="2" t="s">
        <v>1679</v>
      </c>
      <c r="F310" s="2" t="s">
        <v>10</v>
      </c>
      <c r="G310" s="2" t="s">
        <v>11</v>
      </c>
      <c r="H310" s="2">
        <v>40000000</v>
      </c>
      <c r="I310" s="2">
        <v>7.4</v>
      </c>
      <c r="J310" s="3">
        <v>77231</v>
      </c>
      <c r="K310">
        <f t="shared" si="16"/>
        <v>1.3775047412552699E-3</v>
      </c>
      <c r="R310" s="12" t="str">
        <f ca="1">IFERROR(__xludf.DUMMYFUNCTION("""COMPUTED_VALUE"""),"The Expendables 2 ")</f>
        <v>The Expendables 2 </v>
      </c>
      <c r="S310" s="12">
        <f t="shared" si="17"/>
        <v>70732035</v>
      </c>
    </row>
    <row r="311" spans="1:19" x14ac:dyDescent="0.3">
      <c r="A311" s="2" t="s">
        <v>3910</v>
      </c>
      <c r="B311" s="2">
        <v>89</v>
      </c>
      <c r="C311" s="3">
        <v>143618384</v>
      </c>
      <c r="D311" s="3" t="s">
        <v>5779</v>
      </c>
      <c r="E311" s="2" t="s">
        <v>3911</v>
      </c>
      <c r="F311" s="2" t="s">
        <v>10</v>
      </c>
      <c r="G311" s="2" t="s">
        <v>11</v>
      </c>
      <c r="H311" s="2">
        <v>11000000</v>
      </c>
      <c r="I311" s="2">
        <v>6.3</v>
      </c>
      <c r="J311" s="3">
        <v>77501</v>
      </c>
      <c r="K311">
        <f t="shared" si="16"/>
        <v>1.3775047412552699E-3</v>
      </c>
      <c r="R311" s="12" t="str">
        <f ca="1">IFERROR(__xludf.DUMMYFUNCTION("""COMPUTED_VALUE"""),"National Treasure ")</f>
        <v>National Treasure </v>
      </c>
      <c r="S311" s="12">
        <f t="shared" si="17"/>
        <v>94964904</v>
      </c>
    </row>
    <row r="312" spans="1:19" x14ac:dyDescent="0.3">
      <c r="A312" s="2" t="s">
        <v>248</v>
      </c>
      <c r="B312" s="2">
        <v>111</v>
      </c>
      <c r="C312" s="3">
        <v>179870271</v>
      </c>
      <c r="D312" s="3" t="s">
        <v>5892</v>
      </c>
      <c r="E312" s="2" t="s">
        <v>2254</v>
      </c>
      <c r="F312" s="2" t="s">
        <v>10</v>
      </c>
      <c r="G312" s="2" t="s">
        <v>11</v>
      </c>
      <c r="H312" s="2">
        <v>30000000</v>
      </c>
      <c r="I312" s="2">
        <v>6.8</v>
      </c>
      <c r="J312" s="3">
        <v>78030</v>
      </c>
      <c r="K312">
        <f t="shared" si="16"/>
        <v>1.3775047412552699E-3</v>
      </c>
      <c r="R312" s="12" t="str">
        <f ca="1">IFERROR(__xludf.DUMMYFUNCTION("""COMPUTED_VALUE"""),"Eragon ")</f>
        <v>Eragon </v>
      </c>
      <c r="S312" s="12">
        <f t="shared" si="17"/>
        <v>131336103</v>
      </c>
    </row>
    <row r="313" spans="1:19" x14ac:dyDescent="0.3">
      <c r="A313" s="2" t="s">
        <v>4582</v>
      </c>
      <c r="B313" s="2">
        <v>96</v>
      </c>
      <c r="C313" s="3">
        <v>37101011</v>
      </c>
      <c r="D313" s="3" t="s">
        <v>5893</v>
      </c>
      <c r="E313" s="2" t="s">
        <v>4583</v>
      </c>
      <c r="F313" s="2" t="s">
        <v>10</v>
      </c>
      <c r="G313" s="2" t="s">
        <v>11</v>
      </c>
      <c r="H313" s="2">
        <v>9000000</v>
      </c>
      <c r="I313" s="2">
        <v>5.3</v>
      </c>
      <c r="J313" s="3">
        <v>81525</v>
      </c>
      <c r="K313">
        <f t="shared" si="16"/>
        <v>1.3775047412552699E-3</v>
      </c>
      <c r="R313" s="12" t="str">
        <f ca="1">IFERROR(__xludf.DUMMYFUNCTION("""COMPUTED_VALUE"""),"Where the Wild Things Are ")</f>
        <v>Where the Wild Things Are </v>
      </c>
      <c r="S313" s="12">
        <f t="shared" si="17"/>
        <v>87340146</v>
      </c>
    </row>
    <row r="314" spans="1:19" x14ac:dyDescent="0.3">
      <c r="A314" s="2" t="s">
        <v>3308</v>
      </c>
      <c r="B314" s="2">
        <v>100</v>
      </c>
      <c r="C314" s="3">
        <v>9123834</v>
      </c>
      <c r="D314" s="3" t="s">
        <v>5894</v>
      </c>
      <c r="E314" s="2" t="s">
        <v>3309</v>
      </c>
      <c r="F314" s="2" t="s">
        <v>10</v>
      </c>
      <c r="G314" s="2" t="s">
        <v>504</v>
      </c>
      <c r="H314" s="2">
        <v>15000000</v>
      </c>
      <c r="I314" s="2">
        <v>8</v>
      </c>
      <c r="J314" s="3">
        <v>84961</v>
      </c>
      <c r="K314">
        <f t="shared" si="16"/>
        <v>1.3775047412552699E-3</v>
      </c>
      <c r="R314" s="12" t="str">
        <f ca="1">IFERROR(__xludf.DUMMYFUNCTION("""COMPUTED_VALUE"""),"Epic ")</f>
        <v>Epic </v>
      </c>
      <c r="S314" s="12">
        <f t="shared" si="17"/>
        <v>16334256</v>
      </c>
    </row>
    <row r="315" spans="1:19" x14ac:dyDescent="0.3">
      <c r="A315" s="2" t="s">
        <v>5179</v>
      </c>
      <c r="B315" s="2">
        <v>111</v>
      </c>
      <c r="C315" s="3">
        <v>200807262</v>
      </c>
      <c r="D315" s="3" t="s">
        <v>5895</v>
      </c>
      <c r="E315" s="2" t="s">
        <v>5180</v>
      </c>
      <c r="F315" s="2" t="s">
        <v>10</v>
      </c>
      <c r="G315" s="2" t="s">
        <v>11</v>
      </c>
      <c r="H315" s="2">
        <v>1650000</v>
      </c>
      <c r="I315" s="2">
        <v>5.4</v>
      </c>
      <c r="J315" s="3">
        <v>85222</v>
      </c>
      <c r="K315">
        <f t="shared" si="16"/>
        <v>1.3775047412552699E-3</v>
      </c>
      <c r="R315" s="12" t="str">
        <f ca="1">IFERROR(__xludf.DUMMYFUNCTION("""COMPUTED_VALUE"""),"The Tourist ")</f>
        <v>The Tourist </v>
      </c>
      <c r="S315" s="12">
        <f t="shared" si="17"/>
        <v>68500000</v>
      </c>
    </row>
    <row r="316" spans="1:19" x14ac:dyDescent="0.3">
      <c r="A316" s="2" t="s">
        <v>429</v>
      </c>
      <c r="B316" s="2">
        <v>117</v>
      </c>
      <c r="C316" s="3">
        <v>24881000</v>
      </c>
      <c r="D316" s="3" t="s">
        <v>5896</v>
      </c>
      <c r="E316" s="2" t="s">
        <v>1690</v>
      </c>
      <c r="F316" s="2" t="s">
        <v>10</v>
      </c>
      <c r="G316" s="2" t="s">
        <v>11</v>
      </c>
      <c r="H316" s="2">
        <v>40000000</v>
      </c>
      <c r="I316" s="2">
        <v>7.8</v>
      </c>
      <c r="J316" s="3">
        <v>85433</v>
      </c>
      <c r="K316">
        <f t="shared" si="16"/>
        <v>1.3775047412552699E-3</v>
      </c>
      <c r="R316" s="12" t="str">
        <f ca="1">IFERROR(__xludf.DUMMYFUNCTION("""COMPUTED_VALUE"""),"End of Days ")</f>
        <v>End of Days </v>
      </c>
      <c r="S316" s="12">
        <f t="shared" si="17"/>
        <v>-13070877</v>
      </c>
    </row>
    <row r="317" spans="1:19" x14ac:dyDescent="0.3">
      <c r="A317" s="2" t="s">
        <v>2987</v>
      </c>
      <c r="B317" s="2">
        <v>101</v>
      </c>
      <c r="C317" s="3">
        <v>83503161</v>
      </c>
      <c r="D317" s="3" t="s">
        <v>5897</v>
      </c>
      <c r="E317" s="2" t="s">
        <v>2988</v>
      </c>
      <c r="F317" s="2" t="s">
        <v>10</v>
      </c>
      <c r="G317" s="2" t="s">
        <v>11</v>
      </c>
      <c r="H317" s="2">
        <v>20000000</v>
      </c>
      <c r="I317" s="2">
        <v>5.6</v>
      </c>
      <c r="J317" s="3">
        <v>92191</v>
      </c>
      <c r="K317">
        <f t="shared" si="16"/>
        <v>1.3775047412552699E-3</v>
      </c>
      <c r="R317" s="12" t="str">
        <f ca="1">IFERROR(__xludf.DUMMYFUNCTION("""COMPUTED_VALUE"""),"Blood Diamond ")</f>
        <v>Blood Diamond </v>
      </c>
      <c r="S317" s="12">
        <f t="shared" si="17"/>
        <v>-4864809</v>
      </c>
    </row>
    <row r="318" spans="1:19" x14ac:dyDescent="0.3">
      <c r="A318" s="2" t="s">
        <v>157</v>
      </c>
      <c r="B318" s="2">
        <v>133</v>
      </c>
      <c r="C318" s="3">
        <v>120618403</v>
      </c>
      <c r="D318" s="3" t="s">
        <v>5898</v>
      </c>
      <c r="E318" s="2" t="s">
        <v>263</v>
      </c>
      <c r="F318" s="2" t="s">
        <v>10</v>
      </c>
      <c r="G318" s="2" t="s">
        <v>11</v>
      </c>
      <c r="H318" s="2">
        <v>145000000</v>
      </c>
      <c r="I318" s="2">
        <v>7.4</v>
      </c>
      <c r="J318" s="3">
        <v>92362</v>
      </c>
      <c r="K318">
        <f t="shared" si="16"/>
        <v>1.3775047412552699E-3</v>
      </c>
      <c r="R318" s="12" t="str">
        <f ca="1">IFERROR(__xludf.DUMMYFUNCTION("""COMPUTED_VALUE"""),"The Wolf of Wall Street ")</f>
        <v>The Wolf of Wall Street </v>
      </c>
      <c r="S318" s="12">
        <f t="shared" si="17"/>
        <v>54093527</v>
      </c>
    </row>
    <row r="319" spans="1:19" x14ac:dyDescent="0.3">
      <c r="A319" s="2" t="s">
        <v>1365</v>
      </c>
      <c r="B319" s="2">
        <v>115</v>
      </c>
      <c r="C319" s="3">
        <v>116735231</v>
      </c>
      <c r="D319" s="3" t="s">
        <v>520</v>
      </c>
      <c r="E319" s="2" t="s">
        <v>2438</v>
      </c>
      <c r="F319" s="2" t="s">
        <v>10</v>
      </c>
      <c r="G319" s="2" t="s">
        <v>11</v>
      </c>
      <c r="H319" s="2">
        <v>27000000</v>
      </c>
      <c r="I319" s="2">
        <v>6.6</v>
      </c>
      <c r="J319" s="3">
        <v>92401</v>
      </c>
      <c r="K319">
        <f t="shared" si="16"/>
        <v>1.3775047412552699E-3</v>
      </c>
      <c r="R319" s="12" t="str">
        <f ca="1">IFERROR(__xludf.DUMMYFUNCTION("""COMPUTED_VALUE"""),"Batman Forever ")</f>
        <v>Batman Forever </v>
      </c>
      <c r="S319" s="12">
        <f t="shared" si="17"/>
        <v>72209340</v>
      </c>
    </row>
    <row r="320" spans="1:19" x14ac:dyDescent="0.3">
      <c r="A320" s="2" t="s">
        <v>5358</v>
      </c>
      <c r="B320" s="2">
        <v>78</v>
      </c>
      <c r="C320" s="3">
        <v>56607223</v>
      </c>
      <c r="D320" s="3" t="s">
        <v>5755</v>
      </c>
      <c r="E320" s="2" t="s">
        <v>5359</v>
      </c>
      <c r="F320" s="2" t="s">
        <v>10</v>
      </c>
      <c r="G320" s="2" t="s">
        <v>11</v>
      </c>
      <c r="H320" s="2">
        <v>1000000</v>
      </c>
      <c r="I320" s="2">
        <v>6.1</v>
      </c>
      <c r="J320" s="3">
        <v>92900</v>
      </c>
      <c r="K320">
        <f t="shared" si="16"/>
        <v>1.3775047412552699E-3</v>
      </c>
      <c r="R320" s="12" t="str">
        <f ca="1">IFERROR(__xludf.DUMMYFUNCTION("""COMPUTED_VALUE"""),"Starship Troopers ")</f>
        <v>Starship Troopers </v>
      </c>
      <c r="S320" s="12">
        <f t="shared" si="17"/>
        <v>-75048176</v>
      </c>
    </row>
    <row r="321" spans="1:19" x14ac:dyDescent="0.3">
      <c r="A321" s="2" t="s">
        <v>4873</v>
      </c>
      <c r="B321" s="2">
        <v>103</v>
      </c>
      <c r="C321" s="3">
        <v>198539855</v>
      </c>
      <c r="D321" s="3" t="s">
        <v>5849</v>
      </c>
      <c r="E321" s="2" t="s">
        <v>4874</v>
      </c>
      <c r="F321" s="2" t="s">
        <v>4586</v>
      </c>
      <c r="G321" s="2" t="s">
        <v>4587</v>
      </c>
      <c r="H321" s="2">
        <v>19900000</v>
      </c>
      <c r="I321" s="2">
        <v>7</v>
      </c>
      <c r="J321" s="3">
        <v>94596</v>
      </c>
      <c r="K321">
        <f t="shared" si="16"/>
        <v>1.3775047412552699E-3</v>
      </c>
      <c r="R321" s="12" t="str">
        <f ca="1">IFERROR(__xludf.DUMMYFUNCTION("""COMPUTED_VALUE"""),"Cloud Atlas ")</f>
        <v>Cloud Atlas </v>
      </c>
      <c r="S321" s="12">
        <f t="shared" si="17"/>
        <v>194678278</v>
      </c>
    </row>
    <row r="322" spans="1:19" x14ac:dyDescent="0.3">
      <c r="A322" s="2" t="s">
        <v>2756</v>
      </c>
      <c r="B322" s="2">
        <v>111</v>
      </c>
      <c r="C322" s="3">
        <v>101160529</v>
      </c>
      <c r="D322" s="3" t="s">
        <v>5899</v>
      </c>
      <c r="E322" s="2" t="s">
        <v>2757</v>
      </c>
      <c r="F322" s="2" t="s">
        <v>751</v>
      </c>
      <c r="G322" s="2" t="s">
        <v>504</v>
      </c>
      <c r="H322" s="2">
        <v>19430000</v>
      </c>
      <c r="I322" s="2">
        <v>6.7</v>
      </c>
      <c r="J322" s="3">
        <v>95016</v>
      </c>
      <c r="K322">
        <f t="shared" ref="K322:K385" si="18">CORREL(H$2:H$3941,J$2:J$3941)</f>
        <v>1.3775047412552699E-3</v>
      </c>
      <c r="R322" s="12" t="str">
        <f ca="1">IFERROR(__xludf.DUMMYFUNCTION("""COMPUTED_VALUE"""),"Legend of the Guardians: The Owls of Ga'Hoole ")</f>
        <v>Legend of the Guardians: The Owls of Ga'Hoole </v>
      </c>
      <c r="S322" s="12">
        <f t="shared" si="17"/>
        <v>28684819</v>
      </c>
    </row>
    <row r="323" spans="1:19" x14ac:dyDescent="0.3">
      <c r="A323" s="2" t="s">
        <v>2286</v>
      </c>
      <c r="B323" s="2">
        <v>104</v>
      </c>
      <c r="C323" s="3">
        <v>134568845</v>
      </c>
      <c r="D323" s="3" t="s">
        <v>5779</v>
      </c>
      <c r="E323" s="2" t="s">
        <v>2287</v>
      </c>
      <c r="F323" s="2" t="s">
        <v>10</v>
      </c>
      <c r="G323" s="2" t="s">
        <v>11</v>
      </c>
      <c r="H323" s="2">
        <v>30000000</v>
      </c>
      <c r="I323" s="2">
        <v>5.5</v>
      </c>
      <c r="J323" s="3">
        <v>96734</v>
      </c>
      <c r="K323">
        <f t="shared" si="18"/>
        <v>1.3775047412552699E-3</v>
      </c>
      <c r="R323" s="12" t="str">
        <f ca="1">IFERROR(__xludf.DUMMYFUNCTION("""COMPUTED_VALUE"""),"Catwoman ")</f>
        <v>Catwoman </v>
      </c>
      <c r="S323" s="12">
        <f t="shared" si="17"/>
        <v>5290318</v>
      </c>
    </row>
    <row r="324" spans="1:19" x14ac:dyDescent="0.3">
      <c r="A324" s="2" t="s">
        <v>1405</v>
      </c>
      <c r="B324" s="2">
        <v>101</v>
      </c>
      <c r="C324" s="3">
        <v>93375151</v>
      </c>
      <c r="D324" s="3" t="s">
        <v>5900</v>
      </c>
      <c r="E324" s="2" t="s">
        <v>3358</v>
      </c>
      <c r="F324" s="2" t="s">
        <v>10</v>
      </c>
      <c r="G324" s="2" t="s">
        <v>16</v>
      </c>
      <c r="H324" s="2">
        <v>20000000</v>
      </c>
      <c r="I324" s="2">
        <v>7</v>
      </c>
      <c r="J324" s="3">
        <v>96793</v>
      </c>
      <c r="K324">
        <f t="shared" si="18"/>
        <v>1.3775047412552699E-3</v>
      </c>
      <c r="R324" s="12" t="str">
        <f ca="1">IFERROR(__xludf.DUMMYFUNCTION("""COMPUTED_VALUE"""),"Hercules ")</f>
        <v>Hercules </v>
      </c>
      <c r="S324" s="12">
        <f t="shared" si="17"/>
        <v>95444419</v>
      </c>
    </row>
    <row r="325" spans="1:19" x14ac:dyDescent="0.3">
      <c r="A325" s="2" t="s">
        <v>4410</v>
      </c>
      <c r="B325" s="2">
        <v>95</v>
      </c>
      <c r="C325" s="3">
        <v>155111815</v>
      </c>
      <c r="D325" s="3" t="s">
        <v>5901</v>
      </c>
      <c r="E325" s="2" t="s">
        <v>4411</v>
      </c>
      <c r="F325" s="2" t="s">
        <v>10</v>
      </c>
      <c r="G325" s="2" t="s">
        <v>11</v>
      </c>
      <c r="H325" s="2">
        <v>10000000</v>
      </c>
      <c r="I325" s="2">
        <v>2.2999999999999998</v>
      </c>
      <c r="J325" s="3">
        <v>98017</v>
      </c>
      <c r="K325">
        <f t="shared" si="18"/>
        <v>1.3775047412552699E-3</v>
      </c>
      <c r="R325" s="12" t="str">
        <f ca="1">IFERROR(__xludf.DUMMYFUNCTION("""COMPUTED_VALUE"""),"Treasure Planet ")</f>
        <v>Treasure Planet </v>
      </c>
      <c r="S325" s="12">
        <f t="shared" si="17"/>
        <v>-12166617</v>
      </c>
    </row>
    <row r="326" spans="1:19" x14ac:dyDescent="0.3">
      <c r="A326" s="2" t="s">
        <v>819</v>
      </c>
      <c r="B326" s="2">
        <v>69</v>
      </c>
      <c r="C326" s="3">
        <v>81517441</v>
      </c>
      <c r="D326" s="3" t="s">
        <v>5779</v>
      </c>
      <c r="E326" s="2" t="s">
        <v>3757</v>
      </c>
      <c r="F326" s="2" t="s">
        <v>10</v>
      </c>
      <c r="G326" s="2" t="s">
        <v>11</v>
      </c>
      <c r="H326" s="2">
        <v>12500000</v>
      </c>
      <c r="I326" s="2">
        <v>7.3</v>
      </c>
      <c r="J326" s="3">
        <v>99147</v>
      </c>
      <c r="K326">
        <f t="shared" si="18"/>
        <v>1.3775047412552699E-3</v>
      </c>
      <c r="R326" s="12" t="str">
        <f ca="1">IFERROR(__xludf.DUMMYFUNCTION("""COMPUTED_VALUE"""),"Land of the Lost ")</f>
        <v>Land of the Lost </v>
      </c>
      <c r="S326" s="12">
        <f t="shared" si="17"/>
        <v>20218903</v>
      </c>
    </row>
    <row r="327" spans="1:19" x14ac:dyDescent="0.3">
      <c r="A327" s="2" t="s">
        <v>468</v>
      </c>
      <c r="B327" s="2">
        <v>103</v>
      </c>
      <c r="C327" s="3">
        <v>15935068</v>
      </c>
      <c r="D327" s="3" t="s">
        <v>5788</v>
      </c>
      <c r="E327" s="2" t="s">
        <v>469</v>
      </c>
      <c r="F327" s="2" t="s">
        <v>10</v>
      </c>
      <c r="G327" s="2" t="s">
        <v>11</v>
      </c>
      <c r="H327" s="2">
        <v>92000000</v>
      </c>
      <c r="I327" s="2">
        <v>6.7</v>
      </c>
      <c r="J327" s="3">
        <v>99462</v>
      </c>
      <c r="K327">
        <f t="shared" si="18"/>
        <v>1.3775047412552699E-3</v>
      </c>
      <c r="R327" s="12" t="str">
        <f ca="1">IFERROR(__xludf.DUMMYFUNCTION("""COMPUTED_VALUE"""),"The Expendables 3 ")</f>
        <v>The Expendables 3 </v>
      </c>
      <c r="S327" s="12">
        <f t="shared" si="17"/>
        <v>75217900</v>
      </c>
    </row>
    <row r="328" spans="1:19" x14ac:dyDescent="0.3">
      <c r="A328" s="2" t="s">
        <v>21</v>
      </c>
      <c r="B328" s="2">
        <v>137</v>
      </c>
      <c r="C328" s="3">
        <v>105500000</v>
      </c>
      <c r="D328" s="3" t="s">
        <v>5788</v>
      </c>
      <c r="E328" s="2" t="s">
        <v>1409</v>
      </c>
      <c r="F328" s="2" t="s">
        <v>10</v>
      </c>
      <c r="G328" s="2" t="s">
        <v>11</v>
      </c>
      <c r="H328" s="2">
        <v>50000000</v>
      </c>
      <c r="I328" s="2">
        <v>6.5</v>
      </c>
      <c r="J328" s="3">
        <v>99851</v>
      </c>
      <c r="K328">
        <f t="shared" si="18"/>
        <v>1.3775047412552699E-3</v>
      </c>
      <c r="R328" s="12" t="str">
        <f ca="1">IFERROR(__xludf.DUMMYFUNCTION("""COMPUTED_VALUE"""),"Point Break ")</f>
        <v>Point Break </v>
      </c>
      <c r="S328" s="12">
        <f t="shared" si="17"/>
        <v>5559930</v>
      </c>
    </row>
    <row r="329" spans="1:19" x14ac:dyDescent="0.3">
      <c r="A329" s="2" t="s">
        <v>43</v>
      </c>
      <c r="B329" s="2">
        <v>106</v>
      </c>
      <c r="C329" s="3">
        <v>134520804</v>
      </c>
      <c r="D329" s="3" t="s">
        <v>5752</v>
      </c>
      <c r="E329" s="2" t="s">
        <v>130</v>
      </c>
      <c r="F329" s="2" t="s">
        <v>10</v>
      </c>
      <c r="G329" s="2" t="s">
        <v>11</v>
      </c>
      <c r="H329" s="2">
        <v>170000000</v>
      </c>
      <c r="I329" s="2">
        <v>4.8</v>
      </c>
      <c r="J329" s="3">
        <v>100240</v>
      </c>
      <c r="K329">
        <f t="shared" si="18"/>
        <v>1.3775047412552699E-3</v>
      </c>
      <c r="R329" s="12" t="str">
        <f ca="1">IFERROR(__xludf.DUMMYFUNCTION("""COMPUTED_VALUE"""),"Son of the Mask ")</f>
        <v>Son of the Mask </v>
      </c>
      <c r="S329" s="12">
        <f t="shared" si="17"/>
        <v>54808372</v>
      </c>
    </row>
    <row r="330" spans="1:19" x14ac:dyDescent="0.3">
      <c r="A330" s="2" t="s">
        <v>2003</v>
      </c>
      <c r="B330" s="2">
        <v>112</v>
      </c>
      <c r="C330" s="3">
        <v>124732962</v>
      </c>
      <c r="D330" s="3" t="s">
        <v>5893</v>
      </c>
      <c r="E330" s="2" t="s">
        <v>2004</v>
      </c>
      <c r="F330" s="2" t="s">
        <v>10</v>
      </c>
      <c r="G330" s="2" t="s">
        <v>11</v>
      </c>
      <c r="H330" s="2">
        <v>35000000</v>
      </c>
      <c r="I330" s="2">
        <v>6.6</v>
      </c>
      <c r="J330" s="3">
        <v>100358</v>
      </c>
      <c r="K330">
        <f t="shared" si="18"/>
        <v>1.3775047412552699E-3</v>
      </c>
      <c r="R330" s="12" t="str">
        <f ca="1">IFERROR(__xludf.DUMMYFUNCTION("""COMPUTED_VALUE"""),"In the Heart of the Sea ")</f>
        <v>In the Heart of the Sea </v>
      </c>
      <c r="S330" s="12">
        <f t="shared" si="17"/>
        <v>66369117</v>
      </c>
    </row>
    <row r="331" spans="1:19" x14ac:dyDescent="0.3">
      <c r="A331" s="2" t="s">
        <v>1549</v>
      </c>
      <c r="B331" s="2">
        <v>82</v>
      </c>
      <c r="C331" s="3">
        <v>89706988</v>
      </c>
      <c r="D331" s="3" t="s">
        <v>5902</v>
      </c>
      <c r="E331" s="2" t="s">
        <v>1704</v>
      </c>
      <c r="F331" s="2" t="s">
        <v>10</v>
      </c>
      <c r="G331" s="2" t="s">
        <v>11</v>
      </c>
      <c r="H331" s="2">
        <v>40000000</v>
      </c>
      <c r="I331" s="2">
        <v>5.2</v>
      </c>
      <c r="J331" s="3">
        <v>100412</v>
      </c>
      <c r="K331">
        <f t="shared" si="18"/>
        <v>1.3775047412552699E-3</v>
      </c>
      <c r="R331" s="12" t="str">
        <f ca="1">IFERROR(__xludf.DUMMYFUNCTION("""COMPUTED_VALUE"""),"The Adventures of Pluto Nash ")</f>
        <v>The Adventures of Pluto Nash </v>
      </c>
      <c r="S331" s="12">
        <f t="shared" si="17"/>
        <v>195073705</v>
      </c>
    </row>
    <row r="332" spans="1:19" x14ac:dyDescent="0.3">
      <c r="A332" s="2" t="s">
        <v>1608</v>
      </c>
      <c r="B332" s="2">
        <v>90</v>
      </c>
      <c r="C332" s="3">
        <v>56536016</v>
      </c>
      <c r="D332" s="3" t="s">
        <v>5768</v>
      </c>
      <c r="E332" s="2" t="s">
        <v>1609</v>
      </c>
      <c r="F332" s="2" t="s">
        <v>10</v>
      </c>
      <c r="G332" s="2" t="s">
        <v>11</v>
      </c>
      <c r="H332" s="2">
        <v>43000000</v>
      </c>
      <c r="I332" s="2">
        <v>5.0999999999999996</v>
      </c>
      <c r="J332" s="3">
        <v>100503</v>
      </c>
      <c r="K332">
        <f t="shared" si="18"/>
        <v>1.3775047412552699E-3</v>
      </c>
      <c r="R332" s="12" t="str">
        <f ca="1">IFERROR(__xludf.DUMMYFUNCTION("""COMPUTED_VALUE"""),"Green Zone ")</f>
        <v>Green Zone </v>
      </c>
      <c r="S332" s="12">
        <f t="shared" si="17"/>
        <v>-28094481</v>
      </c>
    </row>
    <row r="333" spans="1:19" x14ac:dyDescent="0.3">
      <c r="A333" s="2" t="s">
        <v>2601</v>
      </c>
      <c r="B333" s="2">
        <v>106</v>
      </c>
      <c r="C333" s="3">
        <v>135014968</v>
      </c>
      <c r="D333" s="3" t="s">
        <v>5846</v>
      </c>
      <c r="E333" s="2" t="s">
        <v>2602</v>
      </c>
      <c r="F333" s="2" t="s">
        <v>10</v>
      </c>
      <c r="G333" s="2" t="s">
        <v>16</v>
      </c>
      <c r="H333" s="2">
        <v>23000000</v>
      </c>
      <c r="I333" s="2">
        <v>7.5</v>
      </c>
      <c r="J333" s="3">
        <v>100659</v>
      </c>
      <c r="K333">
        <f t="shared" si="18"/>
        <v>1.3775047412552699E-3</v>
      </c>
      <c r="R333" s="12" t="str">
        <f ca="1">IFERROR(__xludf.DUMMYFUNCTION("""COMPUTED_VALUE"""),"The Peanuts Movie ")</f>
        <v>The Peanuts Movie </v>
      </c>
      <c r="S333" s="12">
        <f t="shared" si="17"/>
        <v>132618384</v>
      </c>
    </row>
    <row r="334" spans="1:19" x14ac:dyDescent="0.3">
      <c r="A334" s="2" t="s">
        <v>53</v>
      </c>
      <c r="B334" s="2">
        <v>130</v>
      </c>
      <c r="C334" s="3">
        <v>112950721</v>
      </c>
      <c r="D334" s="3" t="s">
        <v>5765</v>
      </c>
      <c r="E334" s="2" t="s">
        <v>1315</v>
      </c>
      <c r="F334" s="2" t="s">
        <v>10</v>
      </c>
      <c r="G334" s="2" t="s">
        <v>11</v>
      </c>
      <c r="H334" s="2">
        <v>50000000</v>
      </c>
      <c r="I334" s="2">
        <v>4.5999999999999996</v>
      </c>
      <c r="J334" s="3">
        <v>100669</v>
      </c>
      <c r="K334">
        <f t="shared" si="18"/>
        <v>1.3775047412552699E-3</v>
      </c>
      <c r="R334" s="12" t="str">
        <f ca="1">IFERROR(__xludf.DUMMYFUNCTION("""COMPUTED_VALUE"""),"The Spanish Prisoner ")</f>
        <v>The Spanish Prisoner </v>
      </c>
      <c r="S334" s="12">
        <f t="shared" si="17"/>
        <v>149870271</v>
      </c>
    </row>
    <row r="335" spans="1:19" x14ac:dyDescent="0.3">
      <c r="A335" s="2" t="s">
        <v>958</v>
      </c>
      <c r="B335" s="2">
        <v>119</v>
      </c>
      <c r="C335" s="3">
        <v>101736215</v>
      </c>
      <c r="D335" s="3" t="s">
        <v>5754</v>
      </c>
      <c r="E335" s="2" t="s">
        <v>959</v>
      </c>
      <c r="F335" s="2" t="s">
        <v>10</v>
      </c>
      <c r="G335" s="2" t="s">
        <v>11</v>
      </c>
      <c r="H335" s="2">
        <v>65000000</v>
      </c>
      <c r="I335" s="2">
        <v>6.5</v>
      </c>
      <c r="J335" s="3">
        <v>100675</v>
      </c>
      <c r="K335">
        <f t="shared" si="18"/>
        <v>1.3775047412552699E-3</v>
      </c>
      <c r="R335" s="12" t="str">
        <f ca="1">IFERROR(__xludf.DUMMYFUNCTION("""COMPUTED_VALUE"""),"The Mummy Returns ")</f>
        <v>The Mummy Returns </v>
      </c>
      <c r="S335" s="12">
        <f t="shared" si="17"/>
        <v>28101011</v>
      </c>
    </row>
    <row r="336" spans="1:19" x14ac:dyDescent="0.3">
      <c r="A336" s="2" t="s">
        <v>2616</v>
      </c>
      <c r="B336" s="2">
        <v>98</v>
      </c>
      <c r="C336" s="3">
        <v>84244877</v>
      </c>
      <c r="D336" s="3" t="s">
        <v>5903</v>
      </c>
      <c r="E336" s="2" t="s">
        <v>2617</v>
      </c>
      <c r="F336" s="2" t="s">
        <v>10</v>
      </c>
      <c r="G336" s="2" t="s">
        <v>199</v>
      </c>
      <c r="H336" s="2">
        <v>13000000</v>
      </c>
      <c r="I336" s="2">
        <v>4.5999999999999996</v>
      </c>
      <c r="J336" s="3">
        <v>101055</v>
      </c>
      <c r="K336">
        <f t="shared" si="18"/>
        <v>1.3775047412552699E-3</v>
      </c>
      <c r="R336" s="12" t="str">
        <f ca="1">IFERROR(__xludf.DUMMYFUNCTION("""COMPUTED_VALUE"""),"Gangs of New York ")</f>
        <v>Gangs of New York </v>
      </c>
      <c r="S336" s="12">
        <f t="shared" si="17"/>
        <v>-5876166</v>
      </c>
    </row>
    <row r="337" spans="1:19" x14ac:dyDescent="0.3">
      <c r="A337" s="2" t="s">
        <v>1405</v>
      </c>
      <c r="B337" s="2">
        <v>113</v>
      </c>
      <c r="C337" s="3">
        <v>93307796</v>
      </c>
      <c r="D337" s="3" t="s">
        <v>5904</v>
      </c>
      <c r="E337" s="2" t="s">
        <v>4242</v>
      </c>
      <c r="F337" s="2" t="s">
        <v>10</v>
      </c>
      <c r="G337" s="2" t="s">
        <v>16</v>
      </c>
      <c r="H337" s="2">
        <v>8000000</v>
      </c>
      <c r="I337" s="2">
        <v>7.6</v>
      </c>
      <c r="J337" s="3">
        <v>101228</v>
      </c>
      <c r="K337">
        <f t="shared" si="18"/>
        <v>1.3775047412552699E-3</v>
      </c>
      <c r="R337" s="12" t="str">
        <f ca="1">IFERROR(__xludf.DUMMYFUNCTION("""COMPUTED_VALUE"""),"The Flowers of War ")</f>
        <v>The Flowers of War </v>
      </c>
      <c r="S337" s="12">
        <f t="shared" si="17"/>
        <v>199157262</v>
      </c>
    </row>
    <row r="338" spans="1:19" x14ac:dyDescent="0.3">
      <c r="A338" s="2" t="s">
        <v>5300</v>
      </c>
      <c r="B338" s="2">
        <v>103</v>
      </c>
      <c r="C338" s="3">
        <v>40203020</v>
      </c>
      <c r="D338" s="3" t="s">
        <v>5864</v>
      </c>
      <c r="E338" s="2" t="s">
        <v>5301</v>
      </c>
      <c r="F338" s="2" t="s">
        <v>10</v>
      </c>
      <c r="G338" s="2" t="s">
        <v>11</v>
      </c>
      <c r="H338" s="2">
        <v>1000000</v>
      </c>
      <c r="I338" s="2">
        <v>7.4</v>
      </c>
      <c r="J338" s="3">
        <v>102055</v>
      </c>
      <c r="K338">
        <f t="shared" si="18"/>
        <v>1.3775047412552699E-3</v>
      </c>
      <c r="R338" s="12" t="str">
        <f ca="1">IFERROR(__xludf.DUMMYFUNCTION("""COMPUTED_VALUE"""),"Surf's Up ")</f>
        <v>Surf's Up </v>
      </c>
      <c r="S338" s="12">
        <f t="shared" si="17"/>
        <v>-15119000</v>
      </c>
    </row>
    <row r="339" spans="1:19" x14ac:dyDescent="0.3">
      <c r="A339" s="2" t="s">
        <v>5214</v>
      </c>
      <c r="B339" s="2">
        <v>95</v>
      </c>
      <c r="C339" s="3">
        <v>133668525</v>
      </c>
      <c r="D339" s="3" t="s">
        <v>5765</v>
      </c>
      <c r="E339" s="2" t="s">
        <v>5215</v>
      </c>
      <c r="F339" s="2" t="s">
        <v>10</v>
      </c>
      <c r="G339" s="2" t="s">
        <v>71</v>
      </c>
      <c r="H339" s="2">
        <v>1500000</v>
      </c>
      <c r="I339" s="2">
        <v>6.7</v>
      </c>
      <c r="J339" s="3">
        <v>104077</v>
      </c>
      <c r="K339">
        <f t="shared" si="18"/>
        <v>1.3775047412552699E-3</v>
      </c>
      <c r="R339" s="12" t="str">
        <f ca="1">IFERROR(__xludf.DUMMYFUNCTION("""COMPUTED_VALUE"""),"The Stepford Wives ")</f>
        <v>The Stepford Wives </v>
      </c>
      <c r="S339" s="12">
        <f t="shared" si="17"/>
        <v>63503161</v>
      </c>
    </row>
    <row r="340" spans="1:19" x14ac:dyDescent="0.3">
      <c r="A340" s="2" t="s">
        <v>280</v>
      </c>
      <c r="B340" s="2">
        <v>136</v>
      </c>
      <c r="C340" s="3">
        <v>93926386</v>
      </c>
      <c r="D340" s="3" t="s">
        <v>5905</v>
      </c>
      <c r="E340" s="2" t="s">
        <v>3294</v>
      </c>
      <c r="F340" s="2" t="s">
        <v>10</v>
      </c>
      <c r="G340" s="2" t="s">
        <v>11</v>
      </c>
      <c r="H340" s="2">
        <v>16500000</v>
      </c>
      <c r="I340" s="2">
        <v>7.7</v>
      </c>
      <c r="J340" s="3">
        <v>104257</v>
      </c>
      <c r="K340">
        <f t="shared" si="18"/>
        <v>1.3775047412552699E-3</v>
      </c>
      <c r="R340" s="12" t="str">
        <f ca="1">IFERROR(__xludf.DUMMYFUNCTION("""COMPUTED_VALUE"""),"Black Hawk Down ")</f>
        <v>Black Hawk Down </v>
      </c>
      <c r="S340" s="12">
        <f t="shared" si="17"/>
        <v>-24381597</v>
      </c>
    </row>
    <row r="341" spans="1:19" x14ac:dyDescent="0.3">
      <c r="A341" s="2" t="s">
        <v>3061</v>
      </c>
      <c r="B341" s="2">
        <v>124</v>
      </c>
      <c r="C341" s="3">
        <v>120776832</v>
      </c>
      <c r="D341" s="3" t="s">
        <v>5771</v>
      </c>
      <c r="E341" s="2" t="s">
        <v>3062</v>
      </c>
      <c r="F341" s="2" t="s">
        <v>10</v>
      </c>
      <c r="G341" s="2" t="s">
        <v>11</v>
      </c>
      <c r="H341" s="2">
        <v>21000000</v>
      </c>
      <c r="I341" s="2">
        <v>7.5</v>
      </c>
      <c r="J341" s="3">
        <v>105943</v>
      </c>
      <c r="K341">
        <f t="shared" si="18"/>
        <v>1.3775047412552699E-3</v>
      </c>
      <c r="R341" s="12" t="str">
        <f ca="1">IFERROR(__xludf.DUMMYFUNCTION("""COMPUTED_VALUE"""),"The Campaign ")</f>
        <v>The Campaign </v>
      </c>
      <c r="S341" s="12">
        <f t="shared" si="17"/>
        <v>89735231</v>
      </c>
    </row>
    <row r="342" spans="1:19" x14ac:dyDescent="0.3">
      <c r="A342" s="2" t="s">
        <v>965</v>
      </c>
      <c r="B342" s="2">
        <v>121</v>
      </c>
      <c r="C342" s="3">
        <v>35324232</v>
      </c>
      <c r="D342" s="3" t="s">
        <v>5754</v>
      </c>
      <c r="E342" s="2" t="s">
        <v>1379</v>
      </c>
      <c r="F342" s="2" t="s">
        <v>10</v>
      </c>
      <c r="G342" s="2" t="s">
        <v>11</v>
      </c>
      <c r="H342" s="2">
        <v>50000000</v>
      </c>
      <c r="I342" s="2">
        <v>6.7</v>
      </c>
      <c r="J342" s="3">
        <v>106869</v>
      </c>
      <c r="K342">
        <f t="shared" si="18"/>
        <v>1.3775047412552699E-3</v>
      </c>
      <c r="R342" s="12" t="str">
        <f ca="1">IFERROR(__xludf.DUMMYFUNCTION("""COMPUTED_VALUE"""),"The Fifth Element ")</f>
        <v>The Fifth Element </v>
      </c>
      <c r="S342" s="12">
        <f t="shared" si="17"/>
        <v>55607223</v>
      </c>
    </row>
    <row r="343" spans="1:19" x14ac:dyDescent="0.3">
      <c r="A343" s="2" t="s">
        <v>392</v>
      </c>
      <c r="B343" s="2">
        <v>127</v>
      </c>
      <c r="C343" s="3">
        <v>83574831</v>
      </c>
      <c r="D343" s="3" t="s">
        <v>5776</v>
      </c>
      <c r="E343" s="2" t="s">
        <v>2666</v>
      </c>
      <c r="F343" s="2" t="s">
        <v>10</v>
      </c>
      <c r="G343" s="2" t="s">
        <v>47</v>
      </c>
      <c r="H343" s="2">
        <v>25000000</v>
      </c>
      <c r="I343" s="2">
        <v>7.9</v>
      </c>
      <c r="J343" s="3">
        <v>108229</v>
      </c>
      <c r="K343">
        <f t="shared" si="18"/>
        <v>1.3775047412552699E-3</v>
      </c>
      <c r="R343" s="12" t="str">
        <f ca="1">IFERROR(__xludf.DUMMYFUNCTION("""COMPUTED_VALUE"""),"Sex and the City 2 ")</f>
        <v>Sex and the City 2 </v>
      </c>
      <c r="S343" s="12">
        <f t="shared" si="17"/>
        <v>178639855</v>
      </c>
    </row>
    <row r="344" spans="1:19" x14ac:dyDescent="0.3">
      <c r="A344" s="2" t="s">
        <v>2038</v>
      </c>
      <c r="B344" s="2">
        <v>115</v>
      </c>
      <c r="C344" s="3">
        <v>62877175</v>
      </c>
      <c r="D344" s="3" t="s">
        <v>5906</v>
      </c>
      <c r="E344" s="2" t="s">
        <v>3426</v>
      </c>
      <c r="F344" s="2" t="s">
        <v>10</v>
      </c>
      <c r="G344" s="2" t="s">
        <v>11</v>
      </c>
      <c r="H344" s="2">
        <v>15000000</v>
      </c>
      <c r="I344" s="2">
        <v>7.1</v>
      </c>
      <c r="J344" s="3">
        <v>108662</v>
      </c>
      <c r="K344">
        <f t="shared" si="18"/>
        <v>1.3775047412552699E-3</v>
      </c>
      <c r="R344" s="12" t="str">
        <f ca="1">IFERROR(__xludf.DUMMYFUNCTION("""COMPUTED_VALUE"""),"The Road to El Dorado ")</f>
        <v>The Road to El Dorado </v>
      </c>
      <c r="S344" s="12">
        <f t="shared" si="17"/>
        <v>81730529</v>
      </c>
    </row>
    <row r="345" spans="1:19" x14ac:dyDescent="0.3">
      <c r="A345" s="2" t="s">
        <v>330</v>
      </c>
      <c r="B345" s="2">
        <v>174</v>
      </c>
      <c r="C345" s="3">
        <v>68473360</v>
      </c>
      <c r="D345" s="3" t="s">
        <v>5907</v>
      </c>
      <c r="E345" s="2" t="s">
        <v>447</v>
      </c>
      <c r="F345" s="2" t="s">
        <v>10</v>
      </c>
      <c r="G345" s="2" t="s">
        <v>16</v>
      </c>
      <c r="H345" s="2">
        <v>100000000</v>
      </c>
      <c r="I345" s="2">
        <v>7.4</v>
      </c>
      <c r="J345" s="3">
        <v>110029</v>
      </c>
      <c r="K345">
        <f t="shared" si="18"/>
        <v>1.3775047412552699E-3</v>
      </c>
      <c r="R345" s="12" t="str">
        <f ca="1">IFERROR(__xludf.DUMMYFUNCTION("""COMPUTED_VALUE"""),"Ice Age: Continental Drift ")</f>
        <v>Ice Age: Continental Drift </v>
      </c>
      <c r="S345" s="12">
        <f t="shared" ref="S345:S408" si="19">C323-H323</f>
        <v>104568845</v>
      </c>
    </row>
    <row r="346" spans="1:19" x14ac:dyDescent="0.3">
      <c r="A346" s="2" t="s">
        <v>104</v>
      </c>
      <c r="B346" s="2">
        <v>146</v>
      </c>
      <c r="C346" s="3">
        <v>184925485</v>
      </c>
      <c r="D346" s="3" t="s">
        <v>5806</v>
      </c>
      <c r="E346" s="2" t="s">
        <v>881</v>
      </c>
      <c r="F346" s="2" t="s">
        <v>10</v>
      </c>
      <c r="G346" s="2" t="s">
        <v>11</v>
      </c>
      <c r="H346" s="2">
        <v>66000000</v>
      </c>
      <c r="I346" s="2">
        <v>7.2</v>
      </c>
      <c r="J346" s="3">
        <v>110536</v>
      </c>
      <c r="K346">
        <f t="shared" si="18"/>
        <v>1.3775047412552699E-3</v>
      </c>
      <c r="R346" s="12" t="str">
        <f ca="1">IFERROR(__xludf.DUMMYFUNCTION("""COMPUTED_VALUE"""),"Cinderella ")</f>
        <v>Cinderella </v>
      </c>
      <c r="S346" s="12">
        <f t="shared" si="19"/>
        <v>73375151</v>
      </c>
    </row>
    <row r="347" spans="1:19" x14ac:dyDescent="0.3">
      <c r="A347" s="2" t="s">
        <v>3549</v>
      </c>
      <c r="B347" s="2">
        <v>111</v>
      </c>
      <c r="C347" s="3">
        <v>182618434</v>
      </c>
      <c r="D347" s="3" t="s">
        <v>5908</v>
      </c>
      <c r="E347" s="2" t="s">
        <v>3550</v>
      </c>
      <c r="F347" s="2" t="s">
        <v>10</v>
      </c>
      <c r="G347" s="2" t="s">
        <v>11</v>
      </c>
      <c r="H347" s="2">
        <v>15000000</v>
      </c>
      <c r="I347" s="2">
        <v>6.3</v>
      </c>
      <c r="J347" s="3">
        <v>110720</v>
      </c>
      <c r="K347">
        <f t="shared" si="18"/>
        <v>1.3775047412552699E-3</v>
      </c>
      <c r="R347" s="12" t="str">
        <f ca="1">IFERROR(__xludf.DUMMYFUNCTION("""COMPUTED_VALUE"""),"The Lovely Bones ")</f>
        <v>The Lovely Bones </v>
      </c>
      <c r="S347" s="12">
        <f t="shared" si="19"/>
        <v>145111815</v>
      </c>
    </row>
    <row r="348" spans="1:19" x14ac:dyDescent="0.3">
      <c r="A348" s="2" t="s">
        <v>814</v>
      </c>
      <c r="B348" s="2">
        <v>148</v>
      </c>
      <c r="C348" s="3">
        <v>176997107</v>
      </c>
      <c r="D348" s="3" t="s">
        <v>5909</v>
      </c>
      <c r="E348" s="2" t="s">
        <v>815</v>
      </c>
      <c r="F348" s="2" t="s">
        <v>10</v>
      </c>
      <c r="G348" s="2" t="s">
        <v>11</v>
      </c>
      <c r="H348" s="2">
        <v>75000000</v>
      </c>
      <c r="I348" s="2">
        <v>6.7</v>
      </c>
      <c r="J348" s="3">
        <v>111300</v>
      </c>
      <c r="K348">
        <f t="shared" si="18"/>
        <v>1.3775047412552699E-3</v>
      </c>
      <c r="R348" s="12" t="str">
        <f ca="1">IFERROR(__xludf.DUMMYFUNCTION("""COMPUTED_VALUE"""),"Finding Nemo ")</f>
        <v>Finding Nemo </v>
      </c>
      <c r="S348" s="12">
        <f t="shared" si="19"/>
        <v>69017441</v>
      </c>
    </row>
    <row r="349" spans="1:19" x14ac:dyDescent="0.3">
      <c r="A349" s="2" t="s">
        <v>3205</v>
      </c>
      <c r="B349" s="2">
        <v>99</v>
      </c>
      <c r="C349" s="3">
        <v>58700247</v>
      </c>
      <c r="D349" s="3" t="s">
        <v>5910</v>
      </c>
      <c r="E349" s="2" t="s">
        <v>3206</v>
      </c>
      <c r="F349" s="2" t="s">
        <v>10</v>
      </c>
      <c r="G349" s="2" t="s">
        <v>11</v>
      </c>
      <c r="H349" s="2">
        <v>20000000</v>
      </c>
      <c r="I349" s="2">
        <v>3.5</v>
      </c>
      <c r="J349" s="3">
        <v>112935</v>
      </c>
      <c r="K349">
        <f t="shared" si="18"/>
        <v>1.3775047412552699E-3</v>
      </c>
      <c r="R349" s="12" t="str">
        <f ca="1">IFERROR(__xludf.DUMMYFUNCTION("""COMPUTED_VALUE"""),"The Lord of the Rings: The Return of the King ")</f>
        <v>The Lord of the Rings: The Return of the King </v>
      </c>
      <c r="S349" s="12">
        <f t="shared" si="19"/>
        <v>-76064932</v>
      </c>
    </row>
    <row r="350" spans="1:19" x14ac:dyDescent="0.3">
      <c r="A350" s="2" t="s">
        <v>3566</v>
      </c>
      <c r="B350" s="2">
        <v>90</v>
      </c>
      <c r="C350" s="3">
        <v>105807520</v>
      </c>
      <c r="D350" s="3" t="s">
        <v>5911</v>
      </c>
      <c r="E350" s="2" t="s">
        <v>3567</v>
      </c>
      <c r="F350" s="2" t="s">
        <v>10</v>
      </c>
      <c r="G350" s="2" t="s">
        <v>11</v>
      </c>
      <c r="H350" s="2">
        <v>15000000</v>
      </c>
      <c r="I350" s="2">
        <v>5.0999999999999996</v>
      </c>
      <c r="J350" s="3">
        <v>115504</v>
      </c>
      <c r="K350">
        <f t="shared" si="18"/>
        <v>1.3775047412552699E-3</v>
      </c>
      <c r="R350" s="12" t="str">
        <f ca="1">IFERROR(__xludf.DUMMYFUNCTION("""COMPUTED_VALUE"""),"The Lord of the Rings: The Two Towers ")</f>
        <v>The Lord of the Rings: The Two Towers </v>
      </c>
      <c r="S350" s="12">
        <f t="shared" si="19"/>
        <v>55500000</v>
      </c>
    </row>
    <row r="351" spans="1:19" x14ac:dyDescent="0.3">
      <c r="A351" s="2" t="s">
        <v>292</v>
      </c>
      <c r="B351" s="2">
        <v>115</v>
      </c>
      <c r="C351" s="3">
        <v>72660029</v>
      </c>
      <c r="D351" s="3" t="s">
        <v>5912</v>
      </c>
      <c r="E351" s="2" t="s">
        <v>293</v>
      </c>
      <c r="F351" s="2" t="s">
        <v>10</v>
      </c>
      <c r="G351" s="2" t="s">
        <v>11</v>
      </c>
      <c r="H351" s="2">
        <v>120000000</v>
      </c>
      <c r="I351" s="2">
        <v>5.5</v>
      </c>
      <c r="J351" s="3">
        <v>115862</v>
      </c>
      <c r="K351">
        <f t="shared" si="18"/>
        <v>1.3775047412552699E-3</v>
      </c>
      <c r="R351" s="12" t="str">
        <f ca="1">IFERROR(__xludf.DUMMYFUNCTION("""COMPUTED_VALUE"""),"Seventh Son ")</f>
        <v>Seventh Son </v>
      </c>
      <c r="S351" s="12">
        <f t="shared" si="19"/>
        <v>-35479196</v>
      </c>
    </row>
    <row r="352" spans="1:19" x14ac:dyDescent="0.3">
      <c r="A352" s="2" t="s">
        <v>3259</v>
      </c>
      <c r="B352" s="2">
        <v>112</v>
      </c>
      <c r="C352" s="3">
        <v>62700000</v>
      </c>
      <c r="D352" s="3" t="s">
        <v>5913</v>
      </c>
      <c r="E352" s="2" t="s">
        <v>3260</v>
      </c>
      <c r="F352" s="2" t="s">
        <v>10</v>
      </c>
      <c r="G352" s="2" t="s">
        <v>11</v>
      </c>
      <c r="H352" s="2">
        <v>17000000</v>
      </c>
      <c r="I352" s="2">
        <v>7.2</v>
      </c>
      <c r="J352" s="3">
        <v>117190</v>
      </c>
      <c r="K352">
        <f t="shared" si="18"/>
        <v>1.3775047412552699E-3</v>
      </c>
      <c r="R352" s="12" t="str">
        <f ca="1">IFERROR(__xludf.DUMMYFUNCTION("""COMPUTED_VALUE"""),"Lara Croft: Tomb Raider ")</f>
        <v>Lara Croft: Tomb Raider </v>
      </c>
      <c r="S352" s="12">
        <f t="shared" si="19"/>
        <v>89732962</v>
      </c>
    </row>
    <row r="353" spans="1:19" x14ac:dyDescent="0.3">
      <c r="A353" s="2" t="s">
        <v>330</v>
      </c>
      <c r="B353" s="2">
        <v>159</v>
      </c>
      <c r="C353" s="3">
        <v>73023275</v>
      </c>
      <c r="D353" s="3" t="s">
        <v>5753</v>
      </c>
      <c r="E353" s="2" t="s">
        <v>331</v>
      </c>
      <c r="F353" s="2" t="s">
        <v>10</v>
      </c>
      <c r="G353" s="2" t="s">
        <v>16</v>
      </c>
      <c r="H353" s="2">
        <v>125000000</v>
      </c>
      <c r="I353" s="2">
        <v>7.5</v>
      </c>
      <c r="J353" s="3">
        <v>117560</v>
      </c>
      <c r="K353">
        <f t="shared" si="18"/>
        <v>1.3775047412552699E-3</v>
      </c>
      <c r="R353" s="12" t="str">
        <f ca="1">IFERROR(__xludf.DUMMYFUNCTION("""COMPUTED_VALUE"""),"Transcendence ")</f>
        <v>Transcendence </v>
      </c>
      <c r="S353" s="12">
        <f t="shared" si="19"/>
        <v>49706988</v>
      </c>
    </row>
    <row r="354" spans="1:19" x14ac:dyDescent="0.3">
      <c r="A354" s="2" t="s">
        <v>4781</v>
      </c>
      <c r="B354" s="2">
        <v>82</v>
      </c>
      <c r="C354" s="3">
        <v>105264608</v>
      </c>
      <c r="D354" s="3" t="s">
        <v>5840</v>
      </c>
      <c r="E354" s="2" t="s">
        <v>4783</v>
      </c>
      <c r="F354" s="2" t="s">
        <v>10</v>
      </c>
      <c r="G354" s="2" t="s">
        <v>11</v>
      </c>
      <c r="H354" s="2">
        <v>6000000</v>
      </c>
      <c r="I354" s="2">
        <v>4</v>
      </c>
      <c r="J354" s="3">
        <v>118666</v>
      </c>
      <c r="K354">
        <f t="shared" si="18"/>
        <v>1.3775047412552699E-3</v>
      </c>
      <c r="R354" s="12" t="str">
        <f ca="1">IFERROR(__xludf.DUMMYFUNCTION("""COMPUTED_VALUE"""),"Jurassic Park III ")</f>
        <v>Jurassic Park III </v>
      </c>
      <c r="S354" s="12">
        <f t="shared" si="19"/>
        <v>13536016</v>
      </c>
    </row>
    <row r="355" spans="1:19" x14ac:dyDescent="0.3">
      <c r="A355" s="2" t="s">
        <v>69</v>
      </c>
      <c r="B355" s="2">
        <v>124</v>
      </c>
      <c r="C355" s="3">
        <v>120147445</v>
      </c>
      <c r="D355" s="3" t="s">
        <v>5914</v>
      </c>
      <c r="E355" s="2" t="s">
        <v>759</v>
      </c>
      <c r="F355" s="2" t="s">
        <v>10</v>
      </c>
      <c r="G355" s="2" t="s">
        <v>199</v>
      </c>
      <c r="H355" s="2">
        <v>78000000</v>
      </c>
      <c r="I355" s="2">
        <v>7.2</v>
      </c>
      <c r="J355" s="3">
        <v>119841</v>
      </c>
      <c r="K355">
        <f t="shared" si="18"/>
        <v>1.3775047412552699E-3</v>
      </c>
      <c r="R355" s="12" t="str">
        <f ca="1">IFERROR(__xludf.DUMMYFUNCTION("""COMPUTED_VALUE"""),"Rise of the Planet of the Apes ")</f>
        <v>Rise of the Planet of the Apes </v>
      </c>
      <c r="S355" s="12">
        <f t="shared" si="19"/>
        <v>112014968</v>
      </c>
    </row>
    <row r="356" spans="1:19" x14ac:dyDescent="0.3">
      <c r="A356" s="2" t="s">
        <v>4396</v>
      </c>
      <c r="B356" s="2">
        <v>100</v>
      </c>
      <c r="C356" s="3">
        <v>48546578</v>
      </c>
      <c r="D356" s="3" t="s">
        <v>5915</v>
      </c>
      <c r="E356" s="2" t="s">
        <v>4397</v>
      </c>
      <c r="F356" s="2" t="s">
        <v>10</v>
      </c>
      <c r="G356" s="2" t="s">
        <v>11</v>
      </c>
      <c r="H356" s="2">
        <v>7000000</v>
      </c>
      <c r="I356" s="2">
        <v>6.3</v>
      </c>
      <c r="J356" s="3">
        <v>119922</v>
      </c>
      <c r="K356">
        <f t="shared" si="18"/>
        <v>1.3775047412552699E-3</v>
      </c>
      <c r="R356" s="12" t="str">
        <f ca="1">IFERROR(__xludf.DUMMYFUNCTION("""COMPUTED_VALUE"""),"The Spiderwick Chronicles ")</f>
        <v>The Spiderwick Chronicles </v>
      </c>
      <c r="S356" s="12">
        <f t="shared" si="19"/>
        <v>62950721</v>
      </c>
    </row>
    <row r="357" spans="1:19" x14ac:dyDescent="0.3">
      <c r="A357" s="2" t="s">
        <v>1902</v>
      </c>
      <c r="B357" s="2">
        <v>102</v>
      </c>
      <c r="C357" s="3">
        <v>32014289</v>
      </c>
      <c r="D357" s="3" t="s">
        <v>5916</v>
      </c>
      <c r="E357" s="2" t="s">
        <v>2005</v>
      </c>
      <c r="F357" s="2" t="s">
        <v>10</v>
      </c>
      <c r="G357" s="2" t="s">
        <v>11</v>
      </c>
      <c r="H357" s="2">
        <v>35000000</v>
      </c>
      <c r="I357" s="2">
        <v>6.2</v>
      </c>
      <c r="J357" s="3">
        <v>121972</v>
      </c>
      <c r="K357">
        <f t="shared" si="18"/>
        <v>1.3775047412552699E-3</v>
      </c>
      <c r="R357" s="12" t="str">
        <f ca="1">IFERROR(__xludf.DUMMYFUNCTION("""COMPUTED_VALUE"""),"A Good Day to Die Hard ")</f>
        <v>A Good Day to Die Hard </v>
      </c>
      <c r="S357" s="12">
        <f t="shared" si="19"/>
        <v>36736215</v>
      </c>
    </row>
    <row r="358" spans="1:19" x14ac:dyDescent="0.3">
      <c r="A358" s="2" t="s">
        <v>1396</v>
      </c>
      <c r="B358" s="2">
        <v>98</v>
      </c>
      <c r="C358" s="3">
        <v>93417865</v>
      </c>
      <c r="D358" s="3" t="s">
        <v>5912</v>
      </c>
      <c r="E358" s="2" t="s">
        <v>1397</v>
      </c>
      <c r="F358" s="2" t="s">
        <v>10</v>
      </c>
      <c r="G358" s="2" t="s">
        <v>199</v>
      </c>
      <c r="H358" s="2">
        <v>45000000</v>
      </c>
      <c r="I358" s="2">
        <v>6.2</v>
      </c>
      <c r="J358" s="3">
        <v>123777</v>
      </c>
      <c r="K358">
        <f t="shared" si="18"/>
        <v>1.3775047412552699E-3</v>
      </c>
      <c r="R358" s="12" t="str">
        <f ca="1">IFERROR(__xludf.DUMMYFUNCTION("""COMPUTED_VALUE"""),"The Alamo ")</f>
        <v>The Alamo </v>
      </c>
      <c r="S358" s="12">
        <f t="shared" si="19"/>
        <v>71244877</v>
      </c>
    </row>
    <row r="359" spans="1:19" x14ac:dyDescent="0.3">
      <c r="A359" s="2" t="s">
        <v>590</v>
      </c>
      <c r="B359" s="2">
        <v>104</v>
      </c>
      <c r="C359" s="3">
        <v>112703470</v>
      </c>
      <c r="D359" s="3" t="s">
        <v>5917</v>
      </c>
      <c r="E359" s="2" t="s">
        <v>4445</v>
      </c>
      <c r="F359" s="2" t="s">
        <v>10</v>
      </c>
      <c r="G359" s="2" t="s">
        <v>11</v>
      </c>
      <c r="H359" s="2">
        <v>6500000</v>
      </c>
      <c r="I359" s="2">
        <v>7.1</v>
      </c>
      <c r="J359" s="3">
        <v>124494</v>
      </c>
      <c r="K359">
        <f t="shared" si="18"/>
        <v>1.3775047412552699E-3</v>
      </c>
      <c r="R359" s="12" t="str">
        <f ca="1">IFERROR(__xludf.DUMMYFUNCTION("""COMPUTED_VALUE"""),"The Incredibles ")</f>
        <v>The Incredibles </v>
      </c>
      <c r="S359" s="12">
        <f t="shared" si="19"/>
        <v>85307796</v>
      </c>
    </row>
    <row r="360" spans="1:19" x14ac:dyDescent="0.3">
      <c r="A360" s="2" t="s">
        <v>1124</v>
      </c>
      <c r="B360" s="2">
        <v>111</v>
      </c>
      <c r="C360" s="3">
        <v>81350242</v>
      </c>
      <c r="D360" s="3" t="s">
        <v>5796</v>
      </c>
      <c r="E360" s="2" t="s">
        <v>1833</v>
      </c>
      <c r="F360" s="2" t="s">
        <v>10</v>
      </c>
      <c r="G360" s="2" t="s">
        <v>16</v>
      </c>
      <c r="H360" s="2">
        <v>30000000</v>
      </c>
      <c r="I360" s="2">
        <v>7.3</v>
      </c>
      <c r="J360" s="3">
        <v>124720</v>
      </c>
      <c r="K360">
        <f t="shared" si="18"/>
        <v>1.3775047412552699E-3</v>
      </c>
      <c r="R360" s="12" t="str">
        <f ca="1">IFERROR(__xludf.DUMMYFUNCTION("""COMPUTED_VALUE"""),"Cutthroat Island ")</f>
        <v>Cutthroat Island </v>
      </c>
      <c r="S360" s="12">
        <f t="shared" si="19"/>
        <v>39203020</v>
      </c>
    </row>
    <row r="361" spans="1:19" x14ac:dyDescent="0.3">
      <c r="A361" s="2" t="s">
        <v>2544</v>
      </c>
      <c r="B361" s="2">
        <v>101</v>
      </c>
      <c r="C361" s="3">
        <v>51097664</v>
      </c>
      <c r="D361" s="3" t="s">
        <v>5918</v>
      </c>
      <c r="E361" s="2" t="s">
        <v>2545</v>
      </c>
      <c r="F361" s="2" t="s">
        <v>10</v>
      </c>
      <c r="G361" s="2" t="s">
        <v>11</v>
      </c>
      <c r="H361" s="2">
        <v>30000000</v>
      </c>
      <c r="I361" s="2">
        <v>5.9</v>
      </c>
      <c r="J361" s="3">
        <v>125169</v>
      </c>
      <c r="K361">
        <f t="shared" si="18"/>
        <v>1.3775047412552699E-3</v>
      </c>
      <c r="R361" s="12" t="str">
        <f ca="1">IFERROR(__xludf.DUMMYFUNCTION("""COMPUTED_VALUE"""),"Percy Jackson &amp; the Olympians: The Lightning Thief ")</f>
        <v>Percy Jackson &amp; the Olympians: The Lightning Thief </v>
      </c>
      <c r="S361" s="12">
        <f t="shared" si="19"/>
        <v>132168525</v>
      </c>
    </row>
    <row r="362" spans="1:19" x14ac:dyDescent="0.3">
      <c r="A362" s="2" t="s">
        <v>1246</v>
      </c>
      <c r="B362" s="2">
        <v>99</v>
      </c>
      <c r="C362" s="3">
        <v>56398162</v>
      </c>
      <c r="D362" s="3" t="s">
        <v>5919</v>
      </c>
      <c r="E362" s="2" t="s">
        <v>1247</v>
      </c>
      <c r="F362" s="2" t="s">
        <v>10</v>
      </c>
      <c r="G362" s="2" t="s">
        <v>11</v>
      </c>
      <c r="H362" s="2">
        <v>55000000</v>
      </c>
      <c r="I362" s="2">
        <v>5.8</v>
      </c>
      <c r="J362" s="3">
        <v>126247</v>
      </c>
      <c r="K362">
        <f t="shared" si="18"/>
        <v>1.3775047412552699E-3</v>
      </c>
      <c r="R362" s="12" t="str">
        <f ca="1">IFERROR(__xludf.DUMMYFUNCTION("""COMPUTED_VALUE"""),"Men in Black ")</f>
        <v>Men in Black </v>
      </c>
      <c r="S362" s="12">
        <f t="shared" si="19"/>
        <v>77426386</v>
      </c>
    </row>
    <row r="363" spans="1:19" x14ac:dyDescent="0.3">
      <c r="A363" s="2" t="s">
        <v>549</v>
      </c>
      <c r="B363" s="2">
        <v>113</v>
      </c>
      <c r="C363" s="3">
        <v>163214286</v>
      </c>
      <c r="D363" s="3" t="s">
        <v>5920</v>
      </c>
      <c r="E363" s="2" t="s">
        <v>3877</v>
      </c>
      <c r="F363" s="2" t="s">
        <v>10</v>
      </c>
      <c r="G363" s="2" t="s">
        <v>3878</v>
      </c>
      <c r="H363" s="2">
        <v>20000000</v>
      </c>
      <c r="I363" s="2">
        <v>5.6</v>
      </c>
      <c r="J363" s="3">
        <v>126387</v>
      </c>
      <c r="K363">
        <f t="shared" si="18"/>
        <v>1.3775047412552699E-3</v>
      </c>
      <c r="R363" s="12" t="str">
        <f ca="1">IFERROR(__xludf.DUMMYFUNCTION("""COMPUTED_VALUE"""),"Toy Story 2 ")</f>
        <v>Toy Story 2 </v>
      </c>
      <c r="S363" s="12">
        <f t="shared" si="19"/>
        <v>99776832</v>
      </c>
    </row>
    <row r="364" spans="1:19" x14ac:dyDescent="0.3">
      <c r="A364" s="2" t="s">
        <v>53</v>
      </c>
      <c r="B364" s="2">
        <v>101</v>
      </c>
      <c r="C364" s="3">
        <v>62647540</v>
      </c>
      <c r="D364" s="3" t="s">
        <v>5921</v>
      </c>
      <c r="E364" s="2" t="s">
        <v>2442</v>
      </c>
      <c r="F364" s="2" t="s">
        <v>10</v>
      </c>
      <c r="G364" s="2" t="s">
        <v>16</v>
      </c>
      <c r="H364" s="2">
        <v>30000000</v>
      </c>
      <c r="I364" s="2">
        <v>7.1</v>
      </c>
      <c r="J364" s="3">
        <v>127144</v>
      </c>
      <c r="K364">
        <f t="shared" si="18"/>
        <v>1.3775047412552699E-3</v>
      </c>
      <c r="R364" s="12" t="str">
        <f ca="1">IFERROR(__xludf.DUMMYFUNCTION("""COMPUTED_VALUE"""),"Unstoppable ")</f>
        <v>Unstoppable </v>
      </c>
      <c r="S364" s="12">
        <f t="shared" si="19"/>
        <v>-14675768</v>
      </c>
    </row>
    <row r="365" spans="1:19" x14ac:dyDescent="0.3">
      <c r="A365" s="2" t="s">
        <v>1154</v>
      </c>
      <c r="B365" s="2">
        <v>137</v>
      </c>
      <c r="C365" s="2">
        <v>717753</v>
      </c>
      <c r="D365" s="3" t="s">
        <v>5765</v>
      </c>
      <c r="E365" s="2" t="s">
        <v>2688</v>
      </c>
      <c r="F365" s="2" t="s">
        <v>10</v>
      </c>
      <c r="G365" s="2" t="s">
        <v>504</v>
      </c>
      <c r="H365" s="2">
        <v>25000000</v>
      </c>
      <c r="I365" s="2">
        <v>6.1</v>
      </c>
      <c r="J365" s="3">
        <v>127437</v>
      </c>
      <c r="K365">
        <f t="shared" si="18"/>
        <v>1.3775047412552699E-3</v>
      </c>
      <c r="R365" s="12" t="str">
        <f ca="1">IFERROR(__xludf.DUMMYFUNCTION("""COMPUTED_VALUE"""),"Rush Hour 2 ")</f>
        <v>Rush Hour 2 </v>
      </c>
      <c r="S365" s="12">
        <f t="shared" si="19"/>
        <v>58574831</v>
      </c>
    </row>
    <row r="366" spans="1:19" x14ac:dyDescent="0.3">
      <c r="A366" s="2" t="s">
        <v>456</v>
      </c>
      <c r="B366" s="2">
        <v>107</v>
      </c>
      <c r="C366" s="3">
        <v>56715371</v>
      </c>
      <c r="D366" s="3" t="s">
        <v>5752</v>
      </c>
      <c r="E366" s="2" t="s">
        <v>3273</v>
      </c>
      <c r="F366" s="2" t="s">
        <v>10</v>
      </c>
      <c r="G366" s="2" t="s">
        <v>11</v>
      </c>
      <c r="H366" s="2">
        <v>19000000</v>
      </c>
      <c r="I366" s="2">
        <v>5.5</v>
      </c>
      <c r="J366" s="3">
        <v>128486</v>
      </c>
      <c r="K366">
        <f t="shared" si="18"/>
        <v>1.3775047412552699E-3</v>
      </c>
      <c r="R366" s="12" t="str">
        <f ca="1">IFERROR(__xludf.DUMMYFUNCTION("""COMPUTED_VALUE"""),"What Lies Beneath ")</f>
        <v>What Lies Beneath </v>
      </c>
      <c r="S366" s="12">
        <f t="shared" si="19"/>
        <v>47877175</v>
      </c>
    </row>
    <row r="367" spans="1:19" x14ac:dyDescent="0.3">
      <c r="A367" s="2" t="s">
        <v>4213</v>
      </c>
      <c r="B367" s="2">
        <v>84</v>
      </c>
      <c r="C367" s="3">
        <v>11900000</v>
      </c>
      <c r="D367" s="3" t="s">
        <v>5922</v>
      </c>
      <c r="E367" s="2" t="s">
        <v>4214</v>
      </c>
      <c r="F367" s="2" t="s">
        <v>10</v>
      </c>
      <c r="G367" s="2" t="s">
        <v>11</v>
      </c>
      <c r="H367" s="2">
        <v>8600000</v>
      </c>
      <c r="I367" s="2">
        <v>6.5</v>
      </c>
      <c r="J367" s="3">
        <v>128978</v>
      </c>
      <c r="K367">
        <f t="shared" si="18"/>
        <v>1.3775047412552699E-3</v>
      </c>
      <c r="R367" s="12" t="str">
        <f ca="1">IFERROR(__xludf.DUMMYFUNCTION("""COMPUTED_VALUE"""),"Cloudy with a Chance of Meatballs ")</f>
        <v>Cloudy with a Chance of Meatballs </v>
      </c>
      <c r="S367" s="12">
        <f t="shared" si="19"/>
        <v>-31526640</v>
      </c>
    </row>
    <row r="368" spans="1:19" x14ac:dyDescent="0.3">
      <c r="A368" s="2" t="s">
        <v>50</v>
      </c>
      <c r="B368" s="2">
        <v>129</v>
      </c>
      <c r="C368" s="3">
        <v>25000000</v>
      </c>
      <c r="D368" s="3" t="s">
        <v>5868</v>
      </c>
      <c r="E368" s="2" t="s">
        <v>1878</v>
      </c>
      <c r="F368" s="2" t="s">
        <v>10</v>
      </c>
      <c r="G368" s="2" t="s">
        <v>11</v>
      </c>
      <c r="H368" s="2">
        <v>38000000</v>
      </c>
      <c r="I368" s="2">
        <v>6.6</v>
      </c>
      <c r="J368" s="3">
        <v>129115</v>
      </c>
      <c r="K368">
        <f t="shared" si="18"/>
        <v>1.3775047412552699E-3</v>
      </c>
      <c r="R368" s="12" t="str">
        <f ca="1">IFERROR(__xludf.DUMMYFUNCTION("""COMPUTED_VALUE"""),"Ice Age: Dawn of the Dinosaurs ")</f>
        <v>Ice Age: Dawn of the Dinosaurs </v>
      </c>
      <c r="S368" s="12">
        <f t="shared" si="19"/>
        <v>118925485</v>
      </c>
    </row>
    <row r="369" spans="1:19" x14ac:dyDescent="0.3">
      <c r="A369" s="2" t="s">
        <v>4340</v>
      </c>
      <c r="B369" s="2">
        <v>153</v>
      </c>
      <c r="C369" s="3">
        <v>84749884</v>
      </c>
      <c r="D369" s="3" t="s">
        <v>5773</v>
      </c>
      <c r="E369" s="2" t="s">
        <v>4341</v>
      </c>
      <c r="F369" s="2" t="s">
        <v>3944</v>
      </c>
      <c r="G369" s="2" t="s">
        <v>11</v>
      </c>
      <c r="H369" s="2">
        <v>6000000</v>
      </c>
      <c r="I369" s="2">
        <v>5.4</v>
      </c>
      <c r="J369" s="3">
        <v>131175</v>
      </c>
      <c r="K369">
        <f t="shared" si="18"/>
        <v>1.3775047412552699E-3</v>
      </c>
      <c r="R369" s="12" t="str">
        <f ca="1">IFERROR(__xludf.DUMMYFUNCTION("""COMPUTED_VALUE"""),"The Secret Life of Walter Mitty ")</f>
        <v>The Secret Life of Walter Mitty </v>
      </c>
      <c r="S369" s="12">
        <f t="shared" si="19"/>
        <v>167618434</v>
      </c>
    </row>
    <row r="370" spans="1:19" x14ac:dyDescent="0.3">
      <c r="A370" s="2" t="s">
        <v>2487</v>
      </c>
      <c r="B370" s="2">
        <v>100</v>
      </c>
      <c r="C370" s="3">
        <v>56362352</v>
      </c>
      <c r="D370" s="3" t="s">
        <v>5831</v>
      </c>
      <c r="E370" s="2" t="s">
        <v>2488</v>
      </c>
      <c r="F370" s="2" t="s">
        <v>10</v>
      </c>
      <c r="G370" s="2" t="s">
        <v>11</v>
      </c>
      <c r="H370" s="2">
        <v>26000000</v>
      </c>
      <c r="I370" s="2">
        <v>4.5</v>
      </c>
      <c r="J370" s="3">
        <v>131617</v>
      </c>
      <c r="K370">
        <f t="shared" si="18"/>
        <v>1.3775047412552699E-3</v>
      </c>
      <c r="R370" s="12" t="str">
        <f ca="1">IFERROR(__xludf.DUMMYFUNCTION("""COMPUTED_VALUE"""),"Charlie's Angels ")</f>
        <v>Charlie's Angels </v>
      </c>
      <c r="S370" s="12">
        <f t="shared" si="19"/>
        <v>101997107</v>
      </c>
    </row>
    <row r="371" spans="1:19" x14ac:dyDescent="0.3">
      <c r="A371" s="2" t="s">
        <v>3042</v>
      </c>
      <c r="B371" s="2">
        <v>106</v>
      </c>
      <c r="C371" s="3">
        <v>154985087</v>
      </c>
      <c r="D371" s="3" t="s">
        <v>5839</v>
      </c>
      <c r="E371" s="2" t="s">
        <v>3043</v>
      </c>
      <c r="F371" s="2" t="s">
        <v>10</v>
      </c>
      <c r="G371" s="2" t="s">
        <v>3044</v>
      </c>
      <c r="H371" s="2">
        <v>20000000</v>
      </c>
      <c r="I371" s="2">
        <v>7.4</v>
      </c>
      <c r="J371" s="3">
        <v>133778</v>
      </c>
      <c r="K371">
        <f t="shared" si="18"/>
        <v>1.3775047412552699E-3</v>
      </c>
      <c r="R371" s="12" t="str">
        <f ca="1">IFERROR(__xludf.DUMMYFUNCTION("""COMPUTED_VALUE"""),"The Departed ")</f>
        <v>The Departed </v>
      </c>
      <c r="S371" s="12">
        <f t="shared" si="19"/>
        <v>38700247</v>
      </c>
    </row>
    <row r="372" spans="1:19" x14ac:dyDescent="0.3">
      <c r="A372" s="2" t="s">
        <v>3690</v>
      </c>
      <c r="B372" s="2">
        <v>121</v>
      </c>
      <c r="C372" s="3">
        <v>24984868</v>
      </c>
      <c r="D372" s="3" t="s">
        <v>5923</v>
      </c>
      <c r="E372" s="2" t="s">
        <v>4686</v>
      </c>
      <c r="F372" s="2" t="s">
        <v>10</v>
      </c>
      <c r="G372" s="2" t="s">
        <v>11</v>
      </c>
      <c r="H372" s="2">
        <v>5000000</v>
      </c>
      <c r="I372" s="2">
        <v>4.5999999999999996</v>
      </c>
      <c r="J372" s="3">
        <v>134904</v>
      </c>
      <c r="K372">
        <f t="shared" si="18"/>
        <v>1.3775047412552699E-3</v>
      </c>
      <c r="R372" s="12" t="str">
        <f ca="1">IFERROR(__xludf.DUMMYFUNCTION("""COMPUTED_VALUE"""),"Mulan ")</f>
        <v>Mulan </v>
      </c>
      <c r="S372" s="12">
        <f t="shared" si="19"/>
        <v>90807520</v>
      </c>
    </row>
    <row r="373" spans="1:19" x14ac:dyDescent="0.3">
      <c r="A373" s="2" t="s">
        <v>69</v>
      </c>
      <c r="B373" s="2">
        <v>97</v>
      </c>
      <c r="C373" s="3">
        <v>197992827</v>
      </c>
      <c r="D373" s="3" t="s">
        <v>5846</v>
      </c>
      <c r="E373" s="2" t="s">
        <v>1188</v>
      </c>
      <c r="F373" s="2" t="s">
        <v>10</v>
      </c>
      <c r="G373" s="2" t="s">
        <v>11</v>
      </c>
      <c r="H373" s="2">
        <v>58000000</v>
      </c>
      <c r="I373" s="2">
        <v>6.3</v>
      </c>
      <c r="J373" s="3">
        <v>136007</v>
      </c>
      <c r="K373">
        <f t="shared" si="18"/>
        <v>1.3775047412552699E-3</v>
      </c>
      <c r="R373" s="12" t="str">
        <f ca="1">IFERROR(__xludf.DUMMYFUNCTION("""COMPUTED_VALUE"""),"Tropic Thunder ")</f>
        <v>Tropic Thunder </v>
      </c>
      <c r="S373" s="12">
        <f t="shared" si="19"/>
        <v>-47339971</v>
      </c>
    </row>
    <row r="374" spans="1:19" x14ac:dyDescent="0.3">
      <c r="A374" s="2" t="s">
        <v>2487</v>
      </c>
      <c r="B374" s="2">
        <v>86</v>
      </c>
      <c r="C374" s="3">
        <v>56154094</v>
      </c>
      <c r="D374" s="3" t="s">
        <v>5778</v>
      </c>
      <c r="E374" s="2" t="s">
        <v>4819</v>
      </c>
      <c r="F374" s="2" t="s">
        <v>10</v>
      </c>
      <c r="G374" s="2" t="s">
        <v>16</v>
      </c>
      <c r="H374" s="2">
        <v>4000000</v>
      </c>
      <c r="I374" s="2">
        <v>6.3</v>
      </c>
      <c r="J374" s="3">
        <v>136432</v>
      </c>
      <c r="K374">
        <f t="shared" si="18"/>
        <v>1.3775047412552699E-3</v>
      </c>
      <c r="R374" s="12" t="str">
        <f ca="1">IFERROR(__xludf.DUMMYFUNCTION("""COMPUTED_VALUE"""),"The Girl with the Dragon Tattoo ")</f>
        <v>The Girl with the Dragon Tattoo </v>
      </c>
      <c r="S374" s="12">
        <f t="shared" si="19"/>
        <v>45700000</v>
      </c>
    </row>
    <row r="375" spans="1:19" x14ac:dyDescent="0.3">
      <c r="A375" s="2" t="s">
        <v>128</v>
      </c>
      <c r="B375" s="2">
        <v>128</v>
      </c>
      <c r="C375" s="3">
        <v>59847242</v>
      </c>
      <c r="D375" s="3" t="s">
        <v>5916</v>
      </c>
      <c r="E375" s="2" t="s">
        <v>1946</v>
      </c>
      <c r="F375" s="2" t="s">
        <v>10</v>
      </c>
      <c r="G375" s="2" t="s">
        <v>11</v>
      </c>
      <c r="H375" s="2">
        <v>35000000</v>
      </c>
      <c r="I375" s="2">
        <v>7.3</v>
      </c>
      <c r="J375" s="3">
        <v>140244</v>
      </c>
      <c r="K375">
        <f t="shared" si="18"/>
        <v>1.3775047412552699E-3</v>
      </c>
      <c r="R375" s="12" t="str">
        <f ca="1">IFERROR(__xludf.DUMMYFUNCTION("""COMPUTED_VALUE"""),"Die Hard with a Vengeance ")</f>
        <v>Die Hard with a Vengeance </v>
      </c>
      <c r="S375" s="12">
        <f t="shared" si="19"/>
        <v>-51976725</v>
      </c>
    </row>
    <row r="376" spans="1:19" x14ac:dyDescent="0.3">
      <c r="A376" s="2" t="s">
        <v>2717</v>
      </c>
      <c r="B376" s="2">
        <v>89</v>
      </c>
      <c r="C376" s="3">
        <v>48265581</v>
      </c>
      <c r="D376" s="3" t="s">
        <v>5763</v>
      </c>
      <c r="E376" s="2" t="s">
        <v>2718</v>
      </c>
      <c r="F376" s="2" t="s">
        <v>10</v>
      </c>
      <c r="G376" s="2" t="s">
        <v>11</v>
      </c>
      <c r="H376" s="2">
        <v>24000000</v>
      </c>
      <c r="I376" s="2">
        <v>4.9000000000000004</v>
      </c>
      <c r="J376" s="3">
        <v>141853</v>
      </c>
      <c r="K376">
        <f t="shared" si="18"/>
        <v>1.3775047412552699E-3</v>
      </c>
      <c r="R376" s="12" t="str">
        <f ca="1">IFERROR(__xludf.DUMMYFUNCTION("""COMPUTED_VALUE"""),"Sherlock Holmes ")</f>
        <v>Sherlock Holmes </v>
      </c>
      <c r="S376" s="12">
        <f t="shared" si="19"/>
        <v>99264608</v>
      </c>
    </row>
    <row r="377" spans="1:19" x14ac:dyDescent="0.3">
      <c r="A377" s="2" t="s">
        <v>5441</v>
      </c>
      <c r="B377" s="2">
        <v>95</v>
      </c>
      <c r="C377" s="3">
        <v>101228120</v>
      </c>
      <c r="D377" s="3" t="s">
        <v>5865</v>
      </c>
      <c r="E377" s="2" t="s">
        <v>5442</v>
      </c>
      <c r="F377" s="2" t="s">
        <v>10</v>
      </c>
      <c r="G377" s="2" t="s">
        <v>16</v>
      </c>
      <c r="H377" s="2">
        <v>500000</v>
      </c>
      <c r="I377" s="2">
        <v>6.3</v>
      </c>
      <c r="J377" s="3">
        <v>143000</v>
      </c>
      <c r="K377">
        <f t="shared" si="18"/>
        <v>1.3775047412552699E-3</v>
      </c>
      <c r="R377" s="12" t="str">
        <f ca="1">IFERROR(__xludf.DUMMYFUNCTION("""COMPUTED_VALUE"""),"Atlantis: The Lost Empire ")</f>
        <v>Atlantis: The Lost Empire </v>
      </c>
      <c r="S377" s="12">
        <f t="shared" si="19"/>
        <v>42147445</v>
      </c>
    </row>
    <row r="378" spans="1:19" x14ac:dyDescent="0.3">
      <c r="A378" s="2" t="s">
        <v>836</v>
      </c>
      <c r="B378" s="2">
        <v>129</v>
      </c>
      <c r="C378" s="3">
        <v>90636983</v>
      </c>
      <c r="D378" s="3" t="s">
        <v>5924</v>
      </c>
      <c r="E378" s="2" t="s">
        <v>1948</v>
      </c>
      <c r="F378" s="2" t="s">
        <v>10</v>
      </c>
      <c r="G378" s="2" t="s">
        <v>771</v>
      </c>
      <c r="H378" s="2">
        <v>35000000</v>
      </c>
      <c r="I378" s="2">
        <v>6.3</v>
      </c>
      <c r="J378" s="3">
        <v>143653</v>
      </c>
      <c r="K378">
        <f t="shared" si="18"/>
        <v>1.3775047412552699E-3</v>
      </c>
      <c r="R378" s="12" t="str">
        <f ca="1">IFERROR(__xludf.DUMMYFUNCTION("""COMPUTED_VALUE"""),"Alvin and the Chipmunks: The Road Chip ")</f>
        <v>Alvin and the Chipmunks: The Road Chip </v>
      </c>
      <c r="S378" s="12">
        <f t="shared" si="19"/>
        <v>41546578</v>
      </c>
    </row>
    <row r="379" spans="1:19" x14ac:dyDescent="0.3">
      <c r="A379" s="2" t="s">
        <v>2003</v>
      </c>
      <c r="B379" s="2">
        <v>77</v>
      </c>
      <c r="C379" s="3">
        <v>134455175</v>
      </c>
      <c r="D379" s="3" t="s">
        <v>5925</v>
      </c>
      <c r="E379" s="2" t="s">
        <v>2805</v>
      </c>
      <c r="F379" s="2" t="s">
        <v>10</v>
      </c>
      <c r="G379" s="2" t="s">
        <v>11</v>
      </c>
      <c r="H379" s="2">
        <v>22000000</v>
      </c>
      <c r="I379" s="2">
        <v>3.8</v>
      </c>
      <c r="J379" s="3">
        <v>144431</v>
      </c>
      <c r="K379">
        <f t="shared" si="18"/>
        <v>1.3775047412552699E-3</v>
      </c>
      <c r="R379" s="12" t="str">
        <f ca="1">IFERROR(__xludf.DUMMYFUNCTION("""COMPUTED_VALUE"""),"Valkyrie ")</f>
        <v>Valkyrie </v>
      </c>
      <c r="S379" s="12">
        <f t="shared" si="19"/>
        <v>-2985711</v>
      </c>
    </row>
    <row r="380" spans="1:19" x14ac:dyDescent="0.3">
      <c r="A380" s="2" t="s">
        <v>376</v>
      </c>
      <c r="B380" s="2">
        <v>153</v>
      </c>
      <c r="C380" s="3">
        <v>141340178</v>
      </c>
      <c r="D380" s="3" t="s">
        <v>5799</v>
      </c>
      <c r="E380" s="2" t="s">
        <v>2354</v>
      </c>
      <c r="F380" s="2" t="s">
        <v>10</v>
      </c>
      <c r="G380" s="2" t="s">
        <v>11</v>
      </c>
      <c r="H380" s="2">
        <v>28000000</v>
      </c>
      <c r="I380" s="2">
        <v>7.9</v>
      </c>
      <c r="J380" s="3">
        <v>144583</v>
      </c>
      <c r="K380">
        <f t="shared" si="18"/>
        <v>1.3775047412552699E-3</v>
      </c>
      <c r="R380" s="12" t="str">
        <f ca="1">IFERROR(__xludf.DUMMYFUNCTION("""COMPUTED_VALUE"""),"You Don't Mess with the Zohan ")</f>
        <v>You Don't Mess with the Zohan </v>
      </c>
      <c r="S380" s="12">
        <f t="shared" si="19"/>
        <v>48417865</v>
      </c>
    </row>
    <row r="381" spans="1:19" x14ac:dyDescent="0.3">
      <c r="A381" s="2" t="s">
        <v>4530</v>
      </c>
      <c r="B381" s="2">
        <v>99</v>
      </c>
      <c r="C381" s="3">
        <v>58867694</v>
      </c>
      <c r="D381" s="3" t="s">
        <v>5926</v>
      </c>
      <c r="E381" s="2" t="s">
        <v>4531</v>
      </c>
      <c r="F381" s="2" t="s">
        <v>10</v>
      </c>
      <c r="G381" s="2" t="s">
        <v>11</v>
      </c>
      <c r="H381" s="2">
        <v>6000000</v>
      </c>
      <c r="I381" s="2">
        <v>7.2</v>
      </c>
      <c r="J381" s="3">
        <v>145109</v>
      </c>
      <c r="K381">
        <f t="shared" si="18"/>
        <v>1.3775047412552699E-3</v>
      </c>
      <c r="R381" s="12" t="str">
        <f ca="1">IFERROR(__xludf.DUMMYFUNCTION("""COMPUTED_VALUE"""),"Pixels ")</f>
        <v>Pixels </v>
      </c>
      <c r="S381" s="12">
        <f t="shared" si="19"/>
        <v>106203470</v>
      </c>
    </row>
    <row r="382" spans="1:19" x14ac:dyDescent="0.3">
      <c r="A382" s="2" t="s">
        <v>3836</v>
      </c>
      <c r="B382" s="2">
        <v>84</v>
      </c>
      <c r="C382" s="3">
        <v>116643346</v>
      </c>
      <c r="D382" s="3" t="s">
        <v>5927</v>
      </c>
      <c r="E382" s="2" t="s">
        <v>4797</v>
      </c>
      <c r="F382" s="2" t="s">
        <v>10</v>
      </c>
      <c r="G382" s="2" t="s">
        <v>11</v>
      </c>
      <c r="H382" s="2">
        <v>4000000</v>
      </c>
      <c r="I382" s="2">
        <v>7.6</v>
      </c>
      <c r="J382" s="3">
        <v>145540</v>
      </c>
      <c r="K382">
        <f t="shared" si="18"/>
        <v>1.3775047412552699E-3</v>
      </c>
      <c r="R382" s="12" t="str">
        <f ca="1">IFERROR(__xludf.DUMMYFUNCTION("""COMPUTED_VALUE"""),"A.I. Artificial Intelligence ")</f>
        <v>A.I. Artificial Intelligence </v>
      </c>
      <c r="S382" s="12">
        <f t="shared" si="19"/>
        <v>51350242</v>
      </c>
    </row>
    <row r="383" spans="1:19" x14ac:dyDescent="0.3">
      <c r="A383" s="2" t="s">
        <v>1894</v>
      </c>
      <c r="B383" s="2">
        <v>99</v>
      </c>
      <c r="C383" s="3">
        <v>32000000</v>
      </c>
      <c r="D383" s="3" t="s">
        <v>5830</v>
      </c>
      <c r="E383" s="2" t="s">
        <v>3023</v>
      </c>
      <c r="F383" s="2" t="s">
        <v>10</v>
      </c>
      <c r="G383" s="2" t="s">
        <v>11</v>
      </c>
      <c r="H383" s="2">
        <v>21000000</v>
      </c>
      <c r="I383" s="2">
        <v>7.2</v>
      </c>
      <c r="J383" s="3">
        <v>146072</v>
      </c>
      <c r="K383">
        <f t="shared" si="18"/>
        <v>1.3775047412552699E-3</v>
      </c>
      <c r="R383" s="12" t="str">
        <f ca="1">IFERROR(__xludf.DUMMYFUNCTION("""COMPUTED_VALUE"""),"The Haunted Mansion ")</f>
        <v>The Haunted Mansion </v>
      </c>
      <c r="S383" s="12">
        <f t="shared" si="19"/>
        <v>21097664</v>
      </c>
    </row>
    <row r="384" spans="1:19" x14ac:dyDescent="0.3">
      <c r="A384" s="2" t="s">
        <v>2212</v>
      </c>
      <c r="B384" s="2">
        <v>98</v>
      </c>
      <c r="C384" s="3">
        <v>90353764</v>
      </c>
      <c r="D384" s="3" t="s">
        <v>5799</v>
      </c>
      <c r="E384" s="2" t="s">
        <v>2215</v>
      </c>
      <c r="F384" s="2" t="s">
        <v>10</v>
      </c>
      <c r="G384" s="2" t="s">
        <v>11</v>
      </c>
      <c r="H384" s="2">
        <v>37000000</v>
      </c>
      <c r="I384" s="2">
        <v>6.1</v>
      </c>
      <c r="J384" s="3">
        <v>146402</v>
      </c>
      <c r="K384">
        <f t="shared" si="18"/>
        <v>1.3775047412552699E-3</v>
      </c>
      <c r="R384" s="12" t="str">
        <f ca="1">IFERROR(__xludf.DUMMYFUNCTION("""COMPUTED_VALUE"""),"Contact ")</f>
        <v>Contact </v>
      </c>
      <c r="S384" s="12">
        <f t="shared" si="19"/>
        <v>1398162</v>
      </c>
    </row>
    <row r="385" spans="1:19" x14ac:dyDescent="0.3">
      <c r="A385" s="2" t="s">
        <v>4737</v>
      </c>
      <c r="B385" s="2">
        <v>98</v>
      </c>
      <c r="C385" s="3">
        <v>153629485</v>
      </c>
      <c r="D385" s="3" t="s">
        <v>5855</v>
      </c>
      <c r="E385" s="2" t="s">
        <v>4738</v>
      </c>
      <c r="F385" s="2" t="s">
        <v>10</v>
      </c>
      <c r="G385" s="2" t="s">
        <v>11</v>
      </c>
      <c r="H385" s="2">
        <v>5000000</v>
      </c>
      <c r="I385" s="2">
        <v>5.4</v>
      </c>
      <c r="J385" s="3">
        <v>151389</v>
      </c>
      <c r="K385">
        <f t="shared" si="18"/>
        <v>1.3775047412552699E-3</v>
      </c>
      <c r="R385" s="12" t="str">
        <f ca="1">IFERROR(__xludf.DUMMYFUNCTION("""COMPUTED_VALUE"""),"Hollow Man ")</f>
        <v>Hollow Man </v>
      </c>
      <c r="S385" s="12">
        <f t="shared" si="19"/>
        <v>143214286</v>
      </c>
    </row>
    <row r="386" spans="1:19" x14ac:dyDescent="0.3">
      <c r="A386" s="2" t="s">
        <v>767</v>
      </c>
      <c r="B386" s="2">
        <v>92</v>
      </c>
      <c r="C386" s="3">
        <v>153620822</v>
      </c>
      <c r="D386" s="3" t="s">
        <v>5756</v>
      </c>
      <c r="E386" s="2" t="s">
        <v>768</v>
      </c>
      <c r="F386" s="2" t="s">
        <v>10</v>
      </c>
      <c r="G386" s="2" t="s">
        <v>11</v>
      </c>
      <c r="H386" s="2">
        <v>76000000</v>
      </c>
      <c r="I386" s="2">
        <v>4.0999999999999996</v>
      </c>
      <c r="J386" s="3">
        <v>154077</v>
      </c>
      <c r="K386">
        <f t="shared" ref="K386:K449" si="20">CORREL(H$2:H$3941,J$2:J$3941)</f>
        <v>1.3775047412552699E-3</v>
      </c>
      <c r="R386" s="12" t="str">
        <f ca="1">IFERROR(__xludf.DUMMYFUNCTION("""COMPUTED_VALUE"""),"The Interpreter ")</f>
        <v>The Interpreter </v>
      </c>
      <c r="S386" s="12">
        <f t="shared" si="19"/>
        <v>32647540</v>
      </c>
    </row>
    <row r="387" spans="1:19" x14ac:dyDescent="0.3">
      <c r="A387" s="2" t="s">
        <v>376</v>
      </c>
      <c r="B387" s="2">
        <v>127</v>
      </c>
      <c r="C387" s="3">
        <v>117559438</v>
      </c>
      <c r="D387" s="3" t="s">
        <v>5805</v>
      </c>
      <c r="E387" s="2" t="s">
        <v>2710</v>
      </c>
      <c r="F387" s="2" t="s">
        <v>10</v>
      </c>
      <c r="G387" s="2" t="s">
        <v>11</v>
      </c>
      <c r="H387" s="2">
        <v>24000000</v>
      </c>
      <c r="I387" s="2">
        <v>7.3</v>
      </c>
      <c r="J387" s="3">
        <v>155972</v>
      </c>
      <c r="K387">
        <f t="shared" si="20"/>
        <v>1.3775047412552699E-3</v>
      </c>
      <c r="R387" s="12" t="str">
        <f ca="1">IFERROR(__xludf.DUMMYFUNCTION("""COMPUTED_VALUE"""),"Percy Jackson: Sea of Monsters ")</f>
        <v>Percy Jackson: Sea of Monsters </v>
      </c>
      <c r="S387" s="12">
        <f t="shared" si="19"/>
        <v>-24282247</v>
      </c>
    </row>
    <row r="388" spans="1:19" x14ac:dyDescent="0.3">
      <c r="A388" s="2" t="s">
        <v>965</v>
      </c>
      <c r="B388" s="2">
        <v>115</v>
      </c>
      <c r="C388" s="3">
        <v>182805123</v>
      </c>
      <c r="D388" s="3" t="s">
        <v>5928</v>
      </c>
      <c r="E388" s="2" t="s">
        <v>4424</v>
      </c>
      <c r="F388" s="2" t="s">
        <v>10</v>
      </c>
      <c r="G388" s="2" t="s">
        <v>11</v>
      </c>
      <c r="H388" s="2">
        <v>6900000</v>
      </c>
      <c r="I388" s="2">
        <v>7.3</v>
      </c>
      <c r="J388" s="3">
        <v>155984</v>
      </c>
      <c r="K388">
        <f t="shared" si="20"/>
        <v>1.3775047412552699E-3</v>
      </c>
      <c r="R388" s="12" t="str">
        <f ca="1">IFERROR(__xludf.DUMMYFUNCTION("""COMPUTED_VALUE"""),"Lara Croft Tomb Raider: The Cradle of Life ")</f>
        <v>Lara Croft Tomb Raider: The Cradle of Life </v>
      </c>
      <c r="S388" s="12">
        <f t="shared" si="19"/>
        <v>37715371</v>
      </c>
    </row>
    <row r="389" spans="1:19" x14ac:dyDescent="0.3">
      <c r="A389" s="2" t="s">
        <v>31</v>
      </c>
      <c r="B389" s="2">
        <v>149</v>
      </c>
      <c r="C389" s="3">
        <v>120136047</v>
      </c>
      <c r="D389" s="3" t="s">
        <v>5833</v>
      </c>
      <c r="E389" s="2" t="s">
        <v>92</v>
      </c>
      <c r="F389" s="2" t="s">
        <v>10</v>
      </c>
      <c r="G389" s="2" t="s">
        <v>11</v>
      </c>
      <c r="H389" s="2">
        <v>200000000</v>
      </c>
      <c r="I389" s="2">
        <v>8</v>
      </c>
      <c r="J389" s="3">
        <v>163245</v>
      </c>
      <c r="K389">
        <f t="shared" si="20"/>
        <v>1.3775047412552699E-3</v>
      </c>
      <c r="R389" s="12" t="str">
        <f ca="1">IFERROR(__xludf.DUMMYFUNCTION("""COMPUTED_VALUE"""),"Now You See Me 2 ")</f>
        <v>Now You See Me 2 </v>
      </c>
      <c r="S389" s="12">
        <f t="shared" si="19"/>
        <v>3300000</v>
      </c>
    </row>
    <row r="390" spans="1:19" x14ac:dyDescent="0.3">
      <c r="A390" s="2" t="s">
        <v>2861</v>
      </c>
      <c r="B390" s="2">
        <v>87</v>
      </c>
      <c r="C390" s="3">
        <v>42385520</v>
      </c>
      <c r="D390" s="3" t="s">
        <v>5929</v>
      </c>
      <c r="E390" s="2" t="s">
        <v>4594</v>
      </c>
      <c r="F390" s="2" t="s">
        <v>10</v>
      </c>
      <c r="G390" s="2" t="s">
        <v>11</v>
      </c>
      <c r="H390" s="2">
        <v>5000000</v>
      </c>
      <c r="I390" s="2">
        <v>6.6</v>
      </c>
      <c r="J390" s="3">
        <v>163591</v>
      </c>
      <c r="K390">
        <f t="shared" si="20"/>
        <v>1.3775047412552699E-3</v>
      </c>
      <c r="R390" s="12" t="str">
        <f ca="1">IFERROR(__xludf.DUMMYFUNCTION("""COMPUTED_VALUE"""),"The Saint ")</f>
        <v>The Saint </v>
      </c>
      <c r="S390" s="12">
        <f t="shared" si="19"/>
        <v>-13000000</v>
      </c>
    </row>
    <row r="391" spans="1:19" x14ac:dyDescent="0.3">
      <c r="A391" s="2" t="s">
        <v>74</v>
      </c>
      <c r="B391" s="2">
        <v>136</v>
      </c>
      <c r="C391" s="3">
        <v>56437947</v>
      </c>
      <c r="D391" s="3" t="s">
        <v>5874</v>
      </c>
      <c r="E391" s="2" t="s">
        <v>439</v>
      </c>
      <c r="F391" s="2" t="s">
        <v>10</v>
      </c>
      <c r="G391" s="2" t="s">
        <v>11</v>
      </c>
      <c r="H391" s="2">
        <v>126000000</v>
      </c>
      <c r="I391" s="2">
        <v>6.9</v>
      </c>
      <c r="J391" s="3">
        <v>169379</v>
      </c>
      <c r="K391">
        <f t="shared" si="20"/>
        <v>1.3775047412552699E-3</v>
      </c>
      <c r="R391" s="12" t="str">
        <f ca="1">IFERROR(__xludf.DUMMYFUNCTION("""COMPUTED_VALUE"""),"Spy Game ")</f>
        <v>Spy Game </v>
      </c>
      <c r="S391" s="12">
        <f t="shared" si="19"/>
        <v>78749884</v>
      </c>
    </row>
    <row r="392" spans="1:19" x14ac:dyDescent="0.3">
      <c r="A392" s="2" t="s">
        <v>560</v>
      </c>
      <c r="B392" s="2">
        <v>121</v>
      </c>
      <c r="C392" s="3">
        <v>146282411</v>
      </c>
      <c r="D392" s="3" t="s">
        <v>5869</v>
      </c>
      <c r="E392" s="2" t="s">
        <v>566</v>
      </c>
      <c r="F392" s="2" t="s">
        <v>10</v>
      </c>
      <c r="G392" s="2" t="s">
        <v>11</v>
      </c>
      <c r="H392" s="2">
        <v>92000000</v>
      </c>
      <c r="I392" s="2">
        <v>7</v>
      </c>
      <c r="J392" s="3">
        <v>171988</v>
      </c>
      <c r="K392">
        <f t="shared" si="20"/>
        <v>1.3775047412552699E-3</v>
      </c>
      <c r="R392" s="12" t="str">
        <f ca="1">IFERROR(__xludf.DUMMYFUNCTION("""COMPUTED_VALUE"""),"Mission to Mars ")</f>
        <v>Mission to Mars </v>
      </c>
      <c r="S392" s="12">
        <f t="shared" si="19"/>
        <v>30362352</v>
      </c>
    </row>
    <row r="393" spans="1:19" x14ac:dyDescent="0.3">
      <c r="A393" s="2" t="s">
        <v>3795</v>
      </c>
      <c r="B393" s="2">
        <v>97</v>
      </c>
      <c r="C393" s="3">
        <v>120523073</v>
      </c>
      <c r="D393" s="3" t="s">
        <v>5930</v>
      </c>
      <c r="E393" s="2" t="s">
        <v>3796</v>
      </c>
      <c r="F393" s="2" t="s">
        <v>10</v>
      </c>
      <c r="G393" s="2" t="s">
        <v>11</v>
      </c>
      <c r="H393" s="2">
        <v>12000000</v>
      </c>
      <c r="I393" s="2">
        <v>4.3</v>
      </c>
      <c r="J393" s="3">
        <v>173066</v>
      </c>
      <c r="K393">
        <f t="shared" si="20"/>
        <v>1.3775047412552699E-3</v>
      </c>
      <c r="R393" s="12" t="str">
        <f ca="1">IFERROR(__xludf.DUMMYFUNCTION("""COMPUTED_VALUE"""),"Rio ")</f>
        <v>Rio </v>
      </c>
      <c r="S393" s="12">
        <f t="shared" si="19"/>
        <v>134985087</v>
      </c>
    </row>
    <row r="394" spans="1:19" x14ac:dyDescent="0.3">
      <c r="A394" s="2" t="s">
        <v>1096</v>
      </c>
      <c r="B394" s="2">
        <v>124</v>
      </c>
      <c r="C394" s="3">
        <v>105263257</v>
      </c>
      <c r="D394" s="3" t="s">
        <v>5849</v>
      </c>
      <c r="E394" s="2" t="s">
        <v>1097</v>
      </c>
      <c r="F394" s="2" t="s">
        <v>10</v>
      </c>
      <c r="G394" s="2" t="s">
        <v>11</v>
      </c>
      <c r="H394" s="2">
        <v>60000000</v>
      </c>
      <c r="I394" s="2">
        <v>6.6</v>
      </c>
      <c r="J394" s="3">
        <v>173783</v>
      </c>
      <c r="K394">
        <f t="shared" si="20"/>
        <v>1.3775047412552699E-3</v>
      </c>
      <c r="R394" s="12" t="str">
        <f ca="1">IFERROR(__xludf.DUMMYFUNCTION("""COMPUTED_VALUE"""),"Bicentennial Man ")</f>
        <v>Bicentennial Man </v>
      </c>
      <c r="S394" s="12">
        <f t="shared" si="19"/>
        <v>19984868</v>
      </c>
    </row>
    <row r="395" spans="1:19" x14ac:dyDescent="0.3">
      <c r="A395" s="2" t="s">
        <v>642</v>
      </c>
      <c r="B395" s="2">
        <v>130</v>
      </c>
      <c r="C395" s="3">
        <v>179883016</v>
      </c>
      <c r="D395" s="3" t="s">
        <v>5855</v>
      </c>
      <c r="E395" s="2" t="s">
        <v>1591</v>
      </c>
      <c r="F395" s="2" t="s">
        <v>10</v>
      </c>
      <c r="G395" s="2" t="s">
        <v>11</v>
      </c>
      <c r="H395" s="2">
        <v>44000000</v>
      </c>
      <c r="I395" s="2">
        <v>7.8</v>
      </c>
      <c r="J395" s="3">
        <v>174682</v>
      </c>
      <c r="K395">
        <f t="shared" si="20"/>
        <v>1.3775047412552699E-3</v>
      </c>
      <c r="R395" s="12" t="str">
        <f ca="1">IFERROR(__xludf.DUMMYFUNCTION("""COMPUTED_VALUE"""),"Volcano ")</f>
        <v>Volcano </v>
      </c>
      <c r="S395" s="12">
        <f t="shared" si="19"/>
        <v>139992827</v>
      </c>
    </row>
    <row r="396" spans="1:19" x14ac:dyDescent="0.3">
      <c r="A396" s="2" t="s">
        <v>246</v>
      </c>
      <c r="B396" s="2">
        <v>85</v>
      </c>
      <c r="C396" s="3">
        <v>48472213</v>
      </c>
      <c r="D396" s="3" t="s">
        <v>5779</v>
      </c>
      <c r="E396" s="2" t="s">
        <v>247</v>
      </c>
      <c r="F396" s="2" t="s">
        <v>10</v>
      </c>
      <c r="G396" s="2" t="s">
        <v>16</v>
      </c>
      <c r="H396" s="3">
        <v>26199517</v>
      </c>
      <c r="I396" s="2">
        <v>6.7</v>
      </c>
      <c r="J396" s="3">
        <v>175370</v>
      </c>
      <c r="K396">
        <f t="shared" si="20"/>
        <v>1.3775047412552699E-3</v>
      </c>
      <c r="R396" s="12" t="str">
        <f ca="1">IFERROR(__xludf.DUMMYFUNCTION("""COMPUTED_VALUE"""),"The Devil's Own ")</f>
        <v>The Devil's Own </v>
      </c>
      <c r="S396" s="12">
        <f t="shared" si="19"/>
        <v>52154094</v>
      </c>
    </row>
    <row r="397" spans="1:19" x14ac:dyDescent="0.3">
      <c r="A397" s="2" t="s">
        <v>280</v>
      </c>
      <c r="B397" s="2">
        <v>120</v>
      </c>
      <c r="C397" s="3">
        <v>176636816</v>
      </c>
      <c r="D397" s="3" t="s">
        <v>5845</v>
      </c>
      <c r="E397" s="2" t="s">
        <v>2381</v>
      </c>
      <c r="F397" s="2" t="s">
        <v>10</v>
      </c>
      <c r="G397" s="2" t="s">
        <v>11</v>
      </c>
      <c r="H397" s="2">
        <v>30000000</v>
      </c>
      <c r="I397" s="2">
        <v>6.7</v>
      </c>
      <c r="J397" s="3">
        <v>177840</v>
      </c>
      <c r="K397">
        <f t="shared" si="20"/>
        <v>1.3775047412552699E-3</v>
      </c>
      <c r="R397" s="12" t="str">
        <f ca="1">IFERROR(__xludf.DUMMYFUNCTION("""COMPUTED_VALUE"""),"K-19: The Widowmaker ")</f>
        <v>K-19: The Widowmaker </v>
      </c>
      <c r="S397" s="12">
        <f t="shared" si="19"/>
        <v>24847242</v>
      </c>
    </row>
    <row r="398" spans="1:19" x14ac:dyDescent="0.3">
      <c r="A398" s="2" t="s">
        <v>799</v>
      </c>
      <c r="B398" s="2">
        <v>140</v>
      </c>
      <c r="C398" s="3">
        <v>106807667</v>
      </c>
      <c r="D398" s="3" t="s">
        <v>5898</v>
      </c>
      <c r="E398" s="2" t="s">
        <v>1388</v>
      </c>
      <c r="F398" s="2" t="s">
        <v>10</v>
      </c>
      <c r="G398" s="2" t="s">
        <v>199</v>
      </c>
      <c r="H398" s="2">
        <v>50000000</v>
      </c>
      <c r="I398" s="2">
        <v>7.3</v>
      </c>
      <c r="J398" s="3">
        <v>178739</v>
      </c>
      <c r="K398">
        <f t="shared" si="20"/>
        <v>1.3775047412552699E-3</v>
      </c>
      <c r="R398" s="12" t="str">
        <f ca="1">IFERROR(__xludf.DUMMYFUNCTION("""COMPUTED_VALUE"""),"Conan the Barbarian ")</f>
        <v>Conan the Barbarian </v>
      </c>
      <c r="S398" s="12">
        <f t="shared" si="19"/>
        <v>24265581</v>
      </c>
    </row>
    <row r="399" spans="1:19" x14ac:dyDescent="0.3">
      <c r="A399" s="2" t="s">
        <v>207</v>
      </c>
      <c r="B399" s="2">
        <v>89</v>
      </c>
      <c r="C399" s="3">
        <v>197171806</v>
      </c>
      <c r="D399" s="3" t="s">
        <v>5823</v>
      </c>
      <c r="E399" s="2" t="s">
        <v>208</v>
      </c>
      <c r="F399" s="2" t="s">
        <v>10</v>
      </c>
      <c r="G399" s="2" t="s">
        <v>11</v>
      </c>
      <c r="H399" s="2">
        <v>150000000</v>
      </c>
      <c r="I399" s="2">
        <v>6.7</v>
      </c>
      <c r="J399" s="3">
        <v>180483</v>
      </c>
      <c r="K399">
        <f t="shared" si="20"/>
        <v>1.3775047412552699E-3</v>
      </c>
      <c r="R399" s="12" t="str">
        <f ca="1">IFERROR(__xludf.DUMMYFUNCTION("""COMPUTED_VALUE"""),"Cinderella Man ")</f>
        <v>Cinderella Man </v>
      </c>
      <c r="S399" s="12">
        <f t="shared" si="19"/>
        <v>100728120</v>
      </c>
    </row>
    <row r="400" spans="1:19" x14ac:dyDescent="0.3">
      <c r="A400" s="2" t="s">
        <v>5392</v>
      </c>
      <c r="B400" s="2">
        <v>90</v>
      </c>
      <c r="C400" s="3">
        <v>42043633</v>
      </c>
      <c r="D400" s="3" t="s">
        <v>5931</v>
      </c>
      <c r="E400" s="2" t="s">
        <v>5393</v>
      </c>
      <c r="F400" s="2" t="s">
        <v>10</v>
      </c>
      <c r="G400" s="2" t="s">
        <v>71</v>
      </c>
      <c r="H400" s="2">
        <v>1000000</v>
      </c>
      <c r="I400" s="2">
        <v>5.4</v>
      </c>
      <c r="J400" s="3">
        <v>183088</v>
      </c>
      <c r="K400">
        <f t="shared" si="20"/>
        <v>1.3775047412552699E-3</v>
      </c>
      <c r="R400" s="12" t="str">
        <f ca="1">IFERROR(__xludf.DUMMYFUNCTION("""COMPUTED_VALUE"""),"The Nutcracker in 3D ")</f>
        <v>The Nutcracker in 3D </v>
      </c>
      <c r="S400" s="12">
        <f t="shared" si="19"/>
        <v>55636983</v>
      </c>
    </row>
    <row r="401" spans="1:19" x14ac:dyDescent="0.3">
      <c r="A401" s="2" t="s">
        <v>126</v>
      </c>
      <c r="B401" s="2">
        <v>101</v>
      </c>
      <c r="C401" s="3">
        <v>15091542</v>
      </c>
      <c r="D401" s="3" t="s">
        <v>5767</v>
      </c>
      <c r="E401" s="2" t="s">
        <v>989</v>
      </c>
      <c r="F401" s="2" t="s">
        <v>10</v>
      </c>
      <c r="G401" s="2" t="s">
        <v>11</v>
      </c>
      <c r="H401" s="2">
        <v>65000000</v>
      </c>
      <c r="I401" s="2">
        <v>6.1</v>
      </c>
      <c r="J401" s="3">
        <v>183125</v>
      </c>
      <c r="K401">
        <f t="shared" si="20"/>
        <v>1.3775047412552699E-3</v>
      </c>
      <c r="R401" s="12" t="str">
        <f ca="1">IFERROR(__xludf.DUMMYFUNCTION("""COMPUTED_VALUE"""),"Seabiscuit ")</f>
        <v>Seabiscuit </v>
      </c>
      <c r="S401" s="12">
        <f t="shared" si="19"/>
        <v>112455175</v>
      </c>
    </row>
    <row r="402" spans="1:19" x14ac:dyDescent="0.3">
      <c r="A402" s="2" t="s">
        <v>1354</v>
      </c>
      <c r="B402" s="2">
        <v>114</v>
      </c>
      <c r="C402" s="3">
        <v>121248145</v>
      </c>
      <c r="D402" s="3" t="s">
        <v>5773</v>
      </c>
      <c r="E402" s="2" t="s">
        <v>1433</v>
      </c>
      <c r="F402" s="2" t="s">
        <v>10</v>
      </c>
      <c r="G402" s="2" t="s">
        <v>11</v>
      </c>
      <c r="H402" s="2">
        <v>50000000</v>
      </c>
      <c r="I402" s="2">
        <v>6.6</v>
      </c>
      <c r="J402" s="3">
        <v>183490</v>
      </c>
      <c r="K402">
        <f t="shared" si="20"/>
        <v>1.3775047412552699E-3</v>
      </c>
      <c r="R402" s="12" t="str">
        <f ca="1">IFERROR(__xludf.DUMMYFUNCTION("""COMPUTED_VALUE"""),"Twister ")</f>
        <v>Twister </v>
      </c>
      <c r="S402" s="12">
        <f t="shared" si="19"/>
        <v>113340178</v>
      </c>
    </row>
    <row r="403" spans="1:19" x14ac:dyDescent="0.3">
      <c r="A403" s="2" t="s">
        <v>355</v>
      </c>
      <c r="B403" s="2">
        <v>138</v>
      </c>
      <c r="C403" s="3">
        <v>24944213</v>
      </c>
      <c r="D403" s="3" t="s">
        <v>5771</v>
      </c>
      <c r="E403" s="2" t="s">
        <v>683</v>
      </c>
      <c r="F403" s="2" t="s">
        <v>10</v>
      </c>
      <c r="G403" s="2" t="s">
        <v>11</v>
      </c>
      <c r="H403" s="2">
        <v>80000000</v>
      </c>
      <c r="I403" s="2">
        <v>7.3</v>
      </c>
      <c r="J403" s="3">
        <v>183662</v>
      </c>
      <c r="K403">
        <f t="shared" si="20"/>
        <v>1.3775047412552699E-3</v>
      </c>
      <c r="R403" s="12" t="str">
        <f ca="1">IFERROR(__xludf.DUMMYFUNCTION("""COMPUTED_VALUE"""),"Cast Away ")</f>
        <v>Cast Away </v>
      </c>
      <c r="S403" s="12">
        <f t="shared" si="19"/>
        <v>52867694</v>
      </c>
    </row>
    <row r="404" spans="1:19" x14ac:dyDescent="0.3">
      <c r="A404" s="2" t="s">
        <v>5142</v>
      </c>
      <c r="B404" s="2">
        <v>93</v>
      </c>
      <c r="C404" s="3">
        <v>89296573</v>
      </c>
      <c r="D404" s="3" t="s">
        <v>5797</v>
      </c>
      <c r="E404" s="2" t="s">
        <v>5143</v>
      </c>
      <c r="F404" s="2" t="s">
        <v>10</v>
      </c>
      <c r="G404" s="2" t="s">
        <v>11</v>
      </c>
      <c r="H404" s="2">
        <v>1800000</v>
      </c>
      <c r="I404" s="2">
        <v>7.3</v>
      </c>
      <c r="J404" s="3">
        <v>185577</v>
      </c>
      <c r="K404">
        <f t="shared" si="20"/>
        <v>1.3775047412552699E-3</v>
      </c>
      <c r="R404" s="12" t="str">
        <f ca="1">IFERROR(__xludf.DUMMYFUNCTION("""COMPUTED_VALUE"""),"Happy Feet ")</f>
        <v>Happy Feet </v>
      </c>
      <c r="S404" s="12">
        <f t="shared" si="19"/>
        <v>112643346</v>
      </c>
    </row>
    <row r="405" spans="1:19" x14ac:dyDescent="0.3">
      <c r="A405" s="2" t="s">
        <v>1555</v>
      </c>
      <c r="B405" s="2">
        <v>112</v>
      </c>
      <c r="C405" s="3">
        <v>113006880</v>
      </c>
      <c r="D405" s="3" t="s">
        <v>5813</v>
      </c>
      <c r="E405" s="2" t="s">
        <v>4064</v>
      </c>
      <c r="F405" s="2" t="s">
        <v>10</v>
      </c>
      <c r="G405" s="2" t="s">
        <v>504</v>
      </c>
      <c r="H405" s="2">
        <v>10000000</v>
      </c>
      <c r="I405" s="2">
        <v>8</v>
      </c>
      <c r="J405" s="3">
        <v>186354</v>
      </c>
      <c r="K405">
        <f t="shared" si="20"/>
        <v>1.3775047412552699E-3</v>
      </c>
      <c r="R405" s="12" t="str">
        <f ca="1">IFERROR(__xludf.DUMMYFUNCTION("""COMPUTED_VALUE"""),"The Bourne Supremacy ")</f>
        <v>The Bourne Supremacy </v>
      </c>
      <c r="S405" s="12">
        <f t="shared" si="19"/>
        <v>11000000</v>
      </c>
    </row>
    <row r="406" spans="1:19" x14ac:dyDescent="0.3">
      <c r="A406" s="2" t="s">
        <v>2968</v>
      </c>
      <c r="B406" s="2">
        <v>121</v>
      </c>
      <c r="C406" s="3">
        <v>529766</v>
      </c>
      <c r="D406" s="3" t="s">
        <v>5932</v>
      </c>
      <c r="E406" s="2" t="s">
        <v>4069</v>
      </c>
      <c r="F406" s="2" t="s">
        <v>10</v>
      </c>
      <c r="G406" s="2" t="s">
        <v>11</v>
      </c>
      <c r="H406" s="2">
        <v>9000000</v>
      </c>
      <c r="I406" s="2">
        <v>6.6</v>
      </c>
      <c r="J406" s="3">
        <v>190562</v>
      </c>
      <c r="K406">
        <f t="shared" si="20"/>
        <v>1.3775047412552699E-3</v>
      </c>
      <c r="R406" s="12" t="str">
        <f ca="1">IFERROR(__xludf.DUMMYFUNCTION("""COMPUTED_VALUE"""),"Air Force One ")</f>
        <v>Air Force One </v>
      </c>
      <c r="S406" s="12">
        <f t="shared" si="19"/>
        <v>53353764</v>
      </c>
    </row>
    <row r="407" spans="1:19" x14ac:dyDescent="0.3">
      <c r="A407" s="2" t="s">
        <v>5292</v>
      </c>
      <c r="B407" s="2">
        <v>86</v>
      </c>
      <c r="C407" s="3">
        <v>176387405</v>
      </c>
      <c r="D407" s="3" t="s">
        <v>5933</v>
      </c>
      <c r="E407" s="2" t="s">
        <v>5293</v>
      </c>
      <c r="F407" s="2" t="s">
        <v>10</v>
      </c>
      <c r="G407" s="2" t="s">
        <v>16</v>
      </c>
      <c r="H407" s="2">
        <v>1000000</v>
      </c>
      <c r="I407" s="2">
        <v>7</v>
      </c>
      <c r="J407" s="3">
        <v>191309</v>
      </c>
      <c r="K407">
        <f t="shared" si="20"/>
        <v>1.3775047412552699E-3</v>
      </c>
      <c r="R407" s="12" t="str">
        <f ca="1">IFERROR(__xludf.DUMMYFUNCTION("""COMPUTED_VALUE"""),"Ocean's Eleven ")</f>
        <v>Ocean's Eleven </v>
      </c>
      <c r="S407" s="12">
        <f t="shared" si="19"/>
        <v>148629485</v>
      </c>
    </row>
    <row r="408" spans="1:19" x14ac:dyDescent="0.3">
      <c r="A408" s="2" t="s">
        <v>3011</v>
      </c>
      <c r="B408" s="2">
        <v>93</v>
      </c>
      <c r="C408" s="3">
        <v>195329763</v>
      </c>
      <c r="D408" s="3" t="s">
        <v>5768</v>
      </c>
      <c r="E408" s="2" t="s">
        <v>3012</v>
      </c>
      <c r="F408" s="2" t="s">
        <v>10</v>
      </c>
      <c r="G408" s="2" t="s">
        <v>11</v>
      </c>
      <c r="H408" s="2">
        <v>20000000</v>
      </c>
      <c r="I408" s="2">
        <v>4.3</v>
      </c>
      <c r="J408" s="3">
        <v>192467</v>
      </c>
      <c r="K408">
        <f t="shared" si="20"/>
        <v>1.3775047412552699E-3</v>
      </c>
      <c r="R408" s="12" t="str">
        <f ca="1">IFERROR(__xludf.DUMMYFUNCTION("""COMPUTED_VALUE"""),"The Three Musketeers ")</f>
        <v>The Three Musketeers </v>
      </c>
      <c r="S408" s="12">
        <f t="shared" si="19"/>
        <v>77620822</v>
      </c>
    </row>
    <row r="409" spans="1:19" x14ac:dyDescent="0.3">
      <c r="A409" s="2" t="s">
        <v>240</v>
      </c>
      <c r="B409" s="2">
        <v>106</v>
      </c>
      <c r="C409" s="3">
        <v>119938730</v>
      </c>
      <c r="D409" s="3" t="s">
        <v>5934</v>
      </c>
      <c r="E409" s="2" t="s">
        <v>827</v>
      </c>
      <c r="F409" s="2" t="s">
        <v>10</v>
      </c>
      <c r="G409" s="2" t="s">
        <v>11</v>
      </c>
      <c r="H409" s="2">
        <v>75000000</v>
      </c>
      <c r="I409" s="2">
        <v>7.2</v>
      </c>
      <c r="J409" s="3">
        <v>194568</v>
      </c>
      <c r="K409">
        <f t="shared" si="20"/>
        <v>1.3775047412552699E-3</v>
      </c>
      <c r="R409" s="12" t="str">
        <f ca="1">IFERROR(__xludf.DUMMYFUNCTION("""COMPUTED_VALUE"""),"Hotel Transylvania ")</f>
        <v>Hotel Transylvania </v>
      </c>
      <c r="S409" s="12">
        <f t="shared" ref="S409:S472" si="21">C387-H387</f>
        <v>93559438</v>
      </c>
    </row>
    <row r="410" spans="1:19" x14ac:dyDescent="0.3">
      <c r="A410" s="2" t="s">
        <v>460</v>
      </c>
      <c r="B410" s="2">
        <v>115</v>
      </c>
      <c r="C410" s="3">
        <v>48430355</v>
      </c>
      <c r="D410" s="3" t="s">
        <v>5935</v>
      </c>
      <c r="E410" s="2" t="s">
        <v>461</v>
      </c>
      <c r="F410" s="2" t="s">
        <v>10</v>
      </c>
      <c r="G410" s="2" t="s">
        <v>11</v>
      </c>
      <c r="H410" s="2">
        <v>100000000</v>
      </c>
      <c r="I410" s="2">
        <v>6.1</v>
      </c>
      <c r="J410" s="3">
        <v>195888</v>
      </c>
      <c r="K410">
        <f t="shared" si="20"/>
        <v>1.3775047412552699E-3</v>
      </c>
      <c r="R410" s="12" t="str">
        <f ca="1">IFERROR(__xludf.DUMMYFUNCTION("""COMPUTED_VALUE"""),"Enchanted ")</f>
        <v>Enchanted </v>
      </c>
      <c r="S410" s="12">
        <f t="shared" si="21"/>
        <v>175905123</v>
      </c>
    </row>
    <row r="411" spans="1:19" x14ac:dyDescent="0.3">
      <c r="A411" s="2" t="s">
        <v>1414</v>
      </c>
      <c r="B411" s="2">
        <v>101</v>
      </c>
      <c r="C411" s="3">
        <v>67155742</v>
      </c>
      <c r="D411" s="3" t="s">
        <v>5795</v>
      </c>
      <c r="E411" s="2" t="s">
        <v>1790</v>
      </c>
      <c r="F411" s="2" t="s">
        <v>10</v>
      </c>
      <c r="G411" s="2" t="s">
        <v>11</v>
      </c>
      <c r="H411" s="2">
        <v>40000000</v>
      </c>
      <c r="I411" s="2">
        <v>5.9</v>
      </c>
      <c r="J411" s="3">
        <v>196067</v>
      </c>
      <c r="K411">
        <f t="shared" si="20"/>
        <v>1.3775047412552699E-3</v>
      </c>
      <c r="R411" s="12" t="str">
        <f ca="1">IFERROR(__xludf.DUMMYFUNCTION("""COMPUTED_VALUE"""),"Safe House ")</f>
        <v>Safe House </v>
      </c>
      <c r="S411" s="12">
        <f t="shared" si="21"/>
        <v>-79863953</v>
      </c>
    </row>
    <row r="412" spans="1:19" x14ac:dyDescent="0.3">
      <c r="A412" s="2" t="s">
        <v>1827</v>
      </c>
      <c r="B412" s="2">
        <v>93</v>
      </c>
      <c r="C412" s="3">
        <v>64149837</v>
      </c>
      <c r="D412" s="3" t="s">
        <v>5936</v>
      </c>
      <c r="E412" s="2" t="s">
        <v>1828</v>
      </c>
      <c r="F412" s="2" t="s">
        <v>10</v>
      </c>
      <c r="G412" s="2" t="s">
        <v>199</v>
      </c>
      <c r="H412" s="2">
        <v>40000000</v>
      </c>
      <c r="I412" s="2">
        <v>5.0999999999999996</v>
      </c>
      <c r="J412" s="3">
        <v>197148</v>
      </c>
      <c r="K412">
        <f t="shared" si="20"/>
        <v>1.3775047412552699E-3</v>
      </c>
      <c r="R412" s="12" t="str">
        <f ca="1">IFERROR(__xludf.DUMMYFUNCTION("""COMPUTED_VALUE"""),"102 Dalmatians ")</f>
        <v>102 Dalmatians </v>
      </c>
      <c r="S412" s="12">
        <f t="shared" si="21"/>
        <v>37385520</v>
      </c>
    </row>
    <row r="413" spans="1:19" x14ac:dyDescent="0.3">
      <c r="A413" s="2" t="s">
        <v>1299</v>
      </c>
      <c r="B413" s="2">
        <v>110</v>
      </c>
      <c r="C413" s="3">
        <v>113502246</v>
      </c>
      <c r="D413" s="3" t="s">
        <v>5937</v>
      </c>
      <c r="E413" s="2" t="s">
        <v>3243</v>
      </c>
      <c r="F413" s="2" t="s">
        <v>10</v>
      </c>
      <c r="G413" s="2" t="s">
        <v>11</v>
      </c>
      <c r="H413" s="2">
        <v>17500000</v>
      </c>
      <c r="I413" s="2">
        <v>6.3</v>
      </c>
      <c r="J413" s="3">
        <v>198407</v>
      </c>
      <c r="K413">
        <f t="shared" si="20"/>
        <v>1.3775047412552699E-3</v>
      </c>
      <c r="R413" s="12" t="str">
        <f ca="1">IFERROR(__xludf.DUMMYFUNCTION("""COMPUTED_VALUE"""),"Tower Heist ")</f>
        <v>Tower Heist </v>
      </c>
      <c r="S413" s="12">
        <f t="shared" si="21"/>
        <v>-69562053</v>
      </c>
    </row>
    <row r="414" spans="1:19" x14ac:dyDescent="0.3">
      <c r="A414" s="2" t="s">
        <v>1502</v>
      </c>
      <c r="B414" s="2">
        <v>88</v>
      </c>
      <c r="C414" s="3">
        <v>84037039</v>
      </c>
      <c r="D414" s="3" t="s">
        <v>5768</v>
      </c>
      <c r="E414" s="2" t="s">
        <v>2331</v>
      </c>
      <c r="F414" s="2" t="s">
        <v>10</v>
      </c>
      <c r="G414" s="2" t="s">
        <v>11</v>
      </c>
      <c r="H414" s="2">
        <v>30000000</v>
      </c>
      <c r="I414" s="2">
        <v>5.6</v>
      </c>
      <c r="J414" s="3">
        <v>199228</v>
      </c>
      <c r="K414">
        <f t="shared" si="20"/>
        <v>1.3775047412552699E-3</v>
      </c>
      <c r="R414" s="12" t="str">
        <f ca="1">IFERROR(__xludf.DUMMYFUNCTION("""COMPUTED_VALUE"""),"The Holiday ")</f>
        <v>The Holiday </v>
      </c>
      <c r="S414" s="12">
        <f t="shared" si="21"/>
        <v>54282411</v>
      </c>
    </row>
    <row r="415" spans="1:19" x14ac:dyDescent="0.3">
      <c r="A415" s="2" t="s">
        <v>3040</v>
      </c>
      <c r="B415" s="2">
        <v>154</v>
      </c>
      <c r="C415" s="3">
        <v>101157447</v>
      </c>
      <c r="D415" s="3" t="s">
        <v>5938</v>
      </c>
      <c r="E415" s="2" t="s">
        <v>3041</v>
      </c>
      <c r="F415" s="2" t="s">
        <v>10</v>
      </c>
      <c r="G415" s="2" t="s">
        <v>16</v>
      </c>
      <c r="H415" s="2">
        <v>10000000</v>
      </c>
      <c r="I415" s="2">
        <v>7.4</v>
      </c>
      <c r="J415" s="3">
        <v>200803</v>
      </c>
      <c r="K415">
        <f t="shared" si="20"/>
        <v>1.3775047412552699E-3</v>
      </c>
      <c r="R415" s="12" t="str">
        <f ca="1">IFERROR(__xludf.DUMMYFUNCTION("""COMPUTED_VALUE"""),"Enemy of the State ")</f>
        <v>Enemy of the State </v>
      </c>
      <c r="S415" s="12">
        <f t="shared" si="21"/>
        <v>108523073</v>
      </c>
    </row>
    <row r="416" spans="1:19" x14ac:dyDescent="0.3">
      <c r="A416" s="2" t="s">
        <v>69</v>
      </c>
      <c r="B416" s="2">
        <v>97</v>
      </c>
      <c r="C416" s="3">
        <v>176049130</v>
      </c>
      <c r="D416" s="3" t="s">
        <v>5939</v>
      </c>
      <c r="E416" s="2" t="s">
        <v>2555</v>
      </c>
      <c r="F416" s="2" t="s">
        <v>10</v>
      </c>
      <c r="G416" s="2" t="s">
        <v>11</v>
      </c>
      <c r="H416" s="2">
        <v>25000000</v>
      </c>
      <c r="I416" s="2">
        <v>6.1</v>
      </c>
      <c r="J416" s="3">
        <v>203134</v>
      </c>
      <c r="K416">
        <f t="shared" si="20"/>
        <v>1.3775047412552699E-3</v>
      </c>
      <c r="R416" s="12" t="str">
        <f ca="1">IFERROR(__xludf.DUMMYFUNCTION("""COMPUTED_VALUE"""),"It's Complicated ")</f>
        <v>It's Complicated </v>
      </c>
      <c r="S416" s="12">
        <f t="shared" si="21"/>
        <v>45263257</v>
      </c>
    </row>
    <row r="417" spans="1:19" x14ac:dyDescent="0.3">
      <c r="A417" s="2" t="s">
        <v>74</v>
      </c>
      <c r="B417" s="2">
        <v>136</v>
      </c>
      <c r="C417" s="3">
        <v>64001297</v>
      </c>
      <c r="D417" s="3" t="s">
        <v>5866</v>
      </c>
      <c r="E417" s="2" t="s">
        <v>783</v>
      </c>
      <c r="F417" s="2" t="s">
        <v>10</v>
      </c>
      <c r="G417" s="2" t="s">
        <v>11</v>
      </c>
      <c r="H417" s="2">
        <v>75000000</v>
      </c>
      <c r="I417" s="2">
        <v>7.4</v>
      </c>
      <c r="J417" s="3">
        <v>206400</v>
      </c>
      <c r="K417">
        <f t="shared" si="20"/>
        <v>1.3775047412552699E-3</v>
      </c>
      <c r="R417" s="12" t="str">
        <f ca="1">IFERROR(__xludf.DUMMYFUNCTION("""COMPUTED_VALUE"""),"Ocean's Thirteen ")</f>
        <v>Ocean's Thirteen </v>
      </c>
      <c r="S417" s="12">
        <f t="shared" si="21"/>
        <v>135883016</v>
      </c>
    </row>
    <row r="418" spans="1:19" x14ac:dyDescent="0.3">
      <c r="A418" s="2" t="s">
        <v>928</v>
      </c>
      <c r="B418" s="2">
        <v>112</v>
      </c>
      <c r="C418" s="3">
        <v>83400000</v>
      </c>
      <c r="D418" s="3" t="s">
        <v>5940</v>
      </c>
      <c r="E418" s="2" t="s">
        <v>1321</v>
      </c>
      <c r="F418" s="2" t="s">
        <v>10</v>
      </c>
      <c r="G418" s="2" t="s">
        <v>11</v>
      </c>
      <c r="H418" s="2">
        <v>50000000</v>
      </c>
      <c r="I418" s="2">
        <v>7</v>
      </c>
      <c r="J418" s="3">
        <v>211667</v>
      </c>
      <c r="K418">
        <f t="shared" si="20"/>
        <v>1.3775047412552699E-3</v>
      </c>
      <c r="R418" s="12" t="str">
        <f ca="1">IFERROR(__xludf.DUMMYFUNCTION("""COMPUTED_VALUE"""),"Open Season ")</f>
        <v>Open Season </v>
      </c>
      <c r="S418" s="12">
        <f t="shared" si="21"/>
        <v>22272696</v>
      </c>
    </row>
    <row r="419" spans="1:19" x14ac:dyDescent="0.3">
      <c r="A419" s="2" t="s">
        <v>5027</v>
      </c>
      <c r="B419" s="2">
        <v>80</v>
      </c>
      <c r="C419" s="3">
        <v>174635000</v>
      </c>
      <c r="D419" s="3" t="s">
        <v>5753</v>
      </c>
      <c r="E419" s="2" t="s">
        <v>5028</v>
      </c>
      <c r="F419" s="2" t="s">
        <v>10</v>
      </c>
      <c r="G419" s="2" t="s">
        <v>11</v>
      </c>
      <c r="H419" s="2">
        <v>2500000</v>
      </c>
      <c r="I419" s="2">
        <v>7.1</v>
      </c>
      <c r="J419" s="3">
        <v>212285</v>
      </c>
      <c r="K419">
        <f t="shared" si="20"/>
        <v>1.3775047412552699E-3</v>
      </c>
      <c r="R419" s="12" t="str">
        <f ca="1">IFERROR(__xludf.DUMMYFUNCTION("""COMPUTED_VALUE"""),"Divergent ")</f>
        <v>Divergent </v>
      </c>
      <c r="S419" s="12">
        <f t="shared" si="21"/>
        <v>146636816</v>
      </c>
    </row>
    <row r="420" spans="1:19" x14ac:dyDescent="0.3">
      <c r="A420" s="2" t="s">
        <v>742</v>
      </c>
      <c r="B420" s="2">
        <v>177</v>
      </c>
      <c r="C420" s="3">
        <v>48423368</v>
      </c>
      <c r="D420" s="3" t="s">
        <v>5753</v>
      </c>
      <c r="E420" s="2" t="s">
        <v>743</v>
      </c>
      <c r="F420" s="2" t="s">
        <v>10</v>
      </c>
      <c r="G420" s="2" t="s">
        <v>11</v>
      </c>
      <c r="H420" s="2">
        <v>80000000</v>
      </c>
      <c r="I420" s="2">
        <v>6</v>
      </c>
      <c r="J420" s="3">
        <v>214202</v>
      </c>
      <c r="K420">
        <f t="shared" si="20"/>
        <v>1.3775047412552699E-3</v>
      </c>
      <c r="R420" s="12" t="str">
        <f ca="1">IFERROR(__xludf.DUMMYFUNCTION("""COMPUTED_VALUE"""),"Enemy at the Gates ")</f>
        <v>Enemy at the Gates </v>
      </c>
      <c r="S420" s="12">
        <f t="shared" si="21"/>
        <v>56807667</v>
      </c>
    </row>
    <row r="421" spans="1:19" x14ac:dyDescent="0.3">
      <c r="A421" s="2" t="s">
        <v>5375</v>
      </c>
      <c r="B421" s="2">
        <v>87</v>
      </c>
      <c r="C421" s="3">
        <v>44667095</v>
      </c>
      <c r="D421" s="3" t="s">
        <v>5853</v>
      </c>
      <c r="E421" s="2" t="s">
        <v>5376</v>
      </c>
      <c r="F421" s="2" t="s">
        <v>10</v>
      </c>
      <c r="G421" s="2" t="s">
        <v>11</v>
      </c>
      <c r="H421" s="2">
        <v>1000000</v>
      </c>
      <c r="I421" s="2">
        <v>5.8</v>
      </c>
      <c r="J421" s="3">
        <v>214966</v>
      </c>
      <c r="K421">
        <f t="shared" si="20"/>
        <v>1.3775047412552699E-3</v>
      </c>
      <c r="R421" s="12" t="str">
        <f ca="1">IFERROR(__xludf.DUMMYFUNCTION("""COMPUTED_VALUE"""),"The Rundown ")</f>
        <v>The Rundown </v>
      </c>
      <c r="S421" s="12">
        <f t="shared" si="21"/>
        <v>47171806</v>
      </c>
    </row>
    <row r="422" spans="1:19" x14ac:dyDescent="0.3">
      <c r="A422" s="2" t="s">
        <v>642</v>
      </c>
      <c r="B422" s="2">
        <v>108</v>
      </c>
      <c r="C422" s="3">
        <v>179982968</v>
      </c>
      <c r="D422" s="3" t="s">
        <v>520</v>
      </c>
      <c r="E422" s="2" t="s">
        <v>643</v>
      </c>
      <c r="F422" s="2" t="s">
        <v>10</v>
      </c>
      <c r="G422" s="2" t="s">
        <v>11</v>
      </c>
      <c r="H422" s="2">
        <v>85000000</v>
      </c>
      <c r="I422" s="2">
        <v>5.5</v>
      </c>
      <c r="J422" s="3">
        <v>215185</v>
      </c>
      <c r="K422">
        <f t="shared" si="20"/>
        <v>1.3775047412552699E-3</v>
      </c>
      <c r="R422" s="12" t="str">
        <f ca="1">IFERROR(__xludf.DUMMYFUNCTION("""COMPUTED_VALUE"""),"Last Action Hero ")</f>
        <v>Last Action Hero </v>
      </c>
      <c r="S422" s="12">
        <f t="shared" si="21"/>
        <v>41043633</v>
      </c>
    </row>
    <row r="423" spans="1:19" x14ac:dyDescent="0.3">
      <c r="A423" s="2" t="s">
        <v>5238</v>
      </c>
      <c r="B423" s="2">
        <v>97</v>
      </c>
      <c r="C423" s="3">
        <v>93050117</v>
      </c>
      <c r="D423" s="3" t="s">
        <v>351</v>
      </c>
      <c r="E423" s="2" t="s">
        <v>5239</v>
      </c>
      <c r="F423" s="2" t="s">
        <v>10</v>
      </c>
      <c r="G423" s="2" t="s">
        <v>1845</v>
      </c>
      <c r="H423" s="2">
        <v>1500000</v>
      </c>
      <c r="I423" s="2">
        <v>3.3</v>
      </c>
      <c r="J423" s="3">
        <v>220234</v>
      </c>
      <c r="K423">
        <f t="shared" si="20"/>
        <v>1.3775047412552699E-3</v>
      </c>
      <c r="R423" s="12" t="str">
        <f ca="1">IFERROR(__xludf.DUMMYFUNCTION("""COMPUTED_VALUE"""),"Memoirs of a Geisha ")</f>
        <v>Memoirs of a Geisha </v>
      </c>
      <c r="S423" s="12">
        <f t="shared" si="21"/>
        <v>-49908458</v>
      </c>
    </row>
    <row r="424" spans="1:19" x14ac:dyDescent="0.3">
      <c r="A424" s="2" t="s">
        <v>139</v>
      </c>
      <c r="B424" s="2">
        <v>155</v>
      </c>
      <c r="C424" s="3">
        <v>35422828</v>
      </c>
      <c r="D424" s="3" t="s">
        <v>5779</v>
      </c>
      <c r="E424" s="2" t="s">
        <v>1319</v>
      </c>
      <c r="F424" s="2" t="s">
        <v>10</v>
      </c>
      <c r="G424" s="2" t="s">
        <v>11</v>
      </c>
      <c r="H424" s="2">
        <v>48000000</v>
      </c>
      <c r="I424" s="2">
        <v>6.9</v>
      </c>
      <c r="J424" s="3">
        <v>220914</v>
      </c>
      <c r="K424">
        <f t="shared" si="20"/>
        <v>1.3775047412552699E-3</v>
      </c>
      <c r="R424" s="12" t="str">
        <f ca="1">IFERROR(__xludf.DUMMYFUNCTION("""COMPUTED_VALUE"""),"The Fast and the Furious: Tokyo Drift ")</f>
        <v>The Fast and the Furious: Tokyo Drift </v>
      </c>
      <c r="S424" s="12">
        <f t="shared" si="21"/>
        <v>71248145</v>
      </c>
    </row>
    <row r="425" spans="1:19" x14ac:dyDescent="0.3">
      <c r="A425" s="2" t="s">
        <v>5566</v>
      </c>
      <c r="B425" s="2">
        <v>88</v>
      </c>
      <c r="C425" s="3">
        <v>68208190</v>
      </c>
      <c r="D425" s="3" t="s">
        <v>5941</v>
      </c>
      <c r="E425" s="2" t="s">
        <v>5567</v>
      </c>
      <c r="F425" s="2" t="s">
        <v>10</v>
      </c>
      <c r="G425" s="2" t="s">
        <v>11</v>
      </c>
      <c r="H425" s="2">
        <v>1750211</v>
      </c>
      <c r="I425" s="2">
        <v>7.8</v>
      </c>
      <c r="J425" s="3">
        <v>223878</v>
      </c>
      <c r="K425">
        <f t="shared" si="20"/>
        <v>1.3775047412552699E-3</v>
      </c>
      <c r="R425" s="12" t="str">
        <f ca="1">IFERROR(__xludf.DUMMYFUNCTION("""COMPUTED_VALUE"""),"Arthur Christmas ")</f>
        <v>Arthur Christmas </v>
      </c>
      <c r="S425" s="12">
        <f t="shared" si="21"/>
        <v>-55055787</v>
      </c>
    </row>
    <row r="426" spans="1:19" x14ac:dyDescent="0.3">
      <c r="A426" s="2" t="s">
        <v>1913</v>
      </c>
      <c r="B426" s="2">
        <v>121</v>
      </c>
      <c r="C426" s="3">
        <v>56876365</v>
      </c>
      <c r="D426" s="3" t="s">
        <v>5942</v>
      </c>
      <c r="E426" s="2" t="s">
        <v>1914</v>
      </c>
      <c r="F426" s="2" t="s">
        <v>10</v>
      </c>
      <c r="G426" s="2" t="s">
        <v>16</v>
      </c>
      <c r="H426" s="2">
        <v>36000000</v>
      </c>
      <c r="I426" s="2">
        <v>6.2</v>
      </c>
      <c r="J426" s="3">
        <v>225377</v>
      </c>
      <c r="K426">
        <f t="shared" si="20"/>
        <v>1.3775047412552699E-3</v>
      </c>
      <c r="R426" s="12" t="str">
        <f ca="1">IFERROR(__xludf.DUMMYFUNCTION("""COMPUTED_VALUE"""),"Meet Joe Black ")</f>
        <v>Meet Joe Black </v>
      </c>
      <c r="S426" s="12">
        <f t="shared" si="21"/>
        <v>87496573</v>
      </c>
    </row>
    <row r="427" spans="1:19" x14ac:dyDescent="0.3">
      <c r="A427" s="2" t="s">
        <v>4884</v>
      </c>
      <c r="B427" s="2">
        <v>80</v>
      </c>
      <c r="C427" s="3">
        <v>56127162</v>
      </c>
      <c r="D427" s="3" t="s">
        <v>5776</v>
      </c>
      <c r="E427" s="2" t="s">
        <v>4885</v>
      </c>
      <c r="F427" s="2" t="s">
        <v>751</v>
      </c>
      <c r="G427" s="2" t="s">
        <v>504</v>
      </c>
      <c r="H427" s="2">
        <v>8000000</v>
      </c>
      <c r="I427" s="2">
        <v>7.6</v>
      </c>
      <c r="J427" s="3">
        <v>226792</v>
      </c>
      <c r="K427">
        <f t="shared" si="20"/>
        <v>1.3775047412552699E-3</v>
      </c>
      <c r="R427" s="12" t="str">
        <f ca="1">IFERROR(__xludf.DUMMYFUNCTION("""COMPUTED_VALUE"""),"Collateral Damage ")</f>
        <v>Collateral Damage </v>
      </c>
      <c r="S427" s="12">
        <f t="shared" si="21"/>
        <v>103006880</v>
      </c>
    </row>
    <row r="428" spans="1:19" x14ac:dyDescent="0.3">
      <c r="A428" s="2" t="s">
        <v>1626</v>
      </c>
      <c r="B428" s="2">
        <v>122</v>
      </c>
      <c r="C428" s="3">
        <v>56114221</v>
      </c>
      <c r="D428" s="3" t="s">
        <v>5943</v>
      </c>
      <c r="E428" s="2" t="s">
        <v>1627</v>
      </c>
      <c r="F428" s="2" t="s">
        <v>10</v>
      </c>
      <c r="G428" s="2" t="s">
        <v>11</v>
      </c>
      <c r="H428" s="2">
        <v>42000000</v>
      </c>
      <c r="I428" s="2">
        <v>6.5</v>
      </c>
      <c r="J428" s="3">
        <v>228524</v>
      </c>
      <c r="K428">
        <f t="shared" si="20"/>
        <v>1.3775047412552699E-3</v>
      </c>
      <c r="R428" s="12" t="str">
        <f ca="1">IFERROR(__xludf.DUMMYFUNCTION("""COMPUTED_VALUE"""),"Mirror Mirror ")</f>
        <v>Mirror Mirror </v>
      </c>
      <c r="S428" s="12">
        <f t="shared" si="21"/>
        <v>-8470234</v>
      </c>
    </row>
    <row r="429" spans="1:19" x14ac:dyDescent="0.3">
      <c r="A429" s="2" t="s">
        <v>4856</v>
      </c>
      <c r="B429" s="2">
        <v>85</v>
      </c>
      <c r="C429" s="3">
        <v>34308901</v>
      </c>
      <c r="D429" s="3" t="s">
        <v>5915</v>
      </c>
      <c r="E429" s="2" t="s">
        <v>4857</v>
      </c>
      <c r="F429" s="2" t="s">
        <v>10</v>
      </c>
      <c r="G429" s="2" t="s">
        <v>11</v>
      </c>
      <c r="H429" s="2">
        <v>3500000</v>
      </c>
      <c r="I429" s="2">
        <v>6</v>
      </c>
      <c r="J429" s="3">
        <v>229311</v>
      </c>
      <c r="K429">
        <f t="shared" si="20"/>
        <v>1.3775047412552699E-3</v>
      </c>
      <c r="R429" s="12" t="str">
        <f ca="1">IFERROR(__xludf.DUMMYFUNCTION("""COMPUTED_VALUE"""),"Scott Pilgrim vs. the World ")</f>
        <v>Scott Pilgrim vs. the World </v>
      </c>
      <c r="S429" s="12">
        <f t="shared" si="21"/>
        <v>175387405</v>
      </c>
    </row>
    <row r="430" spans="1:19" x14ac:dyDescent="0.3">
      <c r="A430" s="2" t="s">
        <v>5273</v>
      </c>
      <c r="B430" s="2">
        <v>92</v>
      </c>
      <c r="C430" s="3">
        <v>56068547</v>
      </c>
      <c r="D430" s="3" t="s">
        <v>520</v>
      </c>
      <c r="E430" s="2" t="s">
        <v>5274</v>
      </c>
      <c r="F430" s="2" t="s">
        <v>10</v>
      </c>
      <c r="G430" s="2" t="s">
        <v>11</v>
      </c>
      <c r="H430" s="2">
        <v>1100000</v>
      </c>
      <c r="I430" s="2">
        <v>5.9</v>
      </c>
      <c r="J430" s="3">
        <v>231417</v>
      </c>
      <c r="K430">
        <f t="shared" si="20"/>
        <v>1.3775047412552699E-3</v>
      </c>
      <c r="R430" s="12" t="str">
        <f ca="1">IFERROR(__xludf.DUMMYFUNCTION("""COMPUTED_VALUE"""),"The Core ")</f>
        <v>The Core </v>
      </c>
      <c r="S430" s="12">
        <f t="shared" si="21"/>
        <v>175329763</v>
      </c>
    </row>
    <row r="431" spans="1:19" x14ac:dyDescent="0.3">
      <c r="A431" s="2" t="s">
        <v>3855</v>
      </c>
      <c r="B431" s="2">
        <v>112</v>
      </c>
      <c r="C431" s="3">
        <v>67286731</v>
      </c>
      <c r="D431" s="3" t="s">
        <v>5864</v>
      </c>
      <c r="E431" s="2" t="s">
        <v>4744</v>
      </c>
      <c r="F431" s="2" t="s">
        <v>3760</v>
      </c>
      <c r="G431" s="2" t="s">
        <v>1840</v>
      </c>
      <c r="H431" s="2">
        <v>4200000000</v>
      </c>
      <c r="I431" s="2">
        <v>7.7</v>
      </c>
      <c r="J431" s="3">
        <v>233103</v>
      </c>
      <c r="K431">
        <f t="shared" si="20"/>
        <v>1.3775047412552699E-3</v>
      </c>
      <c r="R431" s="12" t="str">
        <f ca="1">IFERROR(__xludf.DUMMYFUNCTION("""COMPUTED_VALUE"""),"Nutty Professor II: The Klumps ")</f>
        <v>Nutty Professor II: The Klumps </v>
      </c>
      <c r="S431" s="12">
        <f t="shared" si="21"/>
        <v>44938730</v>
      </c>
    </row>
    <row r="432" spans="1:19" x14ac:dyDescent="0.3">
      <c r="A432" s="2" t="s">
        <v>1117</v>
      </c>
      <c r="B432" s="2">
        <v>109</v>
      </c>
      <c r="C432" s="3">
        <v>67128202</v>
      </c>
      <c r="D432" s="3" t="s">
        <v>5849</v>
      </c>
      <c r="E432" s="2" t="s">
        <v>1508</v>
      </c>
      <c r="F432" s="2" t="s">
        <v>10</v>
      </c>
      <c r="G432" s="2" t="s">
        <v>11</v>
      </c>
      <c r="H432" s="2">
        <v>45000000</v>
      </c>
      <c r="I432" s="2">
        <v>6.2</v>
      </c>
      <c r="J432" s="3">
        <v>236266</v>
      </c>
      <c r="K432">
        <f t="shared" si="20"/>
        <v>1.3775047412552699E-3</v>
      </c>
      <c r="R432" s="12" t="str">
        <f ca="1">IFERROR(__xludf.DUMMYFUNCTION("""COMPUTED_VALUE"""),"Scooby-Doo ")</f>
        <v>Scooby-Doo </v>
      </c>
      <c r="S432" s="12">
        <f t="shared" si="21"/>
        <v>-51569645</v>
      </c>
    </row>
    <row r="433" spans="1:19" x14ac:dyDescent="0.3">
      <c r="A433" s="2" t="s">
        <v>3040</v>
      </c>
      <c r="B433" s="2">
        <v>121</v>
      </c>
      <c r="C433" s="3">
        <v>156645693</v>
      </c>
      <c r="D433" s="3" t="s">
        <v>5808</v>
      </c>
      <c r="E433" s="2" t="s">
        <v>4202</v>
      </c>
      <c r="F433" s="2" t="s">
        <v>10</v>
      </c>
      <c r="G433" s="2" t="s">
        <v>16</v>
      </c>
      <c r="H433" s="2">
        <v>9000000</v>
      </c>
      <c r="I433" s="2">
        <v>7.6</v>
      </c>
      <c r="J433" s="3">
        <v>237301</v>
      </c>
      <c r="K433">
        <f t="shared" si="20"/>
        <v>1.3775047412552699E-3</v>
      </c>
      <c r="R433" s="12" t="str">
        <f ca="1">IFERROR(__xludf.DUMMYFUNCTION("""COMPUTED_VALUE"""),"Dredd ")</f>
        <v>Dredd </v>
      </c>
      <c r="S433" s="12">
        <f t="shared" si="21"/>
        <v>27155742</v>
      </c>
    </row>
    <row r="434" spans="1:19" x14ac:dyDescent="0.3">
      <c r="A434" s="2" t="s">
        <v>1003</v>
      </c>
      <c r="B434" s="2">
        <v>109</v>
      </c>
      <c r="C434" s="3">
        <v>190871240</v>
      </c>
      <c r="D434" s="3" t="s">
        <v>5849</v>
      </c>
      <c r="E434" s="2" t="s">
        <v>2554</v>
      </c>
      <c r="F434" s="2" t="s">
        <v>10</v>
      </c>
      <c r="G434" s="2" t="s">
        <v>11</v>
      </c>
      <c r="H434" s="2">
        <v>25000000</v>
      </c>
      <c r="I434" s="2">
        <v>6.5</v>
      </c>
      <c r="J434" s="3">
        <v>241816</v>
      </c>
      <c r="K434">
        <f t="shared" si="20"/>
        <v>1.3775047412552699E-3</v>
      </c>
      <c r="R434" s="12" t="str">
        <f ca="1">IFERROR(__xludf.DUMMYFUNCTION("""COMPUTED_VALUE"""),"Click ")</f>
        <v>Click </v>
      </c>
      <c r="S434" s="12">
        <f t="shared" si="21"/>
        <v>24149837</v>
      </c>
    </row>
    <row r="435" spans="1:19" x14ac:dyDescent="0.3">
      <c r="A435" s="2" t="s">
        <v>1078</v>
      </c>
      <c r="B435" s="2">
        <v>95</v>
      </c>
      <c r="C435" s="3">
        <v>153288182</v>
      </c>
      <c r="D435" s="3" t="s">
        <v>5793</v>
      </c>
      <c r="E435" s="2" t="s">
        <v>2867</v>
      </c>
      <c r="F435" s="2" t="s">
        <v>10</v>
      </c>
      <c r="G435" s="2" t="s">
        <v>11</v>
      </c>
      <c r="H435" s="2">
        <v>32000000</v>
      </c>
      <c r="I435" s="2">
        <v>4.5999999999999996</v>
      </c>
      <c r="J435" s="3">
        <v>243347</v>
      </c>
      <c r="K435">
        <f t="shared" si="20"/>
        <v>1.3775047412552699E-3</v>
      </c>
      <c r="R435" s="12" t="str">
        <f ca="1">IFERROR(__xludf.DUMMYFUNCTION("""COMPUTED_VALUE"""),"Cats &amp; Dogs: The Revenge of Kitty Galore ")</f>
        <v>Cats &amp; Dogs: The Revenge of Kitty Galore </v>
      </c>
      <c r="S435" s="12">
        <f t="shared" si="21"/>
        <v>96002246</v>
      </c>
    </row>
    <row r="436" spans="1:19" x14ac:dyDescent="0.3">
      <c r="A436" s="2" t="s">
        <v>4131</v>
      </c>
      <c r="B436" s="2">
        <v>83</v>
      </c>
      <c r="C436" s="3">
        <v>191450875</v>
      </c>
      <c r="D436" s="3" t="s">
        <v>5847</v>
      </c>
      <c r="E436" s="2" t="s">
        <v>4132</v>
      </c>
      <c r="F436" s="2" t="s">
        <v>10</v>
      </c>
      <c r="G436" s="2" t="s">
        <v>11</v>
      </c>
      <c r="H436" s="2">
        <v>6200000</v>
      </c>
      <c r="I436" s="2">
        <v>3.3</v>
      </c>
      <c r="J436" s="3">
        <v>243768</v>
      </c>
      <c r="K436">
        <f t="shared" si="20"/>
        <v>1.3775047412552699E-3</v>
      </c>
      <c r="R436" s="12" t="str">
        <f ca="1">IFERROR(__xludf.DUMMYFUNCTION("""COMPUTED_VALUE"""),"Jumper ")</f>
        <v>Jumper </v>
      </c>
      <c r="S436" s="12">
        <f t="shared" si="21"/>
        <v>54037039</v>
      </c>
    </row>
    <row r="437" spans="1:19" x14ac:dyDescent="0.3">
      <c r="A437" s="2" t="s">
        <v>1611</v>
      </c>
      <c r="B437" s="2">
        <v>99</v>
      </c>
      <c r="C437" s="3">
        <v>92969824</v>
      </c>
      <c r="D437" s="3" t="s">
        <v>5944</v>
      </c>
      <c r="E437" s="2" t="s">
        <v>4191</v>
      </c>
      <c r="F437" s="2" t="s">
        <v>10</v>
      </c>
      <c r="G437" s="2" t="s">
        <v>11</v>
      </c>
      <c r="H437" s="2">
        <v>9000000</v>
      </c>
      <c r="I437" s="2">
        <v>7</v>
      </c>
      <c r="J437" s="3">
        <v>252652</v>
      </c>
      <c r="K437">
        <f t="shared" si="20"/>
        <v>1.3775047412552699E-3</v>
      </c>
      <c r="R437" s="12" t="str">
        <f ca="1">IFERROR(__xludf.DUMMYFUNCTION("""COMPUTED_VALUE"""),"Hellboy II: The Golden Army ")</f>
        <v>Hellboy II: The Golden Army </v>
      </c>
      <c r="S437" s="12">
        <f t="shared" si="21"/>
        <v>91157447</v>
      </c>
    </row>
    <row r="438" spans="1:19" x14ac:dyDescent="0.3">
      <c r="A438" s="2" t="s">
        <v>458</v>
      </c>
      <c r="B438" s="2">
        <v>143</v>
      </c>
      <c r="C438" s="3">
        <v>168368427</v>
      </c>
      <c r="D438" s="3" t="s">
        <v>5910</v>
      </c>
      <c r="E438" s="2" t="s">
        <v>1324</v>
      </c>
      <c r="F438" s="2" t="s">
        <v>10</v>
      </c>
      <c r="G438" s="2" t="s">
        <v>11</v>
      </c>
      <c r="H438" s="2">
        <v>50000000</v>
      </c>
      <c r="I438" s="2">
        <v>6.3</v>
      </c>
      <c r="J438" s="3">
        <v>255352</v>
      </c>
      <c r="K438">
        <f t="shared" si="20"/>
        <v>1.3775047412552699E-3</v>
      </c>
      <c r="R438" s="12" t="str">
        <f ca="1">IFERROR(__xludf.DUMMYFUNCTION("""COMPUTED_VALUE"""),"Zodiac ")</f>
        <v>Zodiac </v>
      </c>
      <c r="S438" s="12">
        <f t="shared" si="21"/>
        <v>151049130</v>
      </c>
    </row>
    <row r="439" spans="1:19" x14ac:dyDescent="0.3">
      <c r="A439" s="2" t="s">
        <v>1083</v>
      </c>
      <c r="B439" s="2">
        <v>92</v>
      </c>
      <c r="C439" s="3">
        <v>162001186</v>
      </c>
      <c r="D439" s="3" t="s">
        <v>5869</v>
      </c>
      <c r="E439" s="2" t="s">
        <v>1084</v>
      </c>
      <c r="F439" s="2" t="s">
        <v>10</v>
      </c>
      <c r="G439" s="2" t="s">
        <v>11</v>
      </c>
      <c r="H439" s="2">
        <v>60000000</v>
      </c>
      <c r="I439" s="2">
        <v>7</v>
      </c>
      <c r="J439" s="3">
        <v>258113</v>
      </c>
      <c r="K439">
        <f t="shared" si="20"/>
        <v>1.3775047412552699E-3</v>
      </c>
      <c r="R439" s="12" t="str">
        <f ca="1">IFERROR(__xludf.DUMMYFUNCTION("""COMPUTED_VALUE"""),"The 6th Day ")</f>
        <v>The 6th Day </v>
      </c>
      <c r="S439" s="12">
        <f t="shared" si="21"/>
        <v>-10998703</v>
      </c>
    </row>
    <row r="440" spans="1:19" x14ac:dyDescent="0.3">
      <c r="A440" s="2" t="s">
        <v>4745</v>
      </c>
      <c r="B440" s="2">
        <v>99</v>
      </c>
      <c r="C440" s="3">
        <v>48068396</v>
      </c>
      <c r="D440" s="3" t="s">
        <v>5773</v>
      </c>
      <c r="E440" s="2" t="s">
        <v>4746</v>
      </c>
      <c r="F440" s="2" t="s">
        <v>10</v>
      </c>
      <c r="G440" s="2" t="s">
        <v>16</v>
      </c>
      <c r="H440" s="2">
        <v>2500000</v>
      </c>
      <c r="I440" s="2">
        <v>6.5</v>
      </c>
      <c r="J440" s="3">
        <v>261481</v>
      </c>
      <c r="K440">
        <f t="shared" si="20"/>
        <v>1.3775047412552699E-3</v>
      </c>
      <c r="R440" s="12" t="str">
        <f ca="1">IFERROR(__xludf.DUMMYFUNCTION("""COMPUTED_VALUE"""),"Bruce Almighty ")</f>
        <v>Bruce Almighty </v>
      </c>
      <c r="S440" s="12">
        <f t="shared" si="21"/>
        <v>33400000</v>
      </c>
    </row>
    <row r="441" spans="1:19" x14ac:dyDescent="0.3">
      <c r="A441" s="2" t="s">
        <v>1808</v>
      </c>
      <c r="B441" s="2">
        <v>93</v>
      </c>
      <c r="C441" s="2">
        <v>40846082</v>
      </c>
      <c r="D441" s="3" t="s">
        <v>5830</v>
      </c>
      <c r="E441" s="2" t="s">
        <v>3099</v>
      </c>
      <c r="F441" s="2" t="s">
        <v>10</v>
      </c>
      <c r="G441" s="2" t="s">
        <v>11</v>
      </c>
      <c r="H441" s="2">
        <v>19000000</v>
      </c>
      <c r="I441" s="2">
        <v>5.6</v>
      </c>
      <c r="J441" s="3">
        <v>263365</v>
      </c>
      <c r="K441">
        <f t="shared" si="20"/>
        <v>1.3775047412552699E-3</v>
      </c>
      <c r="R441" s="12" t="str">
        <f ca="1">IFERROR(__xludf.DUMMYFUNCTION("""COMPUTED_VALUE"""),"The Expendables ")</f>
        <v>The Expendables </v>
      </c>
      <c r="S441" s="12">
        <f t="shared" si="21"/>
        <v>172135000</v>
      </c>
    </row>
    <row r="442" spans="1:19" x14ac:dyDescent="0.3">
      <c r="A442" s="2" t="s">
        <v>458</v>
      </c>
      <c r="B442" s="2">
        <v>98</v>
      </c>
      <c r="C442" s="3">
        <v>89289910</v>
      </c>
      <c r="D442" s="3" t="s">
        <v>5945</v>
      </c>
      <c r="E442" s="2" t="s">
        <v>2546</v>
      </c>
      <c r="F442" s="2" t="s">
        <v>10</v>
      </c>
      <c r="G442" s="2" t="s">
        <v>11</v>
      </c>
      <c r="H442" s="2">
        <v>26000000</v>
      </c>
      <c r="I442" s="2">
        <v>7.2</v>
      </c>
      <c r="J442" s="3">
        <v>265107</v>
      </c>
      <c r="K442">
        <f t="shared" si="20"/>
        <v>1.3775047412552699E-3</v>
      </c>
      <c r="R442" s="12" t="str">
        <f ca="1">IFERROR(__xludf.DUMMYFUNCTION("""COMPUTED_VALUE"""),"Mission: Impossible ")</f>
        <v>Mission: Impossible </v>
      </c>
      <c r="S442" s="12">
        <f t="shared" si="21"/>
        <v>-31576632</v>
      </c>
    </row>
    <row r="443" spans="1:19" x14ac:dyDescent="0.3">
      <c r="A443" s="2" t="s">
        <v>1674</v>
      </c>
      <c r="B443" s="2">
        <v>119</v>
      </c>
      <c r="C443" s="3">
        <v>153665036</v>
      </c>
      <c r="D443" s="3" t="s">
        <v>5799</v>
      </c>
      <c r="E443" s="2" t="s">
        <v>2562</v>
      </c>
      <c r="F443" s="2" t="s">
        <v>10</v>
      </c>
      <c r="G443" s="2" t="s">
        <v>11</v>
      </c>
      <c r="H443" s="2">
        <v>25000000</v>
      </c>
      <c r="I443" s="2">
        <v>6.6</v>
      </c>
      <c r="J443" s="3">
        <v>269061</v>
      </c>
      <c r="K443">
        <f t="shared" si="20"/>
        <v>1.3775047412552699E-3</v>
      </c>
      <c r="R443" s="12" t="str">
        <f ca="1">IFERROR(__xludf.DUMMYFUNCTION("""COMPUTED_VALUE"""),"The Hunger Games ")</f>
        <v>The Hunger Games </v>
      </c>
      <c r="S443" s="12">
        <f t="shared" si="21"/>
        <v>43667095</v>
      </c>
    </row>
    <row r="444" spans="1:19" x14ac:dyDescent="0.3">
      <c r="A444" s="2" t="s">
        <v>1665</v>
      </c>
      <c r="B444" s="2">
        <v>129</v>
      </c>
      <c r="C444" s="3">
        <v>35385560</v>
      </c>
      <c r="D444" s="3" t="s">
        <v>5946</v>
      </c>
      <c r="E444" s="2" t="s">
        <v>1666</v>
      </c>
      <c r="F444" s="2" t="s">
        <v>10</v>
      </c>
      <c r="G444" s="2" t="s">
        <v>11</v>
      </c>
      <c r="H444" s="2">
        <v>40000000</v>
      </c>
      <c r="I444" s="2">
        <v>4.0999999999999996</v>
      </c>
      <c r="J444" s="3">
        <v>273420</v>
      </c>
      <c r="K444">
        <f t="shared" si="20"/>
        <v>1.3775047412552699E-3</v>
      </c>
      <c r="R444" s="12" t="str">
        <f ca="1">IFERROR(__xludf.DUMMYFUNCTION("""COMPUTED_VALUE"""),"The Hangover Part II ")</f>
        <v>The Hangover Part II </v>
      </c>
      <c r="S444" s="12">
        <f t="shared" si="21"/>
        <v>94982968</v>
      </c>
    </row>
    <row r="445" spans="1:19" x14ac:dyDescent="0.3">
      <c r="A445" s="2" t="s">
        <v>2956</v>
      </c>
      <c r="B445" s="2">
        <v>96</v>
      </c>
      <c r="C445" s="3">
        <v>42019483</v>
      </c>
      <c r="D445" s="3" t="s">
        <v>5947</v>
      </c>
      <c r="E445" s="2" t="s">
        <v>4603</v>
      </c>
      <c r="F445" s="2" t="s">
        <v>10</v>
      </c>
      <c r="G445" s="2" t="s">
        <v>11</v>
      </c>
      <c r="H445" s="2">
        <v>5000000</v>
      </c>
      <c r="I445" s="2">
        <v>4.5999999999999996</v>
      </c>
      <c r="J445" s="3">
        <v>274299</v>
      </c>
      <c r="K445">
        <f t="shared" si="20"/>
        <v>1.3775047412552699E-3</v>
      </c>
      <c r="R445" s="12" t="str">
        <f ca="1">IFERROR(__xludf.DUMMYFUNCTION("""COMPUTED_VALUE"""),"Batman Returns ")</f>
        <v>Batman Returns </v>
      </c>
      <c r="S445" s="12">
        <f t="shared" si="21"/>
        <v>91550117</v>
      </c>
    </row>
    <row r="446" spans="1:19" x14ac:dyDescent="0.3">
      <c r="A446" s="2" t="s">
        <v>2325</v>
      </c>
      <c r="B446" s="2">
        <v>101</v>
      </c>
      <c r="C446" s="3">
        <v>82161969</v>
      </c>
      <c r="D446" s="3" t="s">
        <v>5948</v>
      </c>
      <c r="E446" s="2" t="s">
        <v>2326</v>
      </c>
      <c r="F446" s="2" t="s">
        <v>10</v>
      </c>
      <c r="G446" s="2" t="s">
        <v>11</v>
      </c>
      <c r="H446" s="2">
        <v>23000000</v>
      </c>
      <c r="I446" s="2">
        <v>6.1</v>
      </c>
      <c r="J446" s="3">
        <v>274385</v>
      </c>
      <c r="K446">
        <f t="shared" si="20"/>
        <v>1.3775047412552699E-3</v>
      </c>
      <c r="R446" s="12" t="str">
        <f ca="1">IFERROR(__xludf.DUMMYFUNCTION("""COMPUTED_VALUE"""),"Over the Hedge ")</f>
        <v>Over the Hedge </v>
      </c>
      <c r="S446" s="12">
        <f t="shared" si="21"/>
        <v>-12577172</v>
      </c>
    </row>
    <row r="447" spans="1:19" x14ac:dyDescent="0.3">
      <c r="A447" s="2" t="s">
        <v>3793</v>
      </c>
      <c r="B447" s="2">
        <v>92</v>
      </c>
      <c r="C447" s="3">
        <v>134218018</v>
      </c>
      <c r="D447" s="3" t="s">
        <v>5949</v>
      </c>
      <c r="E447" s="2" t="s">
        <v>3794</v>
      </c>
      <c r="F447" s="2" t="s">
        <v>10</v>
      </c>
      <c r="G447" s="2" t="s">
        <v>11</v>
      </c>
      <c r="H447" s="2">
        <v>12000000</v>
      </c>
      <c r="I447" s="2">
        <v>5.4</v>
      </c>
      <c r="J447" s="3">
        <v>274661</v>
      </c>
      <c r="K447">
        <f t="shared" si="20"/>
        <v>1.3775047412552699E-3</v>
      </c>
      <c r="R447" s="12" t="str">
        <f ca="1">IFERROR(__xludf.DUMMYFUNCTION("""COMPUTED_VALUE"""),"Lilo &amp; Stitch ")</f>
        <v>Lilo &amp; Stitch </v>
      </c>
      <c r="S447" s="12">
        <f t="shared" si="21"/>
        <v>66457979</v>
      </c>
    </row>
    <row r="448" spans="1:19" x14ac:dyDescent="0.3">
      <c r="A448" s="2" t="s">
        <v>2069</v>
      </c>
      <c r="B448" s="2">
        <v>125</v>
      </c>
      <c r="C448" s="3">
        <v>191449475</v>
      </c>
      <c r="D448" s="3" t="s">
        <v>5950</v>
      </c>
      <c r="E448" s="2" t="s">
        <v>3107</v>
      </c>
      <c r="F448" s="2" t="s">
        <v>2071</v>
      </c>
      <c r="G448" s="2" t="s">
        <v>771</v>
      </c>
      <c r="H448" s="2">
        <v>19000000</v>
      </c>
      <c r="I448" s="2">
        <v>8.6</v>
      </c>
      <c r="J448" s="3">
        <v>277233</v>
      </c>
      <c r="K448">
        <f t="shared" si="20"/>
        <v>1.3775047412552699E-3</v>
      </c>
      <c r="R448" s="12" t="str">
        <f ca="1">IFERROR(__xludf.DUMMYFUNCTION("""COMPUTED_VALUE"""),"Deep Impact ")</f>
        <v>Deep Impact </v>
      </c>
      <c r="S448" s="12">
        <f t="shared" si="21"/>
        <v>20876365</v>
      </c>
    </row>
    <row r="449" spans="1:19" x14ac:dyDescent="0.3">
      <c r="A449" s="2" t="s">
        <v>2286</v>
      </c>
      <c r="B449" s="2">
        <v>118</v>
      </c>
      <c r="C449" s="3">
        <v>134006721</v>
      </c>
      <c r="D449" s="3" t="s">
        <v>5951</v>
      </c>
      <c r="E449" s="2" t="s">
        <v>2877</v>
      </c>
      <c r="F449" s="2" t="s">
        <v>10</v>
      </c>
      <c r="G449" s="2" t="s">
        <v>11</v>
      </c>
      <c r="H449" s="2">
        <v>20000000</v>
      </c>
      <c r="I449" s="2">
        <v>5.7</v>
      </c>
      <c r="J449" s="3">
        <v>279282</v>
      </c>
      <c r="K449">
        <f t="shared" si="20"/>
        <v>1.3775047412552699E-3</v>
      </c>
      <c r="R449" s="12" t="str">
        <f ca="1">IFERROR(__xludf.DUMMYFUNCTION("""COMPUTED_VALUE"""),"RED 2 ")</f>
        <v>RED 2 </v>
      </c>
      <c r="S449" s="12">
        <f t="shared" si="21"/>
        <v>48127162</v>
      </c>
    </row>
    <row r="450" spans="1:19" x14ac:dyDescent="0.3">
      <c r="A450" s="2" t="s">
        <v>1363</v>
      </c>
      <c r="B450" s="2">
        <v>101</v>
      </c>
      <c r="C450" s="3">
        <v>134518390</v>
      </c>
      <c r="D450" s="3" t="s">
        <v>5852</v>
      </c>
      <c r="E450" s="2" t="s">
        <v>1364</v>
      </c>
      <c r="F450" s="2" t="s">
        <v>10</v>
      </c>
      <c r="G450" s="2" t="s">
        <v>11</v>
      </c>
      <c r="H450" s="2">
        <v>50000000</v>
      </c>
      <c r="I450" s="2">
        <v>4.7</v>
      </c>
      <c r="J450" s="3">
        <v>287761</v>
      </c>
      <c r="K450">
        <f t="shared" ref="K450:K513" si="22">CORREL(H$2:H$3941,J$2:J$3941)</f>
        <v>1.3775047412552699E-3</v>
      </c>
      <c r="R450" s="12" t="str">
        <f ca="1">IFERROR(__xludf.DUMMYFUNCTION("""COMPUTED_VALUE"""),"The Longest Yard ")</f>
        <v>The Longest Yard </v>
      </c>
      <c r="S450" s="12">
        <f t="shared" si="21"/>
        <v>14114221</v>
      </c>
    </row>
    <row r="451" spans="1:19" x14ac:dyDescent="0.3">
      <c r="A451" s="2" t="s">
        <v>4656</v>
      </c>
      <c r="B451" s="2">
        <v>91</v>
      </c>
      <c r="C451" s="3">
        <v>152149590</v>
      </c>
      <c r="D451" s="3" t="s">
        <v>5952</v>
      </c>
      <c r="E451" s="2" t="s">
        <v>4657</v>
      </c>
      <c r="F451" s="2" t="s">
        <v>10</v>
      </c>
      <c r="G451" s="2" t="s">
        <v>11</v>
      </c>
      <c r="H451" s="2">
        <v>8000000</v>
      </c>
      <c r="I451" s="2">
        <v>6.9</v>
      </c>
      <c r="J451" s="3">
        <v>295468</v>
      </c>
      <c r="K451">
        <f t="shared" si="22"/>
        <v>1.3775047412552699E-3</v>
      </c>
      <c r="R451" s="12" t="str">
        <f ca="1">IFERROR(__xludf.DUMMYFUNCTION("""COMPUTED_VALUE"""),"Alvin and the Chipmunks: Chipwrecked ")</f>
        <v>Alvin and the Chipmunks: Chipwrecked </v>
      </c>
      <c r="S451" s="12">
        <f t="shared" si="21"/>
        <v>30808901</v>
      </c>
    </row>
    <row r="452" spans="1:19" x14ac:dyDescent="0.3">
      <c r="A452" s="2" t="s">
        <v>5113</v>
      </c>
      <c r="B452" s="2">
        <v>92</v>
      </c>
      <c r="C452" s="3">
        <v>81159365</v>
      </c>
      <c r="D452" s="3" t="s">
        <v>5779</v>
      </c>
      <c r="E452" s="2" t="s">
        <v>5114</v>
      </c>
      <c r="F452" s="2" t="s">
        <v>10</v>
      </c>
      <c r="G452" s="2" t="s">
        <v>16</v>
      </c>
      <c r="H452" s="3">
        <v>474544677</v>
      </c>
      <c r="I452" s="2">
        <v>6.6</v>
      </c>
      <c r="J452" s="3">
        <v>296665</v>
      </c>
      <c r="K452">
        <f t="shared" si="22"/>
        <v>1.3775047412552699E-3</v>
      </c>
      <c r="R452" s="12" t="str">
        <f ca="1">IFERROR(__xludf.DUMMYFUNCTION("""COMPUTED_VALUE"""),"Grown Ups 2 ")</f>
        <v>Grown Ups 2 </v>
      </c>
      <c r="S452" s="12">
        <f t="shared" si="21"/>
        <v>54968547</v>
      </c>
    </row>
    <row r="453" spans="1:19" x14ac:dyDescent="0.3">
      <c r="A453" s="2" t="s">
        <v>1516</v>
      </c>
      <c r="B453" s="2">
        <v>153</v>
      </c>
      <c r="C453" s="3">
        <v>62563543</v>
      </c>
      <c r="D453" s="3" t="s">
        <v>5953</v>
      </c>
      <c r="E453" s="2" t="s">
        <v>1517</v>
      </c>
      <c r="F453" s="2" t="s">
        <v>10</v>
      </c>
      <c r="G453" s="2" t="s">
        <v>11</v>
      </c>
      <c r="H453" s="2">
        <v>46000000</v>
      </c>
      <c r="I453" s="2">
        <v>8.1</v>
      </c>
      <c r="J453" s="3">
        <v>298110</v>
      </c>
      <c r="K453">
        <f t="shared" si="22"/>
        <v>1.3775047412552699E-3</v>
      </c>
      <c r="R453" s="12" t="str">
        <f ca="1">IFERROR(__xludf.DUMMYFUNCTION("""COMPUTED_VALUE"""),"Get Smart ")</f>
        <v>Get Smart </v>
      </c>
      <c r="S453" s="12">
        <f t="shared" si="21"/>
        <v>-4132713269</v>
      </c>
    </row>
    <row r="454" spans="1:19" x14ac:dyDescent="0.3">
      <c r="A454" s="2" t="s">
        <v>4230</v>
      </c>
      <c r="B454" s="2">
        <v>141</v>
      </c>
      <c r="C454" s="3">
        <v>44455658</v>
      </c>
      <c r="D454" s="3" t="s">
        <v>5954</v>
      </c>
      <c r="E454" s="2" t="s">
        <v>4556</v>
      </c>
      <c r="F454" s="2" t="s">
        <v>10</v>
      </c>
      <c r="G454" s="2" t="s">
        <v>11</v>
      </c>
      <c r="H454" s="2">
        <v>5600000</v>
      </c>
      <c r="I454" s="2">
        <v>6.9</v>
      </c>
      <c r="J454" s="3">
        <v>301305</v>
      </c>
      <c r="K454">
        <f t="shared" si="22"/>
        <v>1.3775047412552699E-3</v>
      </c>
      <c r="R454" s="12" t="str">
        <f ca="1">IFERROR(__xludf.DUMMYFUNCTION("""COMPUTED_VALUE"""),"Something's Gotta Give ")</f>
        <v>Something's Gotta Give </v>
      </c>
      <c r="S454" s="12">
        <f t="shared" si="21"/>
        <v>22128202</v>
      </c>
    </row>
    <row r="455" spans="1:19" x14ac:dyDescent="0.3">
      <c r="A455" s="2" t="s">
        <v>464</v>
      </c>
      <c r="B455" s="2">
        <v>95</v>
      </c>
      <c r="C455" s="3">
        <v>89138076</v>
      </c>
      <c r="D455" s="3" t="s">
        <v>5955</v>
      </c>
      <c r="E455" s="2" t="s">
        <v>570</v>
      </c>
      <c r="F455" s="2" t="s">
        <v>10</v>
      </c>
      <c r="G455" s="2" t="s">
        <v>11</v>
      </c>
      <c r="H455" s="2">
        <v>120000000</v>
      </c>
      <c r="I455" s="2">
        <v>6.8</v>
      </c>
      <c r="J455" s="3">
        <v>302204</v>
      </c>
      <c r="K455">
        <f t="shared" si="22"/>
        <v>1.3775047412552699E-3</v>
      </c>
      <c r="R455" s="12" t="str">
        <f ca="1">IFERROR(__xludf.DUMMYFUNCTION("""COMPUTED_VALUE"""),"Shutter Island ")</f>
        <v>Shutter Island </v>
      </c>
      <c r="S455" s="12">
        <f t="shared" si="21"/>
        <v>147645693</v>
      </c>
    </row>
    <row r="456" spans="1:19" x14ac:dyDescent="0.3">
      <c r="A456" s="2" t="s">
        <v>3938</v>
      </c>
      <c r="B456" s="2">
        <v>95</v>
      </c>
      <c r="C456" s="3">
        <v>48291624</v>
      </c>
      <c r="D456" s="3" t="s">
        <v>5919</v>
      </c>
      <c r="E456" s="2" t="s">
        <v>3939</v>
      </c>
      <c r="F456" s="2" t="s">
        <v>10</v>
      </c>
      <c r="G456" s="2" t="s">
        <v>11</v>
      </c>
      <c r="H456" s="3">
        <v>54910560</v>
      </c>
      <c r="I456" s="2">
        <v>5.8</v>
      </c>
      <c r="J456" s="3">
        <v>303439</v>
      </c>
      <c r="K456">
        <f t="shared" si="22"/>
        <v>1.3775047412552699E-3</v>
      </c>
      <c r="R456" s="12" t="str">
        <f ca="1">IFERROR(__xludf.DUMMYFUNCTION("""COMPUTED_VALUE"""),"Four Christmases ")</f>
        <v>Four Christmases </v>
      </c>
      <c r="S456" s="12">
        <f t="shared" si="21"/>
        <v>165871240</v>
      </c>
    </row>
    <row r="457" spans="1:19" x14ac:dyDescent="0.3">
      <c r="A457" s="2" t="s">
        <v>1354</v>
      </c>
      <c r="B457" s="2">
        <v>113</v>
      </c>
      <c r="C457" s="3">
        <v>122012643</v>
      </c>
      <c r="D457" s="3" t="s">
        <v>5805</v>
      </c>
      <c r="E457" s="2" t="s">
        <v>1713</v>
      </c>
      <c r="F457" s="2" t="s">
        <v>10</v>
      </c>
      <c r="G457" s="2" t="s">
        <v>16</v>
      </c>
      <c r="H457" s="2">
        <v>30000000</v>
      </c>
      <c r="I457" s="2">
        <v>6.9</v>
      </c>
      <c r="J457" s="3">
        <v>304124</v>
      </c>
      <c r="K457">
        <f t="shared" si="22"/>
        <v>1.3775047412552699E-3</v>
      </c>
      <c r="R457" s="12" t="str">
        <f ca="1">IFERROR(__xludf.DUMMYFUNCTION("""COMPUTED_VALUE"""),"Robots ")</f>
        <v>Robots </v>
      </c>
      <c r="S457" s="12">
        <f t="shared" si="21"/>
        <v>121288182</v>
      </c>
    </row>
    <row r="458" spans="1:19" x14ac:dyDescent="0.3">
      <c r="A458" s="2" t="s">
        <v>3356</v>
      </c>
      <c r="B458" s="2">
        <v>117</v>
      </c>
      <c r="C458" s="3">
        <v>32000000</v>
      </c>
      <c r="D458" s="3" t="s">
        <v>5956</v>
      </c>
      <c r="E458" s="2" t="s">
        <v>4912</v>
      </c>
      <c r="F458" s="2" t="s">
        <v>10</v>
      </c>
      <c r="G458" s="2" t="s">
        <v>16</v>
      </c>
      <c r="H458" s="2">
        <v>3000000</v>
      </c>
      <c r="I458" s="2">
        <v>7.4</v>
      </c>
      <c r="J458" s="3">
        <v>305070</v>
      </c>
      <c r="K458">
        <f t="shared" si="22"/>
        <v>1.3775047412552699E-3</v>
      </c>
      <c r="R458" s="12" t="str">
        <f ca="1">IFERROR(__xludf.DUMMYFUNCTION("""COMPUTED_VALUE"""),"Face/Off ")</f>
        <v>Face/Off </v>
      </c>
      <c r="S458" s="12">
        <f t="shared" si="21"/>
        <v>185250875</v>
      </c>
    </row>
    <row r="459" spans="1:19" x14ac:dyDescent="0.3">
      <c r="A459" s="2" t="s">
        <v>1540</v>
      </c>
      <c r="B459" s="2">
        <v>93</v>
      </c>
      <c r="C459" s="3">
        <v>66950483</v>
      </c>
      <c r="D459" s="3" t="s">
        <v>5755</v>
      </c>
      <c r="E459" s="2" t="s">
        <v>1541</v>
      </c>
      <c r="F459" s="2" t="s">
        <v>10</v>
      </c>
      <c r="G459" s="2" t="s">
        <v>11</v>
      </c>
      <c r="H459" s="2">
        <v>26000000</v>
      </c>
      <c r="I459" s="2">
        <v>4.3</v>
      </c>
      <c r="J459" s="3">
        <v>306715</v>
      </c>
      <c r="K459">
        <f t="shared" si="22"/>
        <v>1.3775047412552699E-3</v>
      </c>
      <c r="R459" s="12" t="str">
        <f ca="1">IFERROR(__xludf.DUMMYFUNCTION("""COMPUTED_VALUE"""),"Bedtime Stories ")</f>
        <v>Bedtime Stories </v>
      </c>
      <c r="S459" s="12">
        <f t="shared" si="21"/>
        <v>83969824</v>
      </c>
    </row>
    <row r="460" spans="1:19" x14ac:dyDescent="0.3">
      <c r="A460" s="2" t="s">
        <v>4924</v>
      </c>
      <c r="B460" s="2">
        <v>84</v>
      </c>
      <c r="C460" s="3">
        <v>107515297</v>
      </c>
      <c r="D460" s="3" t="s">
        <v>5957</v>
      </c>
      <c r="E460" s="2" t="s">
        <v>4925</v>
      </c>
      <c r="F460" s="2" t="s">
        <v>10</v>
      </c>
      <c r="G460" s="2" t="s">
        <v>11</v>
      </c>
      <c r="H460" s="2">
        <v>3000000</v>
      </c>
      <c r="I460" s="2">
        <v>5.9</v>
      </c>
      <c r="J460" s="3">
        <v>313436</v>
      </c>
      <c r="K460">
        <f t="shared" si="22"/>
        <v>1.3775047412552699E-3</v>
      </c>
      <c r="R460" s="12" t="str">
        <f ca="1">IFERROR(__xludf.DUMMYFUNCTION("""COMPUTED_VALUE"""),"Road to Perdition ")</f>
        <v>Road to Perdition </v>
      </c>
      <c r="S460" s="12">
        <f t="shared" si="21"/>
        <v>118368427</v>
      </c>
    </row>
    <row r="461" spans="1:19" x14ac:dyDescent="0.3">
      <c r="A461" s="2" t="s">
        <v>59</v>
      </c>
      <c r="B461" s="2">
        <v>131</v>
      </c>
      <c r="C461" s="3">
        <v>37470017</v>
      </c>
      <c r="D461" s="3" t="s">
        <v>5773</v>
      </c>
      <c r="E461" s="2" t="s">
        <v>60</v>
      </c>
      <c r="F461" s="2" t="s">
        <v>10</v>
      </c>
      <c r="G461" s="2" t="s">
        <v>11</v>
      </c>
      <c r="H461" s="2">
        <v>209000000</v>
      </c>
      <c r="I461" s="2">
        <v>5.9</v>
      </c>
      <c r="J461" s="3">
        <v>317040</v>
      </c>
      <c r="K461">
        <f t="shared" si="22"/>
        <v>1.3775047412552699E-3</v>
      </c>
      <c r="R461" s="12" t="str">
        <f ca="1">IFERROR(__xludf.DUMMYFUNCTION("""COMPUTED_VALUE"""),"Just Go with It ")</f>
        <v>Just Go with It </v>
      </c>
      <c r="S461" s="12">
        <f t="shared" si="21"/>
        <v>102001186</v>
      </c>
    </row>
    <row r="462" spans="1:19" x14ac:dyDescent="0.3">
      <c r="A462" s="2" t="s">
        <v>4200</v>
      </c>
      <c r="B462" s="2">
        <v>120</v>
      </c>
      <c r="C462" s="3">
        <v>90341670</v>
      </c>
      <c r="D462" s="3" t="s">
        <v>5760</v>
      </c>
      <c r="E462" s="2" t="s">
        <v>4201</v>
      </c>
      <c r="F462" s="2" t="s">
        <v>10</v>
      </c>
      <c r="G462" s="2" t="s">
        <v>2336</v>
      </c>
      <c r="H462" s="2">
        <v>9000000</v>
      </c>
      <c r="I462" s="2">
        <v>6.1</v>
      </c>
      <c r="J462" s="3">
        <v>317125</v>
      </c>
      <c r="K462">
        <f t="shared" si="22"/>
        <v>1.3775047412552699E-3</v>
      </c>
      <c r="R462" s="12" t="str">
        <f ca="1">IFERROR(__xludf.DUMMYFUNCTION("""COMPUTED_VALUE"""),"Con Air ")</f>
        <v>Con Air </v>
      </c>
      <c r="S462" s="12">
        <f t="shared" si="21"/>
        <v>45568396</v>
      </c>
    </row>
    <row r="463" spans="1:19" x14ac:dyDescent="0.3">
      <c r="A463" s="2" t="s">
        <v>1737</v>
      </c>
      <c r="B463" s="2">
        <v>102</v>
      </c>
      <c r="C463" s="3">
        <v>171383253</v>
      </c>
      <c r="D463" s="3" t="s">
        <v>5797</v>
      </c>
      <c r="E463" s="2" t="s">
        <v>1738</v>
      </c>
      <c r="F463" s="2" t="s">
        <v>10</v>
      </c>
      <c r="G463" s="2" t="s">
        <v>11</v>
      </c>
      <c r="H463" s="2">
        <v>40000000</v>
      </c>
      <c r="I463" s="2">
        <v>4.7</v>
      </c>
      <c r="J463" s="3">
        <v>318622</v>
      </c>
      <c r="K463">
        <f t="shared" si="22"/>
        <v>1.3775047412552699E-3</v>
      </c>
      <c r="R463" s="12" t="str">
        <f ca="1">IFERROR(__xludf.DUMMYFUNCTION("""COMPUTED_VALUE"""),"Eagle Eye ")</f>
        <v>Eagle Eye </v>
      </c>
      <c r="S463" s="12">
        <f t="shared" si="21"/>
        <v>21846082</v>
      </c>
    </row>
    <row r="464" spans="1:19" x14ac:dyDescent="0.3">
      <c r="A464" s="2" t="s">
        <v>2451</v>
      </c>
      <c r="B464" s="2">
        <v>165</v>
      </c>
      <c r="C464" s="3">
        <v>106593296</v>
      </c>
      <c r="D464" s="3" t="s">
        <v>5958</v>
      </c>
      <c r="E464" s="2" t="s">
        <v>4779</v>
      </c>
      <c r="F464" s="2" t="s">
        <v>10</v>
      </c>
      <c r="G464" s="2" t="s">
        <v>11</v>
      </c>
      <c r="H464" s="2">
        <v>4000000</v>
      </c>
      <c r="I464" s="2">
        <v>8</v>
      </c>
      <c r="J464" s="3">
        <v>322157</v>
      </c>
      <c r="K464">
        <f t="shared" si="22"/>
        <v>1.3775047412552699E-3</v>
      </c>
      <c r="R464" s="12" t="str">
        <f ca="1">IFERROR(__xludf.DUMMYFUNCTION("""COMPUTED_VALUE"""),"Cold Mountain ")</f>
        <v>Cold Mountain </v>
      </c>
      <c r="S464" s="12">
        <f t="shared" si="21"/>
        <v>63289910</v>
      </c>
    </row>
    <row r="465" spans="1:19" x14ac:dyDescent="0.3">
      <c r="A465" s="2" t="s">
        <v>1075</v>
      </c>
      <c r="B465" s="2">
        <v>106</v>
      </c>
      <c r="C465" s="3">
        <v>34543701</v>
      </c>
      <c r="D465" s="3" t="s">
        <v>5959</v>
      </c>
      <c r="E465" s="2" t="s">
        <v>3307</v>
      </c>
      <c r="F465" s="2" t="s">
        <v>10</v>
      </c>
      <c r="G465" s="2" t="s">
        <v>11</v>
      </c>
      <c r="H465" s="2">
        <v>16000000</v>
      </c>
      <c r="I465" s="2">
        <v>6.4</v>
      </c>
      <c r="J465" s="3">
        <v>325491</v>
      </c>
      <c r="K465">
        <f t="shared" si="22"/>
        <v>1.3775047412552699E-3</v>
      </c>
      <c r="R465" s="12" t="str">
        <f ca="1">IFERROR(__xludf.DUMMYFUNCTION("""COMPUTED_VALUE"""),"The Book of Eli ")</f>
        <v>The Book of Eli </v>
      </c>
      <c r="S465" s="12">
        <f t="shared" si="21"/>
        <v>128665036</v>
      </c>
    </row>
    <row r="466" spans="1:19" x14ac:dyDescent="0.3">
      <c r="A466" s="2" t="s">
        <v>211</v>
      </c>
      <c r="B466" s="2">
        <v>119</v>
      </c>
      <c r="C466" s="3">
        <v>81292135</v>
      </c>
      <c r="D466" s="3" t="s">
        <v>5890</v>
      </c>
      <c r="E466" s="2" t="s">
        <v>212</v>
      </c>
      <c r="F466" s="2" t="s">
        <v>10</v>
      </c>
      <c r="G466" s="2" t="s">
        <v>11</v>
      </c>
      <c r="H466" s="2">
        <v>150000000</v>
      </c>
      <c r="I466" s="2">
        <v>6.7</v>
      </c>
      <c r="J466" s="3">
        <v>326308</v>
      </c>
      <c r="K466">
        <f t="shared" si="22"/>
        <v>1.3775047412552699E-3</v>
      </c>
      <c r="R466" s="12" t="str">
        <f ca="1">IFERROR(__xludf.DUMMYFUNCTION("""COMPUTED_VALUE"""),"Flubber ")</f>
        <v>Flubber </v>
      </c>
      <c r="S466" s="12">
        <f t="shared" si="21"/>
        <v>-4614440</v>
      </c>
    </row>
    <row r="467" spans="1:19" x14ac:dyDescent="0.3">
      <c r="A467" s="2" t="s">
        <v>4493</v>
      </c>
      <c r="B467" s="2">
        <v>89</v>
      </c>
      <c r="C467" s="3">
        <v>106793915</v>
      </c>
      <c r="D467" s="3" t="s">
        <v>5960</v>
      </c>
      <c r="E467" s="2" t="s">
        <v>4494</v>
      </c>
      <c r="F467" s="2" t="s">
        <v>10</v>
      </c>
      <c r="G467" s="2" t="s">
        <v>11</v>
      </c>
      <c r="H467" s="2">
        <v>6000000</v>
      </c>
      <c r="I467" s="2">
        <v>2.9</v>
      </c>
      <c r="J467" s="3">
        <v>327919</v>
      </c>
      <c r="K467">
        <f t="shared" si="22"/>
        <v>1.3775047412552699E-3</v>
      </c>
      <c r="R467" s="12" t="str">
        <f ca="1">IFERROR(__xludf.DUMMYFUNCTION("""COMPUTED_VALUE"""),"The Haunting ")</f>
        <v>The Haunting </v>
      </c>
      <c r="S467" s="12">
        <f t="shared" si="21"/>
        <v>37019483</v>
      </c>
    </row>
    <row r="468" spans="1:19" x14ac:dyDescent="0.3">
      <c r="A468" s="2" t="s">
        <v>89</v>
      </c>
      <c r="B468" s="2">
        <v>112</v>
      </c>
      <c r="C468" s="3">
        <v>104632573</v>
      </c>
      <c r="D468" s="3" t="s">
        <v>5961</v>
      </c>
      <c r="E468" s="2" t="s">
        <v>2866</v>
      </c>
      <c r="F468" s="2" t="s">
        <v>10</v>
      </c>
      <c r="G468" s="2" t="s">
        <v>11</v>
      </c>
      <c r="H468" s="2">
        <v>20000000</v>
      </c>
      <c r="I468" s="2">
        <v>7.5</v>
      </c>
      <c r="J468" s="3">
        <v>333658</v>
      </c>
      <c r="K468">
        <f t="shared" si="22"/>
        <v>1.3775047412552699E-3</v>
      </c>
      <c r="R468" s="12" t="str">
        <f ca="1">IFERROR(__xludf.DUMMYFUNCTION("""COMPUTED_VALUE"""),"Space Jam ")</f>
        <v>Space Jam </v>
      </c>
      <c r="S468" s="12">
        <f t="shared" si="21"/>
        <v>59161969</v>
      </c>
    </row>
    <row r="469" spans="1:19" x14ac:dyDescent="0.3">
      <c r="A469" s="2" t="s">
        <v>762</v>
      </c>
      <c r="B469" s="2">
        <v>106</v>
      </c>
      <c r="C469" s="3">
        <v>48237389</v>
      </c>
      <c r="D469" s="3" t="s">
        <v>5799</v>
      </c>
      <c r="E469" s="2" t="s">
        <v>2017</v>
      </c>
      <c r="F469" s="2" t="s">
        <v>10</v>
      </c>
      <c r="G469" s="2" t="s">
        <v>11</v>
      </c>
      <c r="H469" s="2">
        <v>35000000</v>
      </c>
      <c r="I469" s="2">
        <v>5</v>
      </c>
      <c r="J469" s="3">
        <v>333976</v>
      </c>
      <c r="K469">
        <f t="shared" si="22"/>
        <v>1.3775047412552699E-3</v>
      </c>
      <c r="R469" s="12" t="str">
        <f ca="1">IFERROR(__xludf.DUMMYFUNCTION("""COMPUTED_VALUE"""),"The Pink Panther ")</f>
        <v>The Pink Panther </v>
      </c>
      <c r="S469" s="12">
        <f t="shared" si="21"/>
        <v>122218018</v>
      </c>
    </row>
    <row r="470" spans="1:19" x14ac:dyDescent="0.3">
      <c r="A470" s="2" t="s">
        <v>1340</v>
      </c>
      <c r="B470" s="2">
        <v>90</v>
      </c>
      <c r="C470" s="3">
        <v>150832203</v>
      </c>
      <c r="D470" s="3" t="s">
        <v>5962</v>
      </c>
      <c r="E470" s="2" t="s">
        <v>1341</v>
      </c>
      <c r="F470" s="2" t="s">
        <v>10</v>
      </c>
      <c r="G470" s="2" t="s">
        <v>11</v>
      </c>
      <c r="H470" s="2">
        <v>50000000</v>
      </c>
      <c r="I470" s="2">
        <v>7.1</v>
      </c>
      <c r="J470" s="3">
        <v>334041</v>
      </c>
      <c r="K470">
        <f t="shared" si="22"/>
        <v>1.3775047412552699E-3</v>
      </c>
      <c r="R470" s="12" t="str">
        <f ca="1">IFERROR(__xludf.DUMMYFUNCTION("""COMPUTED_VALUE"""),"The Day the Earth Stood Still ")</f>
        <v>The Day the Earth Stood Still </v>
      </c>
      <c r="S470" s="12">
        <f t="shared" si="21"/>
        <v>172449475</v>
      </c>
    </row>
    <row r="471" spans="1:19" x14ac:dyDescent="0.3">
      <c r="A471" s="2" t="s">
        <v>21</v>
      </c>
      <c r="B471" s="2">
        <v>121</v>
      </c>
      <c r="C471" s="3">
        <v>62549000</v>
      </c>
      <c r="D471" s="3" t="s">
        <v>5755</v>
      </c>
      <c r="E471" s="2" t="s">
        <v>272</v>
      </c>
      <c r="F471" s="2" t="s">
        <v>10</v>
      </c>
      <c r="G471" s="2" t="s">
        <v>11</v>
      </c>
      <c r="H471" s="2">
        <v>139000000</v>
      </c>
      <c r="I471" s="2">
        <v>7.3</v>
      </c>
      <c r="J471" s="3">
        <v>336456</v>
      </c>
      <c r="K471">
        <f t="shared" si="22"/>
        <v>1.3775047412552699E-3</v>
      </c>
      <c r="R471" s="12" t="str">
        <f ca="1">IFERROR(__xludf.DUMMYFUNCTION("""COMPUTED_VALUE"""),"Conspiracy Theory ")</f>
        <v>Conspiracy Theory </v>
      </c>
      <c r="S471" s="12">
        <f t="shared" si="21"/>
        <v>114006721</v>
      </c>
    </row>
    <row r="472" spans="1:19" x14ac:dyDescent="0.3">
      <c r="A472" s="2" t="s">
        <v>1291</v>
      </c>
      <c r="B472" s="2">
        <v>138</v>
      </c>
      <c r="C472" s="3">
        <v>37023395</v>
      </c>
      <c r="D472" s="3" t="s">
        <v>5832</v>
      </c>
      <c r="E472" s="2" t="s">
        <v>1952</v>
      </c>
      <c r="F472" s="2" t="s">
        <v>10</v>
      </c>
      <c r="G472" s="2" t="s">
        <v>11</v>
      </c>
      <c r="H472" s="2">
        <v>35000000</v>
      </c>
      <c r="I472" s="2">
        <v>8.3000000000000007</v>
      </c>
      <c r="J472" s="3">
        <v>336467</v>
      </c>
      <c r="K472">
        <f t="shared" si="22"/>
        <v>1.3775047412552699E-3</v>
      </c>
      <c r="R472" s="12" t="str">
        <f ca="1">IFERROR(__xludf.DUMMYFUNCTION("""COMPUTED_VALUE"""),"Fury ")</f>
        <v>Fury </v>
      </c>
      <c r="S472" s="12">
        <f t="shared" si="21"/>
        <v>84518390</v>
      </c>
    </row>
    <row r="473" spans="1:19" x14ac:dyDescent="0.3">
      <c r="A473" s="2" t="s">
        <v>1653</v>
      </c>
      <c r="B473" s="2">
        <v>102</v>
      </c>
      <c r="C473" s="3">
        <v>58607007</v>
      </c>
      <c r="D473" s="3" t="s">
        <v>5963</v>
      </c>
      <c r="E473" s="2" t="s">
        <v>1654</v>
      </c>
      <c r="F473" s="2" t="s">
        <v>10</v>
      </c>
      <c r="G473" s="2" t="s">
        <v>11</v>
      </c>
      <c r="H473" s="2">
        <v>42000000</v>
      </c>
      <c r="I473" s="2">
        <v>6.6</v>
      </c>
      <c r="J473" s="3">
        <v>349618</v>
      </c>
      <c r="K473">
        <f t="shared" si="22"/>
        <v>1.3775047412552699E-3</v>
      </c>
      <c r="R473" s="12" t="str">
        <f ca="1">IFERROR(__xludf.DUMMYFUNCTION("""COMPUTED_VALUE"""),"Six Days Seven Nights ")</f>
        <v>Six Days Seven Nights </v>
      </c>
      <c r="S473" s="12">
        <f t="shared" ref="S473:S536" si="23">C451-H451</f>
        <v>144149590</v>
      </c>
    </row>
    <row r="474" spans="1:19" x14ac:dyDescent="0.3">
      <c r="A474" s="2" t="s">
        <v>2097</v>
      </c>
      <c r="B474" s="2">
        <v>120</v>
      </c>
      <c r="C474" s="3">
        <v>50802661</v>
      </c>
      <c r="D474" s="3" t="s">
        <v>5755</v>
      </c>
      <c r="E474" s="2" t="s">
        <v>2171</v>
      </c>
      <c r="F474" s="2" t="s">
        <v>10</v>
      </c>
      <c r="G474" s="2" t="s">
        <v>11</v>
      </c>
      <c r="H474" s="2">
        <v>30000000</v>
      </c>
      <c r="I474" s="2">
        <v>7.8</v>
      </c>
      <c r="J474" s="3">
        <v>352786</v>
      </c>
      <c r="K474">
        <f t="shared" si="22"/>
        <v>1.3775047412552699E-3</v>
      </c>
      <c r="R474" s="12" t="str">
        <f ca="1">IFERROR(__xludf.DUMMYFUNCTION("""COMPUTED_VALUE"""),"Yogi Bear ")</f>
        <v>Yogi Bear </v>
      </c>
      <c r="S474" s="12">
        <f t="shared" si="23"/>
        <v>-393385312</v>
      </c>
    </row>
    <row r="475" spans="1:19" x14ac:dyDescent="0.3">
      <c r="A475" s="2" t="s">
        <v>292</v>
      </c>
      <c r="B475" s="2">
        <v>115</v>
      </c>
      <c r="C475" s="3">
        <v>40198710</v>
      </c>
      <c r="D475" s="3" t="s">
        <v>5790</v>
      </c>
      <c r="E475" s="2" t="s">
        <v>293</v>
      </c>
      <c r="F475" s="2" t="s">
        <v>10</v>
      </c>
      <c r="G475" s="2" t="s">
        <v>11</v>
      </c>
      <c r="H475" s="2">
        <v>120000000</v>
      </c>
      <c r="I475" s="2">
        <v>5.5</v>
      </c>
      <c r="J475" s="3">
        <v>353743</v>
      </c>
      <c r="K475">
        <f t="shared" si="22"/>
        <v>1.3775047412552699E-3</v>
      </c>
      <c r="R475" s="12" t="str">
        <f ca="1">IFERROR(__xludf.DUMMYFUNCTION("""COMPUTED_VALUE"""),"Spirit: Stallion of the Cimarron ")</f>
        <v>Spirit: Stallion of the Cimarron </v>
      </c>
      <c r="S475" s="12">
        <f t="shared" si="23"/>
        <v>16563543</v>
      </c>
    </row>
    <row r="476" spans="1:19" x14ac:dyDescent="0.3">
      <c r="A476" s="2" t="s">
        <v>3814</v>
      </c>
      <c r="B476" s="2">
        <v>92</v>
      </c>
      <c r="C476" s="3">
        <v>89253340</v>
      </c>
      <c r="D476" s="3" t="s">
        <v>5932</v>
      </c>
      <c r="E476" s="2" t="s">
        <v>3815</v>
      </c>
      <c r="F476" s="2" t="s">
        <v>10</v>
      </c>
      <c r="G476" s="2" t="s">
        <v>11</v>
      </c>
      <c r="H476" s="2">
        <v>13000000</v>
      </c>
      <c r="I476" s="2">
        <v>6.7</v>
      </c>
      <c r="J476" s="3">
        <v>354704</v>
      </c>
      <c r="K476">
        <f t="shared" si="22"/>
        <v>1.3775047412552699E-3</v>
      </c>
      <c r="R476" s="12" t="str">
        <f ca="1">IFERROR(__xludf.DUMMYFUNCTION("""COMPUTED_VALUE"""),"Zookeeper ")</f>
        <v>Zookeeper </v>
      </c>
      <c r="S476" s="12">
        <f t="shared" si="23"/>
        <v>38855658</v>
      </c>
    </row>
    <row r="477" spans="1:19" x14ac:dyDescent="0.3">
      <c r="A477" s="2" t="s">
        <v>3064</v>
      </c>
      <c r="B477" s="2">
        <v>114</v>
      </c>
      <c r="C477" s="3">
        <v>56044241</v>
      </c>
      <c r="D477" s="3" t="s">
        <v>5752</v>
      </c>
      <c r="E477" s="2" t="s">
        <v>3065</v>
      </c>
      <c r="F477" s="2" t="s">
        <v>751</v>
      </c>
      <c r="G477" s="2" t="s">
        <v>504</v>
      </c>
      <c r="H477" s="2">
        <v>20000000</v>
      </c>
      <c r="I477" s="2">
        <v>6.9</v>
      </c>
      <c r="J477" s="3">
        <v>365734</v>
      </c>
      <c r="K477">
        <f t="shared" si="22"/>
        <v>1.3775047412552699E-3</v>
      </c>
      <c r="R477" s="12" t="str">
        <f ca="1">IFERROR(__xludf.DUMMYFUNCTION("""COMPUTED_VALUE"""),"Lost in Space ")</f>
        <v>Lost in Space </v>
      </c>
      <c r="S477" s="12">
        <f t="shared" si="23"/>
        <v>-30861924</v>
      </c>
    </row>
    <row r="478" spans="1:19" x14ac:dyDescent="0.3">
      <c r="A478" s="2" t="s">
        <v>2076</v>
      </c>
      <c r="B478" s="2">
        <v>114</v>
      </c>
      <c r="C478" s="3">
        <v>112692062</v>
      </c>
      <c r="D478" s="3" t="s">
        <v>5960</v>
      </c>
      <c r="E478" s="2" t="s">
        <v>2077</v>
      </c>
      <c r="F478" s="2" t="s">
        <v>10</v>
      </c>
      <c r="G478" s="2" t="s">
        <v>11</v>
      </c>
      <c r="H478" s="2">
        <v>34000000</v>
      </c>
      <c r="I478" s="2">
        <v>5.6</v>
      </c>
      <c r="J478" s="3">
        <v>371081</v>
      </c>
      <c r="K478">
        <f t="shared" si="22"/>
        <v>1.3775047412552699E-3</v>
      </c>
      <c r="R478" s="12" t="str">
        <f ca="1">IFERROR(__xludf.DUMMYFUNCTION("""COMPUTED_VALUE"""),"The Manchurian Candidate ")</f>
        <v>The Manchurian Candidate </v>
      </c>
      <c r="S478" s="12">
        <f t="shared" si="23"/>
        <v>-6618936</v>
      </c>
    </row>
    <row r="479" spans="1:19" x14ac:dyDescent="0.3">
      <c r="A479" s="2" t="s">
        <v>2673</v>
      </c>
      <c r="B479" s="2">
        <v>96</v>
      </c>
      <c r="C479" s="3">
        <v>89021735</v>
      </c>
      <c r="D479" s="3" t="s">
        <v>5794</v>
      </c>
      <c r="E479" s="2" t="s">
        <v>3716</v>
      </c>
      <c r="F479" s="2" t="s">
        <v>10</v>
      </c>
      <c r="G479" s="2" t="s">
        <v>11</v>
      </c>
      <c r="H479" s="2">
        <v>11000000</v>
      </c>
      <c r="I479" s="2">
        <v>6.3</v>
      </c>
      <c r="J479" s="3">
        <v>371897</v>
      </c>
      <c r="K479">
        <f t="shared" si="22"/>
        <v>1.3775047412552699E-3</v>
      </c>
      <c r="R479" s="12" t="str">
        <f ca="1">IFERROR(__xludf.DUMMYFUNCTION("""COMPUTED_VALUE"""),"Hotel Transylvania 2 ")</f>
        <v>Hotel Transylvania 2 </v>
      </c>
      <c r="S479" s="12">
        <f t="shared" si="23"/>
        <v>92012643</v>
      </c>
    </row>
    <row r="480" spans="1:19" x14ac:dyDescent="0.3">
      <c r="A480" s="2" t="s">
        <v>5701</v>
      </c>
      <c r="B480" s="2">
        <v>83</v>
      </c>
      <c r="C480" s="3">
        <v>119793567</v>
      </c>
      <c r="D480" s="3" t="s">
        <v>5964</v>
      </c>
      <c r="E480" s="2" t="s">
        <v>5702</v>
      </c>
      <c r="F480" s="2" t="s">
        <v>10</v>
      </c>
      <c r="G480" s="2" t="s">
        <v>11</v>
      </c>
      <c r="H480" s="2">
        <v>7830000</v>
      </c>
      <c r="I480" s="2">
        <v>6.6</v>
      </c>
      <c r="J480" s="3">
        <v>373967</v>
      </c>
      <c r="K480">
        <f t="shared" si="22"/>
        <v>1.3775047412552699E-3</v>
      </c>
      <c r="R480" s="12" t="str">
        <f ca="1">IFERROR(__xludf.DUMMYFUNCTION("""COMPUTED_VALUE"""),"Fantasia 2000 ")</f>
        <v>Fantasia 2000 </v>
      </c>
      <c r="S480" s="12">
        <f t="shared" si="23"/>
        <v>29000000</v>
      </c>
    </row>
    <row r="481" spans="1:19" x14ac:dyDescent="0.3">
      <c r="A481" s="2" t="s">
        <v>1481</v>
      </c>
      <c r="B481" s="2">
        <v>115</v>
      </c>
      <c r="C481" s="3">
        <v>31990064</v>
      </c>
      <c r="D481" s="3" t="s">
        <v>5774</v>
      </c>
      <c r="E481" s="2" t="s">
        <v>1482</v>
      </c>
      <c r="F481" s="2" t="s">
        <v>10</v>
      </c>
      <c r="G481" s="2" t="s">
        <v>504</v>
      </c>
      <c r="H481" s="2">
        <v>48000000</v>
      </c>
      <c r="I481" s="2">
        <v>6</v>
      </c>
      <c r="J481" s="3">
        <v>375474</v>
      </c>
      <c r="K481">
        <f t="shared" si="22"/>
        <v>1.3775047412552699E-3</v>
      </c>
      <c r="R481" s="12" t="str">
        <f ca="1">IFERROR(__xludf.DUMMYFUNCTION("""COMPUTED_VALUE"""),"The Time Machine ")</f>
        <v>The Time Machine </v>
      </c>
      <c r="S481" s="12">
        <f t="shared" si="23"/>
        <v>40950483</v>
      </c>
    </row>
    <row r="482" spans="1:19" x14ac:dyDescent="0.3">
      <c r="A482" s="2" t="s">
        <v>590</v>
      </c>
      <c r="B482" s="2">
        <v>121</v>
      </c>
      <c r="C482" s="3">
        <v>126149655</v>
      </c>
      <c r="D482" s="3" t="s">
        <v>5965</v>
      </c>
      <c r="E482" s="2" t="s">
        <v>1142</v>
      </c>
      <c r="F482" s="2" t="s">
        <v>10</v>
      </c>
      <c r="G482" s="2" t="s">
        <v>199</v>
      </c>
      <c r="H482" s="2">
        <v>50000000</v>
      </c>
      <c r="I482" s="2">
        <v>5.6</v>
      </c>
      <c r="J482" s="3">
        <v>375723</v>
      </c>
      <c r="K482">
        <f t="shared" si="22"/>
        <v>1.3775047412552699E-3</v>
      </c>
      <c r="R482" s="12" t="str">
        <f ca="1">IFERROR(__xludf.DUMMYFUNCTION("""COMPUTED_VALUE"""),"Mighty Joe Young ")</f>
        <v>Mighty Joe Young </v>
      </c>
      <c r="S482" s="12">
        <f t="shared" si="23"/>
        <v>104515297</v>
      </c>
    </row>
    <row r="483" spans="1:19" x14ac:dyDescent="0.3">
      <c r="A483" s="2" t="s">
        <v>894</v>
      </c>
      <c r="B483" s="2">
        <v>96</v>
      </c>
      <c r="C483" s="3">
        <v>160201106</v>
      </c>
      <c r="D483" s="3" t="s">
        <v>5857</v>
      </c>
      <c r="E483" s="2" t="s">
        <v>1463</v>
      </c>
      <c r="F483" s="2" t="s">
        <v>10</v>
      </c>
      <c r="G483" s="2" t="s">
        <v>71</v>
      </c>
      <c r="H483" s="2">
        <v>18000000</v>
      </c>
      <c r="I483" s="2">
        <v>3.7</v>
      </c>
      <c r="J483" s="3">
        <v>379122</v>
      </c>
      <c r="K483">
        <f t="shared" si="22"/>
        <v>1.3775047412552699E-3</v>
      </c>
      <c r="R483" s="12" t="str">
        <f ca="1">IFERROR(__xludf.DUMMYFUNCTION("""COMPUTED_VALUE"""),"Swordfish ")</f>
        <v>Swordfish </v>
      </c>
      <c r="S483" s="12">
        <f t="shared" si="23"/>
        <v>-171529983</v>
      </c>
    </row>
    <row r="484" spans="1:19" x14ac:dyDescent="0.3">
      <c r="A484" s="2" t="s">
        <v>2908</v>
      </c>
      <c r="B484" s="2">
        <v>105</v>
      </c>
      <c r="C484" s="3">
        <v>107285004</v>
      </c>
      <c r="D484" s="3" t="s">
        <v>5966</v>
      </c>
      <c r="E484" s="2" t="s">
        <v>2909</v>
      </c>
      <c r="F484" s="2" t="s">
        <v>10</v>
      </c>
      <c r="G484" s="2" t="s">
        <v>11</v>
      </c>
      <c r="H484" s="2">
        <v>20000000</v>
      </c>
      <c r="I484" s="2">
        <v>6.3</v>
      </c>
      <c r="J484" s="3">
        <v>379643</v>
      </c>
      <c r="K484">
        <f t="shared" si="22"/>
        <v>1.3775047412552699E-3</v>
      </c>
      <c r="R484" s="12" t="str">
        <f ca="1">IFERROR(__xludf.DUMMYFUNCTION("""COMPUTED_VALUE"""),"The Legend of Zorro ")</f>
        <v>The Legend of Zorro </v>
      </c>
      <c r="S484" s="12">
        <f t="shared" si="23"/>
        <v>81341670</v>
      </c>
    </row>
    <row r="485" spans="1:19" x14ac:dyDescent="0.3">
      <c r="A485" s="2" t="s">
        <v>5094</v>
      </c>
      <c r="B485" s="2">
        <v>120</v>
      </c>
      <c r="C485" s="3">
        <v>138614544</v>
      </c>
      <c r="D485" s="3" t="s">
        <v>5762</v>
      </c>
      <c r="E485" s="2" t="s">
        <v>5095</v>
      </c>
      <c r="F485" s="2" t="s">
        <v>10</v>
      </c>
      <c r="G485" s="2" t="s">
        <v>11</v>
      </c>
      <c r="H485" s="2">
        <v>2000000</v>
      </c>
      <c r="I485" s="2">
        <v>3.3</v>
      </c>
      <c r="J485" s="3">
        <v>381186</v>
      </c>
      <c r="K485">
        <f t="shared" si="22"/>
        <v>1.3775047412552699E-3</v>
      </c>
      <c r="R485" s="12" t="str">
        <f ca="1">IFERROR(__xludf.DUMMYFUNCTION("""COMPUTED_VALUE"""),"What Dreams May Come ")</f>
        <v>What Dreams May Come </v>
      </c>
      <c r="S485" s="12">
        <f t="shared" si="23"/>
        <v>131383253</v>
      </c>
    </row>
    <row r="486" spans="1:19" x14ac:dyDescent="0.3">
      <c r="A486" s="2" t="s">
        <v>3040</v>
      </c>
      <c r="B486" s="2">
        <v>129</v>
      </c>
      <c r="C486" s="3">
        <v>178406268</v>
      </c>
      <c r="D486" s="3" t="s">
        <v>5967</v>
      </c>
      <c r="E486" s="2" t="s">
        <v>4278</v>
      </c>
      <c r="F486" s="2" t="s">
        <v>10</v>
      </c>
      <c r="G486" s="2" t="s">
        <v>16</v>
      </c>
      <c r="H486" s="2">
        <v>10000000</v>
      </c>
      <c r="I486" s="2">
        <v>7.3</v>
      </c>
      <c r="J486" s="3">
        <v>381225</v>
      </c>
      <c r="K486">
        <f t="shared" si="22"/>
        <v>1.3775047412552699E-3</v>
      </c>
      <c r="R486" s="12" t="str">
        <f ca="1">IFERROR(__xludf.DUMMYFUNCTION("""COMPUTED_VALUE"""),"Little Nicky ")</f>
        <v>Little Nicky </v>
      </c>
      <c r="S486" s="12">
        <f t="shared" si="23"/>
        <v>102593296</v>
      </c>
    </row>
    <row r="487" spans="1:19" x14ac:dyDescent="0.3">
      <c r="A487" s="2" t="s">
        <v>1000</v>
      </c>
      <c r="B487" s="2">
        <v>102</v>
      </c>
      <c r="C487" s="3">
        <v>67061228</v>
      </c>
      <c r="D487" s="3" t="s">
        <v>5910</v>
      </c>
      <c r="E487" s="2" t="s">
        <v>1001</v>
      </c>
      <c r="F487" s="2" t="s">
        <v>10</v>
      </c>
      <c r="G487" s="2" t="s">
        <v>11</v>
      </c>
      <c r="H487" s="2">
        <v>65000000</v>
      </c>
      <c r="I487" s="2">
        <v>6.5</v>
      </c>
      <c r="J487" s="3">
        <v>382946</v>
      </c>
      <c r="K487">
        <f t="shared" si="22"/>
        <v>1.3775047412552699E-3</v>
      </c>
      <c r="R487" s="12" t="str">
        <f ca="1">IFERROR(__xludf.DUMMYFUNCTION("""COMPUTED_VALUE"""),"The Brothers Grimm ")</f>
        <v>The Brothers Grimm </v>
      </c>
      <c r="S487" s="12">
        <f t="shared" si="23"/>
        <v>18543701</v>
      </c>
    </row>
    <row r="488" spans="1:19" x14ac:dyDescent="0.3">
      <c r="A488" s="2" t="s">
        <v>894</v>
      </c>
      <c r="B488" s="2">
        <v>101</v>
      </c>
      <c r="C488" s="3">
        <v>190418803</v>
      </c>
      <c r="D488" s="3" t="s">
        <v>5760</v>
      </c>
      <c r="E488" s="2" t="s">
        <v>2574</v>
      </c>
      <c r="F488" s="2" t="s">
        <v>10</v>
      </c>
      <c r="G488" s="2" t="s">
        <v>11</v>
      </c>
      <c r="H488" s="2">
        <v>30000000</v>
      </c>
      <c r="I488" s="2">
        <v>5.8</v>
      </c>
      <c r="J488" s="3">
        <v>389804</v>
      </c>
      <c r="K488">
        <f t="shared" si="22"/>
        <v>1.3775047412552699E-3</v>
      </c>
      <c r="R488" s="12" t="str">
        <f ca="1">IFERROR(__xludf.DUMMYFUNCTION("""COMPUTED_VALUE"""),"Mars Attacks! ")</f>
        <v>Mars Attacks! </v>
      </c>
      <c r="S488" s="12">
        <f t="shared" si="23"/>
        <v>-68707865</v>
      </c>
    </row>
    <row r="489" spans="1:19" x14ac:dyDescent="0.3">
      <c r="A489" s="2" t="s">
        <v>3178</v>
      </c>
      <c r="B489" s="2">
        <v>103</v>
      </c>
      <c r="C489" s="3">
        <v>104374107</v>
      </c>
      <c r="D489" s="3" t="s">
        <v>520</v>
      </c>
      <c r="E489" s="2" t="s">
        <v>4195</v>
      </c>
      <c r="F489" s="2" t="s">
        <v>10</v>
      </c>
      <c r="G489" s="2" t="s">
        <v>11</v>
      </c>
      <c r="H489" s="2">
        <v>9000000</v>
      </c>
      <c r="I489" s="2">
        <v>5.7</v>
      </c>
      <c r="J489" s="3">
        <v>395592</v>
      </c>
      <c r="K489">
        <f t="shared" si="22"/>
        <v>1.3775047412552699E-3</v>
      </c>
      <c r="R489" s="12" t="str">
        <f ca="1">IFERROR(__xludf.DUMMYFUNCTION("""COMPUTED_VALUE"""),"Surrogates ")</f>
        <v>Surrogates </v>
      </c>
      <c r="S489" s="12">
        <f t="shared" si="23"/>
        <v>100793915</v>
      </c>
    </row>
    <row r="490" spans="1:19" x14ac:dyDescent="0.3">
      <c r="A490" s="2" t="s">
        <v>5071</v>
      </c>
      <c r="B490" s="2">
        <v>80</v>
      </c>
      <c r="C490" s="3">
        <v>117235247</v>
      </c>
      <c r="D490" s="3" t="s">
        <v>5773</v>
      </c>
      <c r="E490" s="2" t="s">
        <v>5072</v>
      </c>
      <c r="F490" s="2" t="s">
        <v>751</v>
      </c>
      <c r="G490" s="2" t="s">
        <v>504</v>
      </c>
      <c r="H490" s="2">
        <v>9500000</v>
      </c>
      <c r="I490" s="2">
        <v>7.8</v>
      </c>
      <c r="J490" s="3">
        <v>396035</v>
      </c>
      <c r="K490">
        <f t="shared" si="22"/>
        <v>1.3775047412552699E-3</v>
      </c>
      <c r="R490" s="12" t="str">
        <f ca="1">IFERROR(__xludf.DUMMYFUNCTION("""COMPUTED_VALUE"""),"Thirteen Days ")</f>
        <v>Thirteen Days </v>
      </c>
      <c r="S490" s="12">
        <f t="shared" si="23"/>
        <v>84632573</v>
      </c>
    </row>
    <row r="491" spans="1:19" x14ac:dyDescent="0.3">
      <c r="A491" s="2" t="s">
        <v>3798</v>
      </c>
      <c r="B491" s="2">
        <v>89</v>
      </c>
      <c r="C491" s="3">
        <v>62494975</v>
      </c>
      <c r="D491" s="3" t="s">
        <v>5968</v>
      </c>
      <c r="E491" s="2" t="s">
        <v>3799</v>
      </c>
      <c r="F491" s="2" t="s">
        <v>10</v>
      </c>
      <c r="G491" s="2" t="s">
        <v>11</v>
      </c>
      <c r="H491" s="2">
        <v>12000000</v>
      </c>
      <c r="I491" s="2">
        <v>7.7</v>
      </c>
      <c r="J491" s="3">
        <v>398420</v>
      </c>
      <c r="K491">
        <f t="shared" si="22"/>
        <v>1.3775047412552699E-3</v>
      </c>
      <c r="R491" s="12" t="str">
        <f ca="1">IFERROR(__xludf.DUMMYFUNCTION("""COMPUTED_VALUE"""),"Daylight ")</f>
        <v>Daylight </v>
      </c>
      <c r="S491" s="12">
        <f t="shared" si="23"/>
        <v>13237389</v>
      </c>
    </row>
    <row r="492" spans="1:19" x14ac:dyDescent="0.3">
      <c r="A492" s="2" t="s">
        <v>3433</v>
      </c>
      <c r="B492" s="2">
        <v>117</v>
      </c>
      <c r="C492" s="3">
        <v>72601713</v>
      </c>
      <c r="D492" s="3" t="s">
        <v>5969</v>
      </c>
      <c r="E492" s="2" t="s">
        <v>3737</v>
      </c>
      <c r="F492" s="2" t="s">
        <v>10</v>
      </c>
      <c r="G492" s="2" t="s">
        <v>11</v>
      </c>
      <c r="H492" s="2">
        <v>12500000</v>
      </c>
      <c r="I492" s="2">
        <v>7.3</v>
      </c>
      <c r="J492" s="3">
        <v>399611</v>
      </c>
      <c r="K492">
        <f t="shared" si="22"/>
        <v>1.3775047412552699E-3</v>
      </c>
      <c r="R492" s="12" t="str">
        <f ca="1">IFERROR(__xludf.DUMMYFUNCTION("""COMPUTED_VALUE"""),"Walking with Dinosaurs 3D ")</f>
        <v>Walking with Dinosaurs 3D </v>
      </c>
      <c r="S492" s="12">
        <f t="shared" si="23"/>
        <v>100832203</v>
      </c>
    </row>
    <row r="493" spans="1:19" x14ac:dyDescent="0.3">
      <c r="A493" s="2" t="s">
        <v>341</v>
      </c>
      <c r="B493" s="2">
        <v>104</v>
      </c>
      <c r="C493" s="3">
        <v>88915214</v>
      </c>
      <c r="D493" s="3" t="s">
        <v>5771</v>
      </c>
      <c r="E493" s="2" t="s">
        <v>3882</v>
      </c>
      <c r="F493" s="2" t="s">
        <v>10</v>
      </c>
      <c r="G493" s="2" t="s">
        <v>16</v>
      </c>
      <c r="H493" s="2">
        <v>6000000</v>
      </c>
      <c r="I493" s="2">
        <v>8.3000000000000007</v>
      </c>
      <c r="J493" s="3">
        <v>399793</v>
      </c>
      <c r="K493">
        <f t="shared" si="22"/>
        <v>1.3775047412552699E-3</v>
      </c>
      <c r="R493" s="12" t="str">
        <f ca="1">IFERROR(__xludf.DUMMYFUNCTION("""COMPUTED_VALUE"""),"Battlefield Earth ")</f>
        <v>Battlefield Earth </v>
      </c>
      <c r="S493" s="12">
        <f t="shared" si="23"/>
        <v>-76451000</v>
      </c>
    </row>
    <row r="494" spans="1:19" x14ac:dyDescent="0.3">
      <c r="A494" s="2" t="s">
        <v>137</v>
      </c>
      <c r="B494" s="2">
        <v>88</v>
      </c>
      <c r="C494" s="3">
        <v>50815288</v>
      </c>
      <c r="D494" s="3" t="s">
        <v>5970</v>
      </c>
      <c r="E494" s="2" t="s">
        <v>657</v>
      </c>
      <c r="F494" s="2" t="s">
        <v>10</v>
      </c>
      <c r="G494" s="2" t="s">
        <v>11</v>
      </c>
      <c r="H494" s="2">
        <v>85000000</v>
      </c>
      <c r="I494" s="2">
        <v>6.1</v>
      </c>
      <c r="J494" s="3">
        <v>399879</v>
      </c>
      <c r="K494">
        <f t="shared" si="22"/>
        <v>1.3775047412552699E-3</v>
      </c>
      <c r="R494" s="12" t="str">
        <f ca="1">IFERROR(__xludf.DUMMYFUNCTION("""COMPUTED_VALUE"""),"Looney Tunes: Back in Action ")</f>
        <v>Looney Tunes: Back in Action </v>
      </c>
      <c r="S494" s="12">
        <f t="shared" si="23"/>
        <v>2023395</v>
      </c>
    </row>
    <row r="495" spans="1:19" x14ac:dyDescent="0.3">
      <c r="A495" s="2" t="s">
        <v>218</v>
      </c>
      <c r="B495" s="2">
        <v>107</v>
      </c>
      <c r="C495" s="3">
        <v>44175394</v>
      </c>
      <c r="D495" s="3" t="s">
        <v>5751</v>
      </c>
      <c r="E495" s="2" t="s">
        <v>3980</v>
      </c>
      <c r="F495" s="2" t="s">
        <v>10</v>
      </c>
      <c r="G495" s="2" t="s">
        <v>98</v>
      </c>
      <c r="H495" s="2">
        <v>12305523</v>
      </c>
      <c r="I495" s="2">
        <v>6.2</v>
      </c>
      <c r="J495" s="3">
        <v>403932</v>
      </c>
      <c r="K495">
        <f t="shared" si="22"/>
        <v>1.3775047412552699E-3</v>
      </c>
      <c r="R495" s="12" t="str">
        <f ca="1">IFERROR(__xludf.DUMMYFUNCTION("""COMPUTED_VALUE"""),"Nine ")</f>
        <v>Nine </v>
      </c>
      <c r="S495" s="12">
        <f t="shared" si="23"/>
        <v>16607007</v>
      </c>
    </row>
    <row r="496" spans="1:19" x14ac:dyDescent="0.3">
      <c r="A496" s="2" t="s">
        <v>3836</v>
      </c>
      <c r="B496" s="2">
        <v>86</v>
      </c>
      <c r="C496" s="3">
        <v>119654900</v>
      </c>
      <c r="D496" s="3" t="s">
        <v>5907</v>
      </c>
      <c r="E496" s="2" t="s">
        <v>3837</v>
      </c>
      <c r="F496" s="2" t="s">
        <v>10</v>
      </c>
      <c r="G496" s="2" t="s">
        <v>11</v>
      </c>
      <c r="H496" s="2">
        <v>12000000</v>
      </c>
      <c r="I496" s="2">
        <v>6.3</v>
      </c>
      <c r="J496" s="3">
        <v>406035</v>
      </c>
      <c r="K496">
        <f t="shared" si="22"/>
        <v>1.3775047412552699E-3</v>
      </c>
      <c r="R496" s="12" t="str">
        <f ca="1">IFERROR(__xludf.DUMMYFUNCTION("""COMPUTED_VALUE"""),"Timeline ")</f>
        <v>Timeline </v>
      </c>
      <c r="S496" s="12">
        <f t="shared" si="23"/>
        <v>20802661</v>
      </c>
    </row>
    <row r="497" spans="1:19" x14ac:dyDescent="0.3">
      <c r="A497" s="2" t="s">
        <v>963</v>
      </c>
      <c r="B497" s="2">
        <v>127</v>
      </c>
      <c r="C497" s="3">
        <v>83348920</v>
      </c>
      <c r="D497" s="3" t="s">
        <v>5755</v>
      </c>
      <c r="E497" s="2" t="s">
        <v>3729</v>
      </c>
      <c r="F497" s="2" t="s">
        <v>3730</v>
      </c>
      <c r="G497" s="2" t="s">
        <v>11</v>
      </c>
      <c r="H497" s="2">
        <v>13000000</v>
      </c>
      <c r="I497" s="2">
        <v>4.3</v>
      </c>
      <c r="J497" s="3">
        <v>410241</v>
      </c>
      <c r="K497">
        <f t="shared" si="22"/>
        <v>1.3775047412552699E-3</v>
      </c>
      <c r="R497" s="12" t="str">
        <f ca="1">IFERROR(__xludf.DUMMYFUNCTION("""COMPUTED_VALUE"""),"The Postman ")</f>
        <v>The Postman </v>
      </c>
      <c r="S497" s="12">
        <f t="shared" si="23"/>
        <v>-79801290</v>
      </c>
    </row>
    <row r="498" spans="1:19" x14ac:dyDescent="0.3">
      <c r="A498" s="2" t="s">
        <v>21</v>
      </c>
      <c r="B498" s="2">
        <v>130</v>
      </c>
      <c r="C498" s="3">
        <v>31968347</v>
      </c>
      <c r="D498" s="3" t="s">
        <v>5755</v>
      </c>
      <c r="E498" s="2" t="s">
        <v>77</v>
      </c>
      <c r="F498" s="2" t="s">
        <v>10</v>
      </c>
      <c r="G498" s="2" t="s">
        <v>11</v>
      </c>
      <c r="H498" s="2">
        <v>215000000</v>
      </c>
      <c r="I498" s="2">
        <v>6.4</v>
      </c>
      <c r="J498" s="3">
        <v>410388</v>
      </c>
      <c r="K498">
        <f t="shared" si="22"/>
        <v>1.3775047412552699E-3</v>
      </c>
      <c r="R498" s="12" t="str">
        <f ca="1">IFERROR(__xludf.DUMMYFUNCTION("""COMPUTED_VALUE"""),"Babe: Pig in the City ")</f>
        <v>Babe: Pig in the City </v>
      </c>
      <c r="S498" s="12">
        <f t="shared" si="23"/>
        <v>76253340</v>
      </c>
    </row>
    <row r="499" spans="1:19" x14ac:dyDescent="0.3">
      <c r="A499" s="2" t="s">
        <v>1611</v>
      </c>
      <c r="B499" s="2">
        <v>99</v>
      </c>
      <c r="C499" s="3">
        <v>101111837</v>
      </c>
      <c r="D499" s="3" t="s">
        <v>5779</v>
      </c>
      <c r="E499" s="2" t="s">
        <v>1612</v>
      </c>
      <c r="F499" s="2" t="s">
        <v>10</v>
      </c>
      <c r="G499" s="2" t="s">
        <v>11</v>
      </c>
      <c r="H499" s="2">
        <v>44000000</v>
      </c>
      <c r="I499" s="2">
        <v>6.5</v>
      </c>
      <c r="J499" s="3">
        <v>418268</v>
      </c>
      <c r="K499">
        <f t="shared" si="22"/>
        <v>1.3775047412552699E-3</v>
      </c>
      <c r="R499" s="12" t="str">
        <f ca="1">IFERROR(__xludf.DUMMYFUNCTION("""COMPUTED_VALUE"""),"The Last Witch Hunter ")</f>
        <v>The Last Witch Hunter </v>
      </c>
      <c r="S499" s="12">
        <f t="shared" si="23"/>
        <v>36044241</v>
      </c>
    </row>
    <row r="500" spans="1:19" x14ac:dyDescent="0.3">
      <c r="A500" s="2" t="s">
        <v>234</v>
      </c>
      <c r="B500" s="2">
        <v>136</v>
      </c>
      <c r="C500" s="3">
        <v>119518352</v>
      </c>
      <c r="D500" s="3" t="s">
        <v>5950</v>
      </c>
      <c r="E500" s="2" t="s">
        <v>760</v>
      </c>
      <c r="F500" s="2" t="s">
        <v>10</v>
      </c>
      <c r="G500" s="2" t="s">
        <v>11</v>
      </c>
      <c r="H500" s="2">
        <v>100000000</v>
      </c>
      <c r="I500" s="2">
        <v>6.7</v>
      </c>
      <c r="J500" s="3">
        <v>418953</v>
      </c>
      <c r="K500">
        <f t="shared" si="22"/>
        <v>1.3775047412552699E-3</v>
      </c>
      <c r="R500" s="12" t="str">
        <f ca="1">IFERROR(__xludf.DUMMYFUNCTION("""COMPUTED_VALUE"""),"Red Planet ")</f>
        <v>Red Planet </v>
      </c>
      <c r="S500" s="12">
        <f t="shared" si="23"/>
        <v>78692062</v>
      </c>
    </row>
    <row r="501" spans="1:19" x14ac:dyDescent="0.3">
      <c r="A501" s="2" t="s">
        <v>534</v>
      </c>
      <c r="B501" s="2">
        <v>112</v>
      </c>
      <c r="C501" s="3">
        <v>198655278</v>
      </c>
      <c r="D501" s="3" t="s">
        <v>5755</v>
      </c>
      <c r="E501" s="2" t="s">
        <v>1836</v>
      </c>
      <c r="F501" s="2" t="s">
        <v>1837</v>
      </c>
      <c r="G501" s="2" t="s">
        <v>504</v>
      </c>
      <c r="H501" s="2">
        <v>25000000</v>
      </c>
      <c r="I501" s="2">
        <v>6</v>
      </c>
      <c r="J501" s="3">
        <v>424760</v>
      </c>
      <c r="K501">
        <f t="shared" si="22"/>
        <v>1.3775047412552699E-3</v>
      </c>
      <c r="R501" s="12" t="str">
        <f ca="1">IFERROR(__xludf.DUMMYFUNCTION("""COMPUTED_VALUE"""),"Arthur and the Invisibles ")</f>
        <v>Arthur and the Invisibles </v>
      </c>
      <c r="S501" s="12">
        <f t="shared" si="23"/>
        <v>78021735</v>
      </c>
    </row>
    <row r="502" spans="1:19" x14ac:dyDescent="0.3">
      <c r="A502" s="2" t="s">
        <v>802</v>
      </c>
      <c r="B502" s="2">
        <v>122</v>
      </c>
      <c r="C502" s="3">
        <v>163192114</v>
      </c>
      <c r="D502" s="3" t="s">
        <v>5971</v>
      </c>
      <c r="E502" s="2" t="s">
        <v>1518</v>
      </c>
      <c r="F502" s="2" t="s">
        <v>10</v>
      </c>
      <c r="G502" s="2" t="s">
        <v>11</v>
      </c>
      <c r="H502" s="2">
        <v>45000000</v>
      </c>
      <c r="I502" s="2">
        <v>7.7</v>
      </c>
      <c r="J502" s="3">
        <v>425899</v>
      </c>
      <c r="K502">
        <f t="shared" si="22"/>
        <v>1.3775047412552699E-3</v>
      </c>
      <c r="R502" s="12" t="str">
        <f ca="1">IFERROR(__xludf.DUMMYFUNCTION("""COMPUTED_VALUE"""),"Oceans ")</f>
        <v>Oceans </v>
      </c>
      <c r="S502" s="12">
        <f t="shared" si="23"/>
        <v>111963567</v>
      </c>
    </row>
    <row r="503" spans="1:19" x14ac:dyDescent="0.3">
      <c r="A503" s="2" t="s">
        <v>1420</v>
      </c>
      <c r="B503" s="2">
        <v>109</v>
      </c>
      <c r="C503" s="3">
        <v>133382309</v>
      </c>
      <c r="D503" s="3" t="s">
        <v>5753</v>
      </c>
      <c r="E503" s="2" t="s">
        <v>1983</v>
      </c>
      <c r="F503" s="2" t="s">
        <v>10</v>
      </c>
      <c r="G503" s="2" t="s">
        <v>11</v>
      </c>
      <c r="H503" s="2">
        <v>40000000</v>
      </c>
      <c r="I503" s="2">
        <v>6.7</v>
      </c>
      <c r="J503" s="3">
        <v>428535</v>
      </c>
      <c r="K503">
        <f t="shared" si="22"/>
        <v>1.3775047412552699E-3</v>
      </c>
      <c r="R503" s="12" t="str">
        <f ca="1">IFERROR(__xludf.DUMMYFUNCTION("""COMPUTED_VALUE"""),"A Sound of Thunder ")</f>
        <v>A Sound of Thunder </v>
      </c>
      <c r="S503" s="12">
        <f t="shared" si="23"/>
        <v>-16009936</v>
      </c>
    </row>
    <row r="504" spans="1:19" x14ac:dyDescent="0.3">
      <c r="A504" s="2" t="s">
        <v>2095</v>
      </c>
      <c r="B504" s="2">
        <v>100</v>
      </c>
      <c r="C504" s="3">
        <v>82569532</v>
      </c>
      <c r="D504" s="3" t="s">
        <v>5821</v>
      </c>
      <c r="E504" s="2" t="s">
        <v>2700</v>
      </c>
      <c r="F504" s="2" t="s">
        <v>10</v>
      </c>
      <c r="G504" s="2" t="s">
        <v>11</v>
      </c>
      <c r="H504" s="2">
        <v>24000000</v>
      </c>
      <c r="I504" s="2">
        <v>4.5999999999999996</v>
      </c>
      <c r="J504" s="3">
        <v>434417</v>
      </c>
      <c r="K504">
        <f t="shared" si="22"/>
        <v>1.3775047412552699E-3</v>
      </c>
      <c r="R504" s="12" t="str">
        <f ca="1">IFERROR(__xludf.DUMMYFUNCTION("""COMPUTED_VALUE"""),"Pompeii ")</f>
        <v>Pompeii </v>
      </c>
      <c r="S504" s="12">
        <f t="shared" si="23"/>
        <v>76149655</v>
      </c>
    </row>
    <row r="505" spans="1:19" x14ac:dyDescent="0.3">
      <c r="A505" s="2" t="s">
        <v>4791</v>
      </c>
      <c r="B505" s="2">
        <v>92</v>
      </c>
      <c r="C505" s="3">
        <v>63143812</v>
      </c>
      <c r="D505" s="3" t="s">
        <v>5869</v>
      </c>
      <c r="E505" s="2" t="s">
        <v>5605</v>
      </c>
      <c r="F505" s="2" t="s">
        <v>10</v>
      </c>
      <c r="G505" s="2" t="s">
        <v>16</v>
      </c>
      <c r="H505" s="2">
        <v>250000</v>
      </c>
      <c r="I505" s="2">
        <v>6.1</v>
      </c>
      <c r="J505" s="3">
        <v>439162</v>
      </c>
      <c r="K505">
        <f t="shared" si="22"/>
        <v>1.3775047412552699E-3</v>
      </c>
      <c r="R505" s="12" t="str">
        <f ca="1">IFERROR(__xludf.DUMMYFUNCTION("""COMPUTED_VALUE"""),"A Beautiful Mind ")</f>
        <v>A Beautiful Mind </v>
      </c>
      <c r="S505" s="12">
        <f t="shared" si="23"/>
        <v>142201106</v>
      </c>
    </row>
    <row r="506" spans="1:19" x14ac:dyDescent="0.3">
      <c r="A506" s="2" t="s">
        <v>642</v>
      </c>
      <c r="B506" s="2">
        <v>117</v>
      </c>
      <c r="C506" s="3">
        <v>139259759</v>
      </c>
      <c r="D506" s="3" t="s">
        <v>5972</v>
      </c>
      <c r="E506" s="2" t="s">
        <v>2873</v>
      </c>
      <c r="F506" s="2" t="s">
        <v>10</v>
      </c>
      <c r="G506" s="2" t="s">
        <v>11</v>
      </c>
      <c r="H506" s="2">
        <v>20000000</v>
      </c>
      <c r="I506" s="2">
        <v>7.1</v>
      </c>
      <c r="J506" s="3">
        <v>442638</v>
      </c>
      <c r="K506">
        <f t="shared" si="22"/>
        <v>1.3775047412552699E-3</v>
      </c>
      <c r="R506" s="12" t="str">
        <f ca="1">IFERROR(__xludf.DUMMYFUNCTION("""COMPUTED_VALUE"""),"The Lion King ")</f>
        <v>The Lion King </v>
      </c>
      <c r="S506" s="12">
        <f t="shared" si="23"/>
        <v>87285004</v>
      </c>
    </row>
    <row r="507" spans="1:19" x14ac:dyDescent="0.3">
      <c r="A507" s="2" t="s">
        <v>1443</v>
      </c>
      <c r="B507" s="2">
        <v>132</v>
      </c>
      <c r="C507" s="3">
        <v>115603980</v>
      </c>
      <c r="D507" s="3" t="s">
        <v>5973</v>
      </c>
      <c r="E507" s="2" t="s">
        <v>3633</v>
      </c>
      <c r="F507" s="2" t="s">
        <v>10</v>
      </c>
      <c r="G507" s="2" t="s">
        <v>504</v>
      </c>
      <c r="H507" s="2">
        <v>103000000</v>
      </c>
      <c r="I507" s="2">
        <v>7.3</v>
      </c>
      <c r="J507" s="3">
        <v>444044</v>
      </c>
      <c r="K507">
        <f t="shared" si="22"/>
        <v>1.3775047412552699E-3</v>
      </c>
      <c r="R507" s="12" t="str">
        <f ca="1">IFERROR(__xludf.DUMMYFUNCTION("""COMPUTED_VALUE"""),"Journey 2: The Mysterious Island ")</f>
        <v>Journey 2: The Mysterious Island </v>
      </c>
      <c r="S507" s="12">
        <f t="shared" si="23"/>
        <v>136614544</v>
      </c>
    </row>
    <row r="508" spans="1:19" x14ac:dyDescent="0.3">
      <c r="A508" s="2" t="s">
        <v>3194</v>
      </c>
      <c r="B508" s="2">
        <v>104</v>
      </c>
      <c r="C508" s="3">
        <v>48169908</v>
      </c>
      <c r="D508" s="3" t="s">
        <v>5974</v>
      </c>
      <c r="E508" s="2" t="s">
        <v>3195</v>
      </c>
      <c r="F508" s="2" t="s">
        <v>10</v>
      </c>
      <c r="G508" s="2" t="s">
        <v>71</v>
      </c>
      <c r="H508" s="2">
        <v>18000000</v>
      </c>
      <c r="I508" s="2">
        <v>7.1</v>
      </c>
      <c r="J508" s="3">
        <v>447750</v>
      </c>
      <c r="K508">
        <f t="shared" si="22"/>
        <v>1.3775047412552699E-3</v>
      </c>
      <c r="R508" s="12" t="str">
        <f ca="1">IFERROR(__xludf.DUMMYFUNCTION("""COMPUTED_VALUE"""),"Cloudy with a Chance of Meatballs 2 ")</f>
        <v>Cloudy with a Chance of Meatballs 2 </v>
      </c>
      <c r="S508" s="12">
        <f t="shared" si="23"/>
        <v>168406268</v>
      </c>
    </row>
    <row r="509" spans="1:19" x14ac:dyDescent="0.3">
      <c r="A509" s="2" t="s">
        <v>684</v>
      </c>
      <c r="B509" s="2">
        <v>101</v>
      </c>
      <c r="C509" s="3">
        <v>70083519</v>
      </c>
      <c r="D509" s="3" t="s">
        <v>5921</v>
      </c>
      <c r="E509" s="2" t="s">
        <v>3899</v>
      </c>
      <c r="F509" s="2" t="s">
        <v>10</v>
      </c>
      <c r="G509" s="2" t="s">
        <v>11</v>
      </c>
      <c r="H509" s="2">
        <v>11000000</v>
      </c>
      <c r="I509" s="2">
        <v>7.4</v>
      </c>
      <c r="J509" s="3">
        <v>449558</v>
      </c>
      <c r="K509">
        <f t="shared" si="22"/>
        <v>1.3775047412552699E-3</v>
      </c>
      <c r="R509" s="12" t="str">
        <f ca="1">IFERROR(__xludf.DUMMYFUNCTION("""COMPUTED_VALUE"""),"Red Dragon ")</f>
        <v>Red Dragon </v>
      </c>
      <c r="S509" s="12">
        <f t="shared" si="23"/>
        <v>2061228</v>
      </c>
    </row>
    <row r="510" spans="1:19" x14ac:dyDescent="0.3">
      <c r="A510" s="2" t="s">
        <v>3753</v>
      </c>
      <c r="B510" s="2">
        <v>105</v>
      </c>
      <c r="C510" s="3">
        <v>67263182</v>
      </c>
      <c r="D510" s="3" t="s">
        <v>520</v>
      </c>
      <c r="E510" s="2" t="s">
        <v>3754</v>
      </c>
      <c r="F510" s="2" t="s">
        <v>10</v>
      </c>
      <c r="G510" s="2" t="s">
        <v>11</v>
      </c>
      <c r="H510" s="2">
        <v>10500000</v>
      </c>
      <c r="I510" s="2">
        <v>6.7</v>
      </c>
      <c r="J510" s="3">
        <v>453079</v>
      </c>
      <c r="K510">
        <f t="shared" si="22"/>
        <v>1.3775047412552699E-3</v>
      </c>
      <c r="R510" s="12" t="str">
        <f ca="1">IFERROR(__xludf.DUMMYFUNCTION("""COMPUTED_VALUE"""),"Hidalgo ")</f>
        <v>Hidalgo </v>
      </c>
      <c r="S510" s="12">
        <f t="shared" si="23"/>
        <v>160418803</v>
      </c>
    </row>
    <row r="511" spans="1:19" x14ac:dyDescent="0.3">
      <c r="A511" s="2" t="s">
        <v>295</v>
      </c>
      <c r="B511" s="2">
        <v>87</v>
      </c>
      <c r="C511" s="3">
        <v>58571513</v>
      </c>
      <c r="D511" s="3" t="s">
        <v>5940</v>
      </c>
      <c r="E511" s="2" t="s">
        <v>2128</v>
      </c>
      <c r="F511" s="2" t="s">
        <v>10</v>
      </c>
      <c r="G511" s="2" t="s">
        <v>504</v>
      </c>
      <c r="H511" s="2">
        <v>32000000</v>
      </c>
      <c r="I511" s="2">
        <v>6.3</v>
      </c>
      <c r="J511" s="3">
        <v>454255</v>
      </c>
      <c r="K511">
        <f t="shared" si="22"/>
        <v>1.3775047412552699E-3</v>
      </c>
      <c r="R511" s="12" t="str">
        <f ca="1">IFERROR(__xludf.DUMMYFUNCTION("""COMPUTED_VALUE"""),"Jack and Jill ")</f>
        <v>Jack and Jill </v>
      </c>
      <c r="S511" s="12">
        <f t="shared" si="23"/>
        <v>95374107</v>
      </c>
    </row>
    <row r="512" spans="1:19" x14ac:dyDescent="0.3">
      <c r="A512" s="2" t="s">
        <v>2939</v>
      </c>
      <c r="B512" s="2">
        <v>99</v>
      </c>
      <c r="C512" s="3">
        <v>133375846</v>
      </c>
      <c r="D512" s="3" t="s">
        <v>5975</v>
      </c>
      <c r="E512" s="2" t="s">
        <v>2940</v>
      </c>
      <c r="F512" s="2" t="s">
        <v>10</v>
      </c>
      <c r="G512" s="2" t="s">
        <v>11</v>
      </c>
      <c r="H512" s="2">
        <v>20000000</v>
      </c>
      <c r="I512" s="2">
        <v>5.9</v>
      </c>
      <c r="J512" s="3">
        <v>464126</v>
      </c>
      <c r="K512">
        <f t="shared" si="22"/>
        <v>1.3775047412552699E-3</v>
      </c>
      <c r="R512" s="12" t="str">
        <f ca="1">IFERROR(__xludf.DUMMYFUNCTION("""COMPUTED_VALUE"""),"2 Fast 2 Furious ")</f>
        <v>2 Fast 2 Furious </v>
      </c>
      <c r="S512" s="12">
        <f t="shared" si="23"/>
        <v>107735247</v>
      </c>
    </row>
    <row r="513" spans="1:19" x14ac:dyDescent="0.3">
      <c r="A513" s="2" t="s">
        <v>603</v>
      </c>
      <c r="B513" s="2">
        <v>97</v>
      </c>
      <c r="C513" s="3">
        <v>133228348</v>
      </c>
      <c r="D513" s="3" t="s">
        <v>5799</v>
      </c>
      <c r="E513" s="2" t="s">
        <v>1223</v>
      </c>
      <c r="F513" s="2" t="s">
        <v>10</v>
      </c>
      <c r="G513" s="2" t="s">
        <v>11</v>
      </c>
      <c r="H513" s="2">
        <v>55000000</v>
      </c>
      <c r="I513" s="2">
        <v>6.3</v>
      </c>
      <c r="J513" s="3">
        <v>464655</v>
      </c>
      <c r="K513">
        <f t="shared" si="22"/>
        <v>1.3775047412552699E-3</v>
      </c>
      <c r="R513" s="12" t="str">
        <f ca="1">IFERROR(__xludf.DUMMYFUNCTION("""COMPUTED_VALUE"""),"The Little Prince ")</f>
        <v>The Little Prince </v>
      </c>
      <c r="S513" s="12">
        <f t="shared" si="23"/>
        <v>50494975</v>
      </c>
    </row>
    <row r="514" spans="1:19" x14ac:dyDescent="0.3">
      <c r="A514" s="2" t="s">
        <v>3104</v>
      </c>
      <c r="B514" s="2">
        <v>85</v>
      </c>
      <c r="C514" s="3">
        <v>180965237</v>
      </c>
      <c r="D514" s="3" t="s">
        <v>5976</v>
      </c>
      <c r="E514" s="2" t="s">
        <v>3105</v>
      </c>
      <c r="F514" s="2" t="s">
        <v>10</v>
      </c>
      <c r="G514" s="2" t="s">
        <v>16</v>
      </c>
      <c r="H514" s="2">
        <v>19000000</v>
      </c>
      <c r="I514" s="2">
        <v>3.6</v>
      </c>
      <c r="J514" s="3">
        <v>469947</v>
      </c>
      <c r="K514">
        <f t="shared" ref="K514:K577" si="24">CORREL(H$2:H$3941,J$2:J$3941)</f>
        <v>1.3775047412552699E-3</v>
      </c>
      <c r="R514" s="12" t="str">
        <f ca="1">IFERROR(__xludf.DUMMYFUNCTION("""COMPUTED_VALUE"""),"The Invasion ")</f>
        <v>The Invasion </v>
      </c>
      <c r="S514" s="12">
        <f t="shared" si="23"/>
        <v>60101713</v>
      </c>
    </row>
    <row r="515" spans="1:19" x14ac:dyDescent="0.3">
      <c r="A515" s="2" t="s">
        <v>222</v>
      </c>
      <c r="B515" s="2">
        <v>105</v>
      </c>
      <c r="C515" s="3">
        <v>102922376</v>
      </c>
      <c r="D515" s="3" t="s">
        <v>5779</v>
      </c>
      <c r="E515" s="2" t="s">
        <v>1095</v>
      </c>
      <c r="F515" s="2" t="s">
        <v>10</v>
      </c>
      <c r="G515" s="2" t="s">
        <v>11</v>
      </c>
      <c r="H515" s="2">
        <v>60000000</v>
      </c>
      <c r="I515" s="2">
        <v>6.2</v>
      </c>
      <c r="J515" s="3">
        <v>475000</v>
      </c>
      <c r="K515">
        <f t="shared" si="24"/>
        <v>1.3775047412552699E-3</v>
      </c>
      <c r="R515" s="12" t="str">
        <f ca="1">IFERROR(__xludf.DUMMYFUNCTION("""COMPUTED_VALUE"""),"The Adventures of Rocky &amp; Bullwinkle ")</f>
        <v>The Adventures of Rocky &amp; Bullwinkle </v>
      </c>
      <c r="S515" s="12">
        <f t="shared" si="23"/>
        <v>82915214</v>
      </c>
    </row>
    <row r="516" spans="1:19" x14ac:dyDescent="0.3">
      <c r="A516" s="2" t="s">
        <v>1902</v>
      </c>
      <c r="B516" s="2">
        <v>107</v>
      </c>
      <c r="C516" s="3">
        <v>32051917</v>
      </c>
      <c r="D516" s="3" t="s">
        <v>5977</v>
      </c>
      <c r="E516" s="2" t="s">
        <v>1903</v>
      </c>
      <c r="F516" s="2" t="s">
        <v>10</v>
      </c>
      <c r="G516" s="2" t="s">
        <v>11</v>
      </c>
      <c r="H516" s="2">
        <v>37000000</v>
      </c>
      <c r="I516" s="2">
        <v>5.6</v>
      </c>
      <c r="J516" s="3">
        <v>476270</v>
      </c>
      <c r="K516">
        <f t="shared" si="24"/>
        <v>1.3775047412552699E-3</v>
      </c>
      <c r="R516" s="12" t="str">
        <f ca="1">IFERROR(__xludf.DUMMYFUNCTION("""COMPUTED_VALUE"""),"The Secret Life of Pets ")</f>
        <v>The Secret Life of Pets </v>
      </c>
      <c r="S516" s="12">
        <f t="shared" si="23"/>
        <v>-34184712</v>
      </c>
    </row>
    <row r="517" spans="1:19" x14ac:dyDescent="0.3">
      <c r="A517" s="2" t="s">
        <v>1386</v>
      </c>
      <c r="B517" s="2">
        <v>102</v>
      </c>
      <c r="C517" s="3">
        <v>18860403</v>
      </c>
      <c r="D517" s="3" t="s">
        <v>5978</v>
      </c>
      <c r="E517" s="2" t="s">
        <v>3782</v>
      </c>
      <c r="F517" s="2" t="s">
        <v>10</v>
      </c>
      <c r="G517" s="2" t="s">
        <v>11</v>
      </c>
      <c r="H517" s="2">
        <v>12000000</v>
      </c>
      <c r="I517" s="2">
        <v>6.6</v>
      </c>
      <c r="J517" s="3">
        <v>480314</v>
      </c>
      <c r="K517">
        <f t="shared" si="24"/>
        <v>1.3775047412552699E-3</v>
      </c>
      <c r="R517" s="12" t="str">
        <f ca="1">IFERROR(__xludf.DUMMYFUNCTION("""COMPUTED_VALUE"""),"The League of Extraordinary Gentlemen ")</f>
        <v>The League of Extraordinary Gentlemen </v>
      </c>
      <c r="S517" s="12">
        <f t="shared" si="23"/>
        <v>31869871</v>
      </c>
    </row>
    <row r="518" spans="1:19" x14ac:dyDescent="0.3">
      <c r="A518" s="2" t="s">
        <v>346</v>
      </c>
      <c r="B518" s="2">
        <v>107</v>
      </c>
      <c r="C518" s="3">
        <v>134141530</v>
      </c>
      <c r="D518" s="3" t="s">
        <v>5961</v>
      </c>
      <c r="E518" s="2" t="s">
        <v>3145</v>
      </c>
      <c r="F518" s="2" t="s">
        <v>10</v>
      </c>
      <c r="G518" s="2" t="s">
        <v>11</v>
      </c>
      <c r="H518" s="2">
        <v>15000000</v>
      </c>
      <c r="I518" s="2">
        <v>7.8</v>
      </c>
      <c r="J518" s="3">
        <v>484221</v>
      </c>
      <c r="K518">
        <f t="shared" si="24"/>
        <v>1.3775047412552699E-3</v>
      </c>
      <c r="R518" s="12" t="str">
        <f ca="1">IFERROR(__xludf.DUMMYFUNCTION("""COMPUTED_VALUE"""),"Despicable Me 2 ")</f>
        <v>Despicable Me 2 </v>
      </c>
      <c r="S518" s="12">
        <f t="shared" si="23"/>
        <v>107654900</v>
      </c>
    </row>
    <row r="519" spans="1:19" x14ac:dyDescent="0.3">
      <c r="A519" s="2" t="s">
        <v>3030</v>
      </c>
      <c r="B519" s="2">
        <v>77</v>
      </c>
      <c r="C519" s="3">
        <v>55994557</v>
      </c>
      <c r="D519" s="3" t="s">
        <v>5891</v>
      </c>
      <c r="E519" s="2" t="s">
        <v>3031</v>
      </c>
      <c r="F519" s="2" t="s">
        <v>10</v>
      </c>
      <c r="G519" s="2" t="s">
        <v>11</v>
      </c>
      <c r="H519" s="3">
        <v>173005002</v>
      </c>
      <c r="I519" s="2">
        <v>2.8</v>
      </c>
      <c r="J519" s="3">
        <v>488872</v>
      </c>
      <c r="K519">
        <f t="shared" si="24"/>
        <v>1.3775047412552699E-3</v>
      </c>
      <c r="R519" s="12" t="str">
        <f ca="1">IFERROR(__xludf.DUMMYFUNCTION("""COMPUTED_VALUE"""),"Independence Day ")</f>
        <v>Independence Day </v>
      </c>
      <c r="S519" s="12">
        <f t="shared" si="23"/>
        <v>70348920</v>
      </c>
    </row>
    <row r="520" spans="1:19" x14ac:dyDescent="0.3">
      <c r="A520" s="2" t="s">
        <v>1674</v>
      </c>
      <c r="B520" s="2">
        <v>129</v>
      </c>
      <c r="C520" s="3">
        <v>173585516</v>
      </c>
      <c r="D520" s="3" t="s">
        <v>5979</v>
      </c>
      <c r="E520" s="2" t="s">
        <v>1675</v>
      </c>
      <c r="F520" s="2" t="s">
        <v>10</v>
      </c>
      <c r="G520" s="2" t="s">
        <v>11</v>
      </c>
      <c r="H520" s="2">
        <v>40000000</v>
      </c>
      <c r="I520" s="2">
        <v>6.4</v>
      </c>
      <c r="J520" s="3">
        <v>489220</v>
      </c>
      <c r="K520">
        <f t="shared" si="24"/>
        <v>1.3775047412552699E-3</v>
      </c>
      <c r="R520" s="12" t="str">
        <f ca="1">IFERROR(__xludf.DUMMYFUNCTION("""COMPUTED_VALUE"""),"The Lost World: Jurassic Park ")</f>
        <v>The Lost World: Jurassic Park </v>
      </c>
      <c r="S520" s="12">
        <f t="shared" si="23"/>
        <v>-183031653</v>
      </c>
    </row>
    <row r="521" spans="1:19" x14ac:dyDescent="0.3">
      <c r="A521" s="2" t="s">
        <v>1527</v>
      </c>
      <c r="B521" s="2">
        <v>110</v>
      </c>
      <c r="C521" s="3">
        <v>21483154</v>
      </c>
      <c r="D521" s="3" t="s">
        <v>5864</v>
      </c>
      <c r="E521" s="2" t="s">
        <v>1534</v>
      </c>
      <c r="F521" s="2" t="s">
        <v>10</v>
      </c>
      <c r="G521" s="2" t="s">
        <v>1535</v>
      </c>
      <c r="H521" s="2">
        <v>45000000</v>
      </c>
      <c r="I521" s="2">
        <v>5.4</v>
      </c>
      <c r="J521" s="3">
        <v>499263</v>
      </c>
      <c r="K521">
        <f t="shared" si="24"/>
        <v>1.3775047412552699E-3</v>
      </c>
      <c r="R521" s="12" t="str">
        <f ca="1">IFERROR(__xludf.DUMMYFUNCTION("""COMPUTED_VALUE"""),"Madagascar ")</f>
        <v>Madagascar </v>
      </c>
      <c r="S521" s="12">
        <f t="shared" si="23"/>
        <v>57111837</v>
      </c>
    </row>
    <row r="522" spans="1:19" x14ac:dyDescent="0.3">
      <c r="A522" s="2" t="s">
        <v>1233</v>
      </c>
      <c r="B522" s="2">
        <v>135</v>
      </c>
      <c r="C522" s="3">
        <v>116593191</v>
      </c>
      <c r="D522" s="3" t="s">
        <v>5849</v>
      </c>
      <c r="E522" s="2" t="s">
        <v>1234</v>
      </c>
      <c r="F522" s="2" t="s">
        <v>10</v>
      </c>
      <c r="G522" s="2" t="s">
        <v>11</v>
      </c>
      <c r="H522" s="2">
        <v>55000000</v>
      </c>
      <c r="I522" s="2">
        <v>6.3</v>
      </c>
      <c r="J522" s="3">
        <v>505295</v>
      </c>
      <c r="K522">
        <f t="shared" si="24"/>
        <v>1.3775047412552699E-3</v>
      </c>
      <c r="R522" s="12" t="str">
        <f ca="1">IFERROR(__xludf.DUMMYFUNCTION("""COMPUTED_VALUE"""),"Children of Men ")</f>
        <v>Children of Men </v>
      </c>
      <c r="S522" s="12">
        <f t="shared" si="23"/>
        <v>19518352</v>
      </c>
    </row>
    <row r="523" spans="1:19" x14ac:dyDescent="0.3">
      <c r="A523" s="2" t="s">
        <v>2035</v>
      </c>
      <c r="B523" s="2">
        <v>115</v>
      </c>
      <c r="C523" s="3">
        <v>11784000</v>
      </c>
      <c r="D523" s="3" t="s">
        <v>5980</v>
      </c>
      <c r="E523" s="2" t="s">
        <v>2392</v>
      </c>
      <c r="F523" s="2" t="s">
        <v>10</v>
      </c>
      <c r="G523" s="2" t="s">
        <v>11</v>
      </c>
      <c r="H523" s="2">
        <v>28000000</v>
      </c>
      <c r="I523" s="2">
        <v>6.7</v>
      </c>
      <c r="J523" s="3">
        <v>511920</v>
      </c>
      <c r="K523">
        <f t="shared" si="24"/>
        <v>1.3775047412552699E-3</v>
      </c>
      <c r="R523" s="12" t="str">
        <f ca="1">IFERROR(__xludf.DUMMYFUNCTION("""COMPUTED_VALUE"""),"X-Men ")</f>
        <v>X-Men </v>
      </c>
      <c r="S523" s="12">
        <f t="shared" si="23"/>
        <v>173655278</v>
      </c>
    </row>
    <row r="524" spans="1:19" x14ac:dyDescent="0.3">
      <c r="A524" s="2" t="s">
        <v>2248</v>
      </c>
      <c r="B524" s="2">
        <v>93</v>
      </c>
      <c r="C524" s="3">
        <v>82528097</v>
      </c>
      <c r="D524" s="3" t="s">
        <v>5981</v>
      </c>
      <c r="E524" s="2" t="s">
        <v>2899</v>
      </c>
      <c r="F524" s="2" t="s">
        <v>10</v>
      </c>
      <c r="G524" s="2" t="s">
        <v>11</v>
      </c>
      <c r="H524" s="2">
        <v>20000000</v>
      </c>
      <c r="I524" s="2">
        <v>2.2999999999999998</v>
      </c>
      <c r="J524" s="3">
        <v>513836</v>
      </c>
      <c r="K524">
        <f t="shared" si="24"/>
        <v>1.3775047412552699E-3</v>
      </c>
      <c r="R524" s="12" t="str">
        <f ca="1">IFERROR(__xludf.DUMMYFUNCTION("""COMPUTED_VALUE"""),"Wanted ")</f>
        <v>Wanted </v>
      </c>
      <c r="S524" s="12">
        <f t="shared" si="23"/>
        <v>118192114</v>
      </c>
    </row>
    <row r="525" spans="1:19" x14ac:dyDescent="0.3">
      <c r="A525" s="2" t="s">
        <v>1191</v>
      </c>
      <c r="B525" s="2">
        <v>123</v>
      </c>
      <c r="C525" s="3">
        <v>148085755</v>
      </c>
      <c r="D525" s="3" t="s">
        <v>5982</v>
      </c>
      <c r="E525" s="2" t="s">
        <v>2469</v>
      </c>
      <c r="F525" s="2" t="s">
        <v>10</v>
      </c>
      <c r="G525" s="2" t="s">
        <v>11</v>
      </c>
      <c r="H525" s="2">
        <v>25000000</v>
      </c>
      <c r="I525" s="2">
        <v>7.2</v>
      </c>
      <c r="J525" s="3">
        <v>515005</v>
      </c>
      <c r="K525">
        <f t="shared" si="24"/>
        <v>1.3775047412552699E-3</v>
      </c>
      <c r="R525" s="12" t="str">
        <f ca="1">IFERROR(__xludf.DUMMYFUNCTION("""COMPUTED_VALUE"""),"The Rock ")</f>
        <v>The Rock </v>
      </c>
      <c r="S525" s="12">
        <f t="shared" si="23"/>
        <v>93382309</v>
      </c>
    </row>
    <row r="526" spans="1:19" x14ac:dyDescent="0.3">
      <c r="A526" s="2" t="s">
        <v>50</v>
      </c>
      <c r="B526" s="2">
        <v>150</v>
      </c>
      <c r="C526" s="3">
        <v>40158000</v>
      </c>
      <c r="D526" s="3" t="s">
        <v>5983</v>
      </c>
      <c r="E526" s="2" t="s">
        <v>270</v>
      </c>
      <c r="F526" s="2" t="s">
        <v>10</v>
      </c>
      <c r="G526" s="2" t="s">
        <v>16</v>
      </c>
      <c r="H526" s="2">
        <v>140000000</v>
      </c>
      <c r="I526" s="2">
        <v>6.1</v>
      </c>
      <c r="J526" s="3">
        <v>529766</v>
      </c>
      <c r="K526">
        <f t="shared" si="24"/>
        <v>1.3775047412552699E-3</v>
      </c>
      <c r="R526" s="12" t="str">
        <f ca="1">IFERROR(__xludf.DUMMYFUNCTION("""COMPUTED_VALUE"""),"Ice Age: The Meltdown ")</f>
        <v>Ice Age: The Meltdown </v>
      </c>
      <c r="S526" s="12">
        <f t="shared" si="23"/>
        <v>58569532</v>
      </c>
    </row>
    <row r="527" spans="1:19" x14ac:dyDescent="0.3">
      <c r="A527" s="2" t="s">
        <v>3424</v>
      </c>
      <c r="B527" s="2">
        <v>109</v>
      </c>
      <c r="C527" s="3">
        <v>31899000</v>
      </c>
      <c r="D527" s="3" t="s">
        <v>5984</v>
      </c>
      <c r="E527" s="2" t="s">
        <v>4372</v>
      </c>
      <c r="F527" s="2" t="s">
        <v>10</v>
      </c>
      <c r="G527" s="2" t="s">
        <v>11</v>
      </c>
      <c r="H527" s="2">
        <v>7000000</v>
      </c>
      <c r="I527" s="2">
        <v>6.9</v>
      </c>
      <c r="J527" s="3">
        <v>531009</v>
      </c>
      <c r="K527">
        <f t="shared" si="24"/>
        <v>1.3775047412552699E-3</v>
      </c>
      <c r="R527" s="12" t="str">
        <f ca="1">IFERROR(__xludf.DUMMYFUNCTION("""COMPUTED_VALUE"""),"50 First Dates ")</f>
        <v>50 First Dates </v>
      </c>
      <c r="S527" s="12">
        <f t="shared" si="23"/>
        <v>62893812</v>
      </c>
    </row>
    <row r="528" spans="1:19" x14ac:dyDescent="0.3">
      <c r="A528" s="2" t="s">
        <v>516</v>
      </c>
      <c r="B528" s="2">
        <v>85</v>
      </c>
      <c r="C528" s="3">
        <v>62318875</v>
      </c>
      <c r="D528" s="3" t="s">
        <v>5930</v>
      </c>
      <c r="E528" s="2" t="s">
        <v>1221</v>
      </c>
      <c r="F528" s="2" t="s">
        <v>10</v>
      </c>
      <c r="G528" s="2" t="s">
        <v>11</v>
      </c>
      <c r="H528" s="2">
        <v>55000000</v>
      </c>
      <c r="I528" s="2">
        <v>6.4</v>
      </c>
      <c r="J528" s="3">
        <v>532190</v>
      </c>
      <c r="K528">
        <f t="shared" si="24"/>
        <v>1.3775047412552699E-3</v>
      </c>
      <c r="R528" s="12" t="str">
        <f ca="1">IFERROR(__xludf.DUMMYFUNCTION("""COMPUTED_VALUE"""),"Hairspray ")</f>
        <v>Hairspray </v>
      </c>
      <c r="S528" s="12">
        <f t="shared" si="23"/>
        <v>119259759</v>
      </c>
    </row>
    <row r="529" spans="1:19" x14ac:dyDescent="0.3">
      <c r="A529" s="2" t="s">
        <v>4274</v>
      </c>
      <c r="B529" s="2">
        <v>92</v>
      </c>
      <c r="C529" s="3">
        <v>67253092</v>
      </c>
      <c r="D529" s="3" t="s">
        <v>5985</v>
      </c>
      <c r="E529" s="2" t="s">
        <v>4275</v>
      </c>
      <c r="F529" s="2" t="s">
        <v>10</v>
      </c>
      <c r="G529" s="2" t="s">
        <v>11</v>
      </c>
      <c r="H529" s="2">
        <v>8000000</v>
      </c>
      <c r="I529" s="2">
        <v>5.3</v>
      </c>
      <c r="J529" s="3">
        <v>532988</v>
      </c>
      <c r="K529">
        <f t="shared" si="24"/>
        <v>1.3775047412552699E-3</v>
      </c>
      <c r="R529" s="12" t="str">
        <f ca="1">IFERROR(__xludf.DUMMYFUNCTION("""COMPUTED_VALUE"""),"Exorcist: The Beginning ")</f>
        <v>Exorcist: The Beginning </v>
      </c>
      <c r="S529" s="12">
        <f t="shared" si="23"/>
        <v>12603980</v>
      </c>
    </row>
    <row r="530" spans="1:19" x14ac:dyDescent="0.3">
      <c r="A530" s="2" t="s">
        <v>31</v>
      </c>
      <c r="B530" s="2">
        <v>144</v>
      </c>
      <c r="C530" s="3">
        <v>112225777</v>
      </c>
      <c r="D530" s="3" t="s">
        <v>5776</v>
      </c>
      <c r="E530" s="2" t="s">
        <v>120</v>
      </c>
      <c r="F530" s="2" t="s">
        <v>10</v>
      </c>
      <c r="G530" s="2" t="s">
        <v>11</v>
      </c>
      <c r="H530" s="2">
        <v>178000000</v>
      </c>
      <c r="I530" s="2">
        <v>7.3</v>
      </c>
      <c r="J530" s="3">
        <v>535249</v>
      </c>
      <c r="K530">
        <f t="shared" si="24"/>
        <v>1.3775047412552699E-3</v>
      </c>
      <c r="R530" s="12" t="str">
        <f ca="1">IFERROR(__xludf.DUMMYFUNCTION("""COMPUTED_VALUE"""),"Inspector Gadget ")</f>
        <v>Inspector Gadget </v>
      </c>
      <c r="S530" s="12">
        <f t="shared" si="23"/>
        <v>30169908</v>
      </c>
    </row>
    <row r="531" spans="1:19" x14ac:dyDescent="0.3">
      <c r="A531" s="2" t="s">
        <v>802</v>
      </c>
      <c r="B531" s="2">
        <v>132</v>
      </c>
      <c r="C531" s="3">
        <v>186830669</v>
      </c>
      <c r="D531" s="3" t="s">
        <v>5986</v>
      </c>
      <c r="E531" s="2" t="s">
        <v>1211</v>
      </c>
      <c r="F531" s="2" t="s">
        <v>10</v>
      </c>
      <c r="G531" s="2" t="s">
        <v>11</v>
      </c>
      <c r="H531" s="2">
        <v>55000000</v>
      </c>
      <c r="I531" s="2">
        <v>7.2</v>
      </c>
      <c r="J531" s="3">
        <v>536767</v>
      </c>
      <c r="K531">
        <f t="shared" si="24"/>
        <v>1.3775047412552699E-3</v>
      </c>
      <c r="R531" s="12" t="str">
        <f ca="1">IFERROR(__xludf.DUMMYFUNCTION("""COMPUTED_VALUE"""),"Now You See Me ")</f>
        <v>Now You See Me </v>
      </c>
      <c r="S531" s="12">
        <f t="shared" si="23"/>
        <v>59083519</v>
      </c>
    </row>
    <row r="532" spans="1:19" x14ac:dyDescent="0.3">
      <c r="A532" s="2" t="s">
        <v>3618</v>
      </c>
      <c r="B532" s="2">
        <v>86</v>
      </c>
      <c r="C532" s="3">
        <v>18934858</v>
      </c>
      <c r="D532" s="3" t="s">
        <v>5987</v>
      </c>
      <c r="E532" s="2" t="s">
        <v>3619</v>
      </c>
      <c r="F532" s="2" t="s">
        <v>10</v>
      </c>
      <c r="G532" s="2" t="s">
        <v>11</v>
      </c>
      <c r="H532" s="2">
        <v>14000000</v>
      </c>
      <c r="I532" s="2">
        <v>5.4</v>
      </c>
      <c r="J532" s="3">
        <v>537580</v>
      </c>
      <c r="K532">
        <f t="shared" si="24"/>
        <v>1.3775047412552699E-3</v>
      </c>
      <c r="R532" s="12" t="str">
        <f ca="1">IFERROR(__xludf.DUMMYFUNCTION("""COMPUTED_VALUE"""),"Grown Ups ")</f>
        <v>Grown Ups </v>
      </c>
      <c r="S532" s="12">
        <f t="shared" si="23"/>
        <v>56763182</v>
      </c>
    </row>
    <row r="533" spans="1:19" x14ac:dyDescent="0.3">
      <c r="A533" s="2" t="s">
        <v>1516</v>
      </c>
      <c r="B533" s="2">
        <v>139</v>
      </c>
      <c r="C533" s="3">
        <v>73343413</v>
      </c>
      <c r="D533" s="3" t="s">
        <v>5799</v>
      </c>
      <c r="E533" s="2" t="s">
        <v>4434</v>
      </c>
      <c r="F533" s="2" t="s">
        <v>751</v>
      </c>
      <c r="G533" s="2" t="s">
        <v>71</v>
      </c>
      <c r="H533" s="2">
        <v>6800000</v>
      </c>
      <c r="I533" s="2">
        <v>8.1999999999999993</v>
      </c>
      <c r="J533" s="3">
        <v>542860</v>
      </c>
      <c r="K533">
        <f t="shared" si="24"/>
        <v>1.3775047412552699E-3</v>
      </c>
      <c r="R533" s="12" t="str">
        <f ca="1">IFERROR(__xludf.DUMMYFUNCTION("""COMPUTED_VALUE"""),"The Terminal ")</f>
        <v>The Terminal </v>
      </c>
      <c r="S533" s="12">
        <f t="shared" si="23"/>
        <v>26571513</v>
      </c>
    </row>
    <row r="534" spans="1:19" x14ac:dyDescent="0.3">
      <c r="A534" s="2" t="s">
        <v>2634</v>
      </c>
      <c r="B534" s="2">
        <v>85</v>
      </c>
      <c r="C534" s="3">
        <v>133103929</v>
      </c>
      <c r="D534" s="3" t="s">
        <v>5919</v>
      </c>
      <c r="E534" s="2" t="s">
        <v>2635</v>
      </c>
      <c r="F534" s="2" t="s">
        <v>10</v>
      </c>
      <c r="G534" s="2" t="s">
        <v>11</v>
      </c>
      <c r="H534" s="2">
        <v>25000000</v>
      </c>
      <c r="I534" s="2">
        <v>5.0999999999999996</v>
      </c>
      <c r="J534" s="3">
        <v>548712</v>
      </c>
      <c r="K534">
        <f t="shared" si="24"/>
        <v>1.3775047412552699E-3</v>
      </c>
      <c r="R534" s="12" t="str">
        <f ca="1">IFERROR(__xludf.DUMMYFUNCTION("""COMPUTED_VALUE"""),"Hotel for Dogs ")</f>
        <v>Hotel for Dogs </v>
      </c>
      <c r="S534" s="12">
        <f t="shared" si="23"/>
        <v>113375846</v>
      </c>
    </row>
    <row r="535" spans="1:19" x14ac:dyDescent="0.3">
      <c r="A535" s="2" t="s">
        <v>3487</v>
      </c>
      <c r="B535" s="2">
        <v>101</v>
      </c>
      <c r="C535" s="3">
        <v>48154732</v>
      </c>
      <c r="D535" s="3" t="s">
        <v>5837</v>
      </c>
      <c r="E535" s="2" t="s">
        <v>3488</v>
      </c>
      <c r="F535" s="2" t="s">
        <v>10</v>
      </c>
      <c r="G535" s="2" t="s">
        <v>11</v>
      </c>
      <c r="H535" s="2">
        <v>15000000</v>
      </c>
      <c r="I535" s="2">
        <v>4.5999999999999996</v>
      </c>
      <c r="J535" s="3">
        <v>548934</v>
      </c>
      <c r="K535">
        <f t="shared" si="24"/>
        <v>1.3775047412552699E-3</v>
      </c>
      <c r="R535" s="12" t="str">
        <f ca="1">IFERROR(__xludf.DUMMYFUNCTION("""COMPUTED_VALUE"""),"Vertical Limit ")</f>
        <v>Vertical Limit </v>
      </c>
      <c r="S535" s="12">
        <f t="shared" si="23"/>
        <v>78228348</v>
      </c>
    </row>
    <row r="536" spans="1:19" x14ac:dyDescent="0.3">
      <c r="A536" s="2" t="s">
        <v>909</v>
      </c>
      <c r="B536" s="2">
        <v>117</v>
      </c>
      <c r="C536" s="3">
        <v>88761720</v>
      </c>
      <c r="D536" s="3" t="s">
        <v>5988</v>
      </c>
      <c r="E536" s="2" t="s">
        <v>2595</v>
      </c>
      <c r="F536" s="2" t="s">
        <v>10</v>
      </c>
      <c r="G536" s="2" t="s">
        <v>11</v>
      </c>
      <c r="H536" s="2">
        <v>27000000</v>
      </c>
      <c r="I536" s="2">
        <v>6.9</v>
      </c>
      <c r="J536" s="3">
        <v>562059</v>
      </c>
      <c r="K536">
        <f t="shared" si="24"/>
        <v>1.3775047412552699E-3</v>
      </c>
      <c r="R536" s="12" t="str">
        <f ca="1">IFERROR(__xludf.DUMMYFUNCTION("""COMPUTED_VALUE"""),"Charlie Wilson's War ")</f>
        <v>Charlie Wilson's War </v>
      </c>
      <c r="S536" s="12">
        <f t="shared" si="23"/>
        <v>161965237</v>
      </c>
    </row>
    <row r="537" spans="1:19" x14ac:dyDescent="0.3">
      <c r="A537" s="2" t="s">
        <v>3473</v>
      </c>
      <c r="B537" s="2">
        <v>112</v>
      </c>
      <c r="C537" s="3">
        <v>62453315</v>
      </c>
      <c r="D537" s="3" t="s">
        <v>5921</v>
      </c>
      <c r="E537" s="2" t="s">
        <v>5299</v>
      </c>
      <c r="F537" s="2" t="s">
        <v>10</v>
      </c>
      <c r="G537" s="2" t="s">
        <v>11</v>
      </c>
      <c r="H537" s="2">
        <v>3500000</v>
      </c>
      <c r="I537" s="2">
        <v>7.4</v>
      </c>
      <c r="J537" s="3">
        <v>568695</v>
      </c>
      <c r="K537">
        <f t="shared" si="24"/>
        <v>1.3775047412552699E-3</v>
      </c>
      <c r="R537" s="12" t="str">
        <f ca="1">IFERROR(__xludf.DUMMYFUNCTION("""COMPUTED_VALUE"""),"Shark Tale ")</f>
        <v>Shark Tale </v>
      </c>
      <c r="S537" s="12">
        <f t="shared" ref="S537:S600" si="25">C515-H515</f>
        <v>42922376</v>
      </c>
    </row>
    <row r="538" spans="1:19" x14ac:dyDescent="0.3">
      <c r="A538" s="2" t="s">
        <v>544</v>
      </c>
      <c r="B538" s="2">
        <v>106</v>
      </c>
      <c r="C538" s="3">
        <v>55973336</v>
      </c>
      <c r="D538" s="3" t="s">
        <v>5919</v>
      </c>
      <c r="E538" s="2" t="s">
        <v>1706</v>
      </c>
      <c r="F538" s="2" t="s">
        <v>10</v>
      </c>
      <c r="G538" s="2" t="s">
        <v>11</v>
      </c>
      <c r="H538" s="2">
        <v>40000000</v>
      </c>
      <c r="I538" s="2">
        <v>6.4</v>
      </c>
      <c r="J538" s="3">
        <v>578527</v>
      </c>
      <c r="K538">
        <f t="shared" si="24"/>
        <v>1.3775047412552699E-3</v>
      </c>
      <c r="R538" s="12" t="str">
        <f ca="1">IFERROR(__xludf.DUMMYFUNCTION("""COMPUTED_VALUE"""),"Dreamgirls ")</f>
        <v>Dreamgirls </v>
      </c>
      <c r="S538" s="12">
        <f t="shared" si="25"/>
        <v>-4948083</v>
      </c>
    </row>
    <row r="539" spans="1:19" x14ac:dyDescent="0.3">
      <c r="A539" s="2" t="s">
        <v>2889</v>
      </c>
      <c r="B539" s="2">
        <v>128</v>
      </c>
      <c r="C539" s="3">
        <v>132550960</v>
      </c>
      <c r="D539" s="3" t="s">
        <v>5989</v>
      </c>
      <c r="E539" s="2" t="s">
        <v>2890</v>
      </c>
      <c r="F539" s="2" t="s">
        <v>10</v>
      </c>
      <c r="G539" s="2" t="s">
        <v>16</v>
      </c>
      <c r="H539" s="2">
        <v>20000000</v>
      </c>
      <c r="I539" s="2">
        <v>7.5</v>
      </c>
      <c r="J539" s="3">
        <v>582024</v>
      </c>
      <c r="K539">
        <f t="shared" si="24"/>
        <v>1.3775047412552699E-3</v>
      </c>
      <c r="R539" s="12" t="str">
        <f ca="1">IFERROR(__xludf.DUMMYFUNCTION("""COMPUTED_VALUE"""),"Be Cool ")</f>
        <v>Be Cool </v>
      </c>
      <c r="S539" s="12">
        <f t="shared" si="25"/>
        <v>6860403</v>
      </c>
    </row>
    <row r="540" spans="1:19" x14ac:dyDescent="0.3">
      <c r="A540" s="2" t="s">
        <v>1661</v>
      </c>
      <c r="B540" s="2">
        <v>99</v>
      </c>
      <c r="C540" s="3">
        <v>162831698</v>
      </c>
      <c r="D540" s="3" t="s">
        <v>5990</v>
      </c>
      <c r="E540" s="2" t="s">
        <v>4317</v>
      </c>
      <c r="F540" s="2" t="s">
        <v>10</v>
      </c>
      <c r="G540" s="2" t="s">
        <v>11</v>
      </c>
      <c r="H540" s="2">
        <v>7500000</v>
      </c>
      <c r="I540" s="2">
        <v>7.4</v>
      </c>
      <c r="J540" s="3">
        <v>592014</v>
      </c>
      <c r="K540">
        <f t="shared" si="24"/>
        <v>1.3775047412552699E-3</v>
      </c>
      <c r="R540" s="12" t="str">
        <f ca="1">IFERROR(__xludf.DUMMYFUNCTION("""COMPUTED_VALUE"""),"Munich ")</f>
        <v>Munich </v>
      </c>
      <c r="S540" s="12">
        <f t="shared" si="25"/>
        <v>119141530</v>
      </c>
    </row>
    <row r="541" spans="1:19" x14ac:dyDescent="0.3">
      <c r="A541" s="2" t="s">
        <v>1750</v>
      </c>
      <c r="B541" s="2">
        <v>94</v>
      </c>
      <c r="C541" s="3">
        <v>126203320</v>
      </c>
      <c r="D541" s="3" t="s">
        <v>5940</v>
      </c>
      <c r="E541" s="2" t="s">
        <v>1751</v>
      </c>
      <c r="F541" s="2" t="s">
        <v>10</v>
      </c>
      <c r="G541" s="2" t="s">
        <v>199</v>
      </c>
      <c r="H541" s="2">
        <v>60000000</v>
      </c>
      <c r="I541" s="2">
        <v>4.7</v>
      </c>
      <c r="J541" s="3">
        <v>594904</v>
      </c>
      <c r="K541">
        <f t="shared" si="24"/>
        <v>1.3775047412552699E-3</v>
      </c>
      <c r="R541" s="12" t="str">
        <f ca="1">IFERROR(__xludf.DUMMYFUNCTION("""COMPUTED_VALUE"""),"Tears of the Sun ")</f>
        <v>Tears of the Sun </v>
      </c>
      <c r="S541" s="12">
        <f t="shared" si="25"/>
        <v>-117010445</v>
      </c>
    </row>
    <row r="542" spans="1:19" x14ac:dyDescent="0.3">
      <c r="A542" s="2" t="s">
        <v>5453</v>
      </c>
      <c r="B542" s="2">
        <v>84</v>
      </c>
      <c r="C542" s="3">
        <v>55942830</v>
      </c>
      <c r="D542" s="3" t="s">
        <v>5813</v>
      </c>
      <c r="E542" s="2" t="s">
        <v>5454</v>
      </c>
      <c r="F542" s="2" t="s">
        <v>10</v>
      </c>
      <c r="G542" s="2" t="s">
        <v>11</v>
      </c>
      <c r="H542" s="2">
        <v>650000</v>
      </c>
      <c r="I542" s="2">
        <v>6.5</v>
      </c>
      <c r="J542" s="3">
        <v>598645</v>
      </c>
      <c r="K542">
        <f t="shared" si="24"/>
        <v>1.3775047412552699E-3</v>
      </c>
      <c r="R542" s="12" t="str">
        <f ca="1">IFERROR(__xludf.DUMMYFUNCTION("""COMPUTED_VALUE"""),"Killers ")</f>
        <v>Killers </v>
      </c>
      <c r="S542" s="12">
        <f t="shared" si="25"/>
        <v>133585516</v>
      </c>
    </row>
    <row r="543" spans="1:19" x14ac:dyDescent="0.3">
      <c r="A543" s="2" t="s">
        <v>1000</v>
      </c>
      <c r="B543" s="2">
        <v>147</v>
      </c>
      <c r="C543" s="3">
        <v>150415432</v>
      </c>
      <c r="D543" s="3" t="s">
        <v>5991</v>
      </c>
      <c r="E543" s="2" t="s">
        <v>1692</v>
      </c>
      <c r="F543" s="2" t="s">
        <v>10</v>
      </c>
      <c r="G543" s="2" t="s">
        <v>11</v>
      </c>
      <c r="H543" s="2">
        <v>40000000</v>
      </c>
      <c r="I543" s="2">
        <v>8.1</v>
      </c>
      <c r="J543" s="3">
        <v>603943</v>
      </c>
      <c r="K543">
        <f t="shared" si="24"/>
        <v>1.3775047412552699E-3</v>
      </c>
      <c r="R543" s="12" t="str">
        <f ca="1">IFERROR(__xludf.DUMMYFUNCTION("""COMPUTED_VALUE"""),"The Man from U.N.C.L.E. ")</f>
        <v>The Man from U.N.C.L.E. </v>
      </c>
      <c r="S543" s="12">
        <f t="shared" si="25"/>
        <v>-23516846</v>
      </c>
    </row>
    <row r="544" spans="1:19" x14ac:dyDescent="0.3">
      <c r="A544" s="2" t="s">
        <v>298</v>
      </c>
      <c r="B544" s="2">
        <v>119</v>
      </c>
      <c r="C544" s="3">
        <v>124051759</v>
      </c>
      <c r="D544" s="3" t="s">
        <v>5785</v>
      </c>
      <c r="E544" s="2" t="s">
        <v>3154</v>
      </c>
      <c r="F544" s="2" t="s">
        <v>10</v>
      </c>
      <c r="G544" s="2" t="s">
        <v>11</v>
      </c>
      <c r="H544" s="2">
        <v>18000000</v>
      </c>
      <c r="I544" s="2">
        <v>7.8</v>
      </c>
      <c r="J544" s="3">
        <v>609042</v>
      </c>
      <c r="K544">
        <f t="shared" si="24"/>
        <v>1.3775047412552699E-3</v>
      </c>
      <c r="R544" s="12" t="str">
        <f ca="1">IFERROR(__xludf.DUMMYFUNCTION("""COMPUTED_VALUE"""),"Spanglish ")</f>
        <v>Spanglish </v>
      </c>
      <c r="S544" s="12">
        <f t="shared" si="25"/>
        <v>61593191</v>
      </c>
    </row>
    <row r="545" spans="1:19" x14ac:dyDescent="0.3">
      <c r="A545" s="2" t="s">
        <v>887</v>
      </c>
      <c r="B545" s="2">
        <v>92</v>
      </c>
      <c r="C545" s="3">
        <v>93952276</v>
      </c>
      <c r="D545" s="3" t="s">
        <v>5992</v>
      </c>
      <c r="E545" s="2" t="s">
        <v>888</v>
      </c>
      <c r="F545" s="2" t="s">
        <v>10</v>
      </c>
      <c r="G545" s="2" t="s">
        <v>11</v>
      </c>
      <c r="H545" s="2">
        <v>70000000</v>
      </c>
      <c r="I545" s="2">
        <v>6.3</v>
      </c>
      <c r="J545" s="3">
        <v>610968</v>
      </c>
      <c r="K545">
        <f t="shared" si="24"/>
        <v>1.3775047412552699E-3</v>
      </c>
      <c r="R545" s="12" t="str">
        <f ca="1">IFERROR(__xludf.DUMMYFUNCTION("""COMPUTED_VALUE"""),"Monster House ")</f>
        <v>Monster House </v>
      </c>
      <c r="S545" s="12">
        <f t="shared" si="25"/>
        <v>-16216000</v>
      </c>
    </row>
    <row r="546" spans="1:19" x14ac:dyDescent="0.3">
      <c r="A546" s="2" t="s">
        <v>2062</v>
      </c>
      <c r="B546" s="2">
        <v>91</v>
      </c>
      <c r="C546" s="3">
        <v>132541238</v>
      </c>
      <c r="D546" s="3" t="s">
        <v>5852</v>
      </c>
      <c r="E546" s="2" t="s">
        <v>2063</v>
      </c>
      <c r="F546" s="2" t="s">
        <v>10</v>
      </c>
      <c r="G546" s="2" t="s">
        <v>11</v>
      </c>
      <c r="H546" s="2">
        <v>35000000</v>
      </c>
      <c r="I546" s="2">
        <v>5.4</v>
      </c>
      <c r="J546" s="3">
        <v>610991</v>
      </c>
      <c r="K546">
        <f t="shared" si="24"/>
        <v>1.3775047412552699E-3</v>
      </c>
      <c r="R546" s="12" t="str">
        <f ca="1">IFERROR(__xludf.DUMMYFUNCTION("""COMPUTED_VALUE"""),"Bandits ")</f>
        <v>Bandits </v>
      </c>
      <c r="S546" s="12">
        <f t="shared" si="25"/>
        <v>62528097</v>
      </c>
    </row>
    <row r="547" spans="1:19" x14ac:dyDescent="0.3">
      <c r="A547" s="2" t="s">
        <v>211</v>
      </c>
      <c r="B547" s="2">
        <v>94</v>
      </c>
      <c r="C547" s="3">
        <v>75274748</v>
      </c>
      <c r="D547" s="3" t="s">
        <v>5993</v>
      </c>
      <c r="E547" s="2" t="s">
        <v>4950</v>
      </c>
      <c r="F547" s="2" t="s">
        <v>4951</v>
      </c>
      <c r="G547" s="2" t="s">
        <v>16</v>
      </c>
      <c r="H547" s="2">
        <v>3000000</v>
      </c>
      <c r="I547" s="2">
        <v>7.3</v>
      </c>
      <c r="J547" s="3">
        <v>611709</v>
      </c>
      <c r="K547">
        <f t="shared" si="24"/>
        <v>1.3775047412552699E-3</v>
      </c>
      <c r="R547" s="12" t="str">
        <f ca="1">IFERROR(__xludf.DUMMYFUNCTION("""COMPUTED_VALUE"""),"First Knight ")</f>
        <v>First Knight </v>
      </c>
      <c r="S547" s="12">
        <f t="shared" si="25"/>
        <v>123085755</v>
      </c>
    </row>
    <row r="548" spans="1:19" x14ac:dyDescent="0.3">
      <c r="A548" s="2" t="s">
        <v>2661</v>
      </c>
      <c r="B548" s="2">
        <v>115</v>
      </c>
      <c r="C548" s="3">
        <v>40168080</v>
      </c>
      <c r="D548" s="3" t="s">
        <v>5767</v>
      </c>
      <c r="E548" s="2" t="s">
        <v>3015</v>
      </c>
      <c r="F548" s="2" t="s">
        <v>10</v>
      </c>
      <c r="G548" s="2" t="s">
        <v>11</v>
      </c>
      <c r="H548" s="2">
        <v>20000000</v>
      </c>
      <c r="I548" s="2">
        <v>6.3</v>
      </c>
      <c r="J548" s="3">
        <v>613556</v>
      </c>
      <c r="K548">
        <f t="shared" si="24"/>
        <v>1.3775047412552699E-3</v>
      </c>
      <c r="R548" s="12" t="str">
        <f ca="1">IFERROR(__xludf.DUMMYFUNCTION("""COMPUTED_VALUE"""),"Anna and the King ")</f>
        <v>Anna and the King </v>
      </c>
      <c r="S548" s="12">
        <f t="shared" si="25"/>
        <v>-99842000</v>
      </c>
    </row>
    <row r="549" spans="1:19" x14ac:dyDescent="0.3">
      <c r="A549" s="2" t="s">
        <v>1365</v>
      </c>
      <c r="B549" s="2">
        <v>130</v>
      </c>
      <c r="C549" s="3">
        <v>163947053</v>
      </c>
      <c r="D549" s="3" t="s">
        <v>5994</v>
      </c>
      <c r="E549" s="2" t="s">
        <v>1888</v>
      </c>
      <c r="F549" s="2" t="s">
        <v>10</v>
      </c>
      <c r="G549" s="2" t="s">
        <v>11</v>
      </c>
      <c r="H549" s="2">
        <v>40000000</v>
      </c>
      <c r="I549" s="2">
        <v>7.3</v>
      </c>
      <c r="J549" s="3">
        <v>617172</v>
      </c>
      <c r="K549">
        <f t="shared" si="24"/>
        <v>1.3775047412552699E-3</v>
      </c>
      <c r="R549" s="12" t="str">
        <f ca="1">IFERROR(__xludf.DUMMYFUNCTION("""COMPUTED_VALUE"""),"Immortals ")</f>
        <v>Immortals </v>
      </c>
      <c r="S549" s="12">
        <f t="shared" si="25"/>
        <v>24899000</v>
      </c>
    </row>
    <row r="550" spans="1:19" x14ac:dyDescent="0.3">
      <c r="A550" s="2" t="s">
        <v>1455</v>
      </c>
      <c r="B550" s="2">
        <v>109</v>
      </c>
      <c r="C550" s="3">
        <v>81687587</v>
      </c>
      <c r="D550" s="3" t="s">
        <v>5995</v>
      </c>
      <c r="E550" s="2" t="s">
        <v>1456</v>
      </c>
      <c r="F550" s="2" t="s">
        <v>10</v>
      </c>
      <c r="G550" s="2" t="s">
        <v>16</v>
      </c>
      <c r="H550" s="2">
        <v>55000000</v>
      </c>
      <c r="I550" s="2">
        <v>6.4</v>
      </c>
      <c r="J550" s="3">
        <v>617228</v>
      </c>
      <c r="K550">
        <f t="shared" si="24"/>
        <v>1.3775047412552699E-3</v>
      </c>
      <c r="R550" s="12" t="str">
        <f ca="1">IFERROR(__xludf.DUMMYFUNCTION("""COMPUTED_VALUE"""),"Hostage ")</f>
        <v>Hostage </v>
      </c>
      <c r="S550" s="12">
        <f t="shared" si="25"/>
        <v>7318875</v>
      </c>
    </row>
    <row r="551" spans="1:19" x14ac:dyDescent="0.3">
      <c r="A551" s="2" t="s">
        <v>1965</v>
      </c>
      <c r="B551" s="2">
        <v>97</v>
      </c>
      <c r="C551" s="3">
        <v>2104000</v>
      </c>
      <c r="D551" s="3" t="s">
        <v>5996</v>
      </c>
      <c r="E551" s="2" t="s">
        <v>3128</v>
      </c>
      <c r="F551" s="2" t="s">
        <v>10</v>
      </c>
      <c r="G551" s="2" t="s">
        <v>11</v>
      </c>
      <c r="H551" s="2">
        <v>18000000</v>
      </c>
      <c r="I551" s="2">
        <v>6.4</v>
      </c>
      <c r="J551" s="3">
        <v>617840</v>
      </c>
      <c r="K551">
        <f t="shared" si="24"/>
        <v>1.3775047412552699E-3</v>
      </c>
      <c r="R551" s="12" t="str">
        <f ca="1">IFERROR(__xludf.DUMMYFUNCTION("""COMPUTED_VALUE"""),"Titan A.E. ")</f>
        <v>Titan A.E. </v>
      </c>
      <c r="S551" s="12">
        <f t="shared" si="25"/>
        <v>59253092</v>
      </c>
    </row>
    <row r="552" spans="1:19" x14ac:dyDescent="0.3">
      <c r="A552" s="2" t="s">
        <v>396</v>
      </c>
      <c r="B552" s="2">
        <v>100</v>
      </c>
      <c r="C552" s="3">
        <v>12782508</v>
      </c>
      <c r="D552" s="3" t="s">
        <v>5785</v>
      </c>
      <c r="E552" s="2" t="s">
        <v>397</v>
      </c>
      <c r="F552" s="2" t="s">
        <v>10</v>
      </c>
      <c r="G552" s="2" t="s">
        <v>11</v>
      </c>
      <c r="H552" s="2">
        <v>120000000</v>
      </c>
      <c r="I552" s="2">
        <v>4.3</v>
      </c>
      <c r="J552" s="3">
        <v>623374</v>
      </c>
      <c r="K552">
        <f t="shared" si="24"/>
        <v>1.3775047412552699E-3</v>
      </c>
      <c r="R552" s="12" t="str">
        <f ca="1">IFERROR(__xludf.DUMMYFUNCTION("""COMPUTED_VALUE"""),"Hollywood Homicide ")</f>
        <v>Hollywood Homicide </v>
      </c>
      <c r="S552" s="12">
        <f t="shared" si="25"/>
        <v>-65774223</v>
      </c>
    </row>
    <row r="553" spans="1:19" x14ac:dyDescent="0.3">
      <c r="A553" s="2" t="s">
        <v>220</v>
      </c>
      <c r="B553" s="2">
        <v>122</v>
      </c>
      <c r="C553" s="3">
        <v>12200000</v>
      </c>
      <c r="D553" s="3" t="s">
        <v>5950</v>
      </c>
      <c r="E553" s="2" t="s">
        <v>1156</v>
      </c>
      <c r="F553" s="2" t="s">
        <v>10</v>
      </c>
      <c r="G553" s="2" t="s">
        <v>11</v>
      </c>
      <c r="H553" s="2">
        <v>55000000</v>
      </c>
      <c r="I553" s="2">
        <v>6.1</v>
      </c>
      <c r="J553" s="3">
        <v>626809</v>
      </c>
      <c r="K553">
        <f t="shared" si="24"/>
        <v>1.3775047412552699E-3</v>
      </c>
      <c r="R553" s="12" t="str">
        <f ca="1">IFERROR(__xludf.DUMMYFUNCTION("""COMPUTED_VALUE"""),"Soldier ")</f>
        <v>Soldier </v>
      </c>
      <c r="S553" s="12">
        <f t="shared" si="25"/>
        <v>131830669</v>
      </c>
    </row>
    <row r="554" spans="1:19" x14ac:dyDescent="0.3">
      <c r="A554" s="2" t="s">
        <v>8</v>
      </c>
      <c r="B554" s="2">
        <v>154</v>
      </c>
      <c r="C554" s="3">
        <v>14998070</v>
      </c>
      <c r="D554" s="3" t="s">
        <v>5997</v>
      </c>
      <c r="E554" s="2" t="s">
        <v>3236</v>
      </c>
      <c r="F554" s="2" t="s">
        <v>10</v>
      </c>
      <c r="G554" s="2" t="s">
        <v>11</v>
      </c>
      <c r="H554" s="2">
        <v>18500000</v>
      </c>
      <c r="I554" s="2">
        <v>8.4</v>
      </c>
      <c r="J554" s="3">
        <v>630779</v>
      </c>
      <c r="K554">
        <f t="shared" si="24"/>
        <v>1.3775047412552699E-3</v>
      </c>
      <c r="R554" s="12" t="str">
        <f ca="1">IFERROR(__xludf.DUMMYFUNCTION("""COMPUTED_VALUE"""),"Monkeybone ")</f>
        <v>Monkeybone </v>
      </c>
      <c r="S554" s="12">
        <f t="shared" si="25"/>
        <v>4934858</v>
      </c>
    </row>
    <row r="555" spans="1:19" x14ac:dyDescent="0.3">
      <c r="A555" s="2" t="s">
        <v>1902</v>
      </c>
      <c r="B555" s="2">
        <v>102</v>
      </c>
      <c r="C555" s="3">
        <v>26876529</v>
      </c>
      <c r="D555" s="3" t="s">
        <v>5772</v>
      </c>
      <c r="E555" s="2" t="s">
        <v>5710</v>
      </c>
      <c r="F555" s="2" t="s">
        <v>10</v>
      </c>
      <c r="G555" s="2" t="s">
        <v>11</v>
      </c>
      <c r="H555" s="2">
        <v>230000</v>
      </c>
      <c r="I555" s="2">
        <v>7.8</v>
      </c>
      <c r="J555" s="3">
        <v>634277</v>
      </c>
      <c r="K555">
        <f t="shared" si="24"/>
        <v>1.3775047412552699E-3</v>
      </c>
      <c r="R555" s="12" t="str">
        <f ca="1">IFERROR(__xludf.DUMMYFUNCTION("""COMPUTED_VALUE"""),"Flight of the Phoenix ")</f>
        <v>Flight of the Phoenix </v>
      </c>
      <c r="S555" s="12">
        <f t="shared" si="25"/>
        <v>66543413</v>
      </c>
    </row>
    <row r="556" spans="1:19" x14ac:dyDescent="0.3">
      <c r="A556" s="2" t="s">
        <v>2752</v>
      </c>
      <c r="B556" s="2">
        <v>94</v>
      </c>
      <c r="C556" s="3">
        <v>116006080</v>
      </c>
      <c r="D556" s="3" t="s">
        <v>5869</v>
      </c>
      <c r="E556" s="2" t="s">
        <v>2753</v>
      </c>
      <c r="F556" s="2" t="s">
        <v>10</v>
      </c>
      <c r="G556" s="2" t="s">
        <v>11</v>
      </c>
      <c r="H556" s="2">
        <v>23000000</v>
      </c>
      <c r="I556" s="2">
        <v>5.0999999999999996</v>
      </c>
      <c r="J556" s="3">
        <v>638476</v>
      </c>
      <c r="K556">
        <f t="shared" si="24"/>
        <v>1.3775047412552699E-3</v>
      </c>
      <c r="R556" s="12" t="str">
        <f ca="1">IFERROR(__xludf.DUMMYFUNCTION("""COMPUTED_VALUE"""),"Unbreakable ")</f>
        <v>Unbreakable </v>
      </c>
      <c r="S556" s="12">
        <f t="shared" si="25"/>
        <v>108103929</v>
      </c>
    </row>
    <row r="557" spans="1:19" x14ac:dyDescent="0.3">
      <c r="A557" s="2" t="s">
        <v>5680</v>
      </c>
      <c r="B557" s="2">
        <v>87</v>
      </c>
      <c r="C557" s="3">
        <v>123922370</v>
      </c>
      <c r="D557" s="3" t="s">
        <v>5753</v>
      </c>
      <c r="E557" s="2" t="s">
        <v>5681</v>
      </c>
      <c r="F557" s="2" t="s">
        <v>10</v>
      </c>
      <c r="G557" s="2" t="s">
        <v>11</v>
      </c>
      <c r="H557" s="3">
        <v>474544677</v>
      </c>
      <c r="I557" s="2">
        <v>5.3</v>
      </c>
      <c r="J557" s="3">
        <v>638951</v>
      </c>
      <c r="K557">
        <f t="shared" si="24"/>
        <v>1.3775047412552699E-3</v>
      </c>
      <c r="R557" s="12" t="str">
        <f ca="1">IFERROR(__xludf.DUMMYFUNCTION("""COMPUTED_VALUE"""),"Minions ")</f>
        <v>Minions </v>
      </c>
      <c r="S557" s="12">
        <f t="shared" si="25"/>
        <v>33154732</v>
      </c>
    </row>
    <row r="558" spans="1:19" x14ac:dyDescent="0.3">
      <c r="A558" s="2" t="s">
        <v>175</v>
      </c>
      <c r="B558" s="2">
        <v>127</v>
      </c>
      <c r="C558" s="3">
        <v>11802056</v>
      </c>
      <c r="D558" s="3" t="s">
        <v>5771</v>
      </c>
      <c r="E558" s="2" t="s">
        <v>2179</v>
      </c>
      <c r="F558" s="2" t="s">
        <v>10</v>
      </c>
      <c r="G558" s="2" t="s">
        <v>11</v>
      </c>
      <c r="H558" s="2">
        <v>33000000</v>
      </c>
      <c r="I558" s="2">
        <v>8.6</v>
      </c>
      <c r="J558" s="3">
        <v>652526</v>
      </c>
      <c r="K558">
        <f t="shared" si="24"/>
        <v>1.3775047412552699E-3</v>
      </c>
      <c r="R558" s="12" t="str">
        <f ca="1">IFERROR(__xludf.DUMMYFUNCTION("""COMPUTED_VALUE"""),"Sucker Punch ")</f>
        <v>Sucker Punch </v>
      </c>
      <c r="S558" s="12">
        <f t="shared" si="25"/>
        <v>61761720</v>
      </c>
    </row>
    <row r="559" spans="1:19" x14ac:dyDescent="0.3">
      <c r="A559" s="2" t="s">
        <v>3679</v>
      </c>
      <c r="B559" s="2">
        <v>84</v>
      </c>
      <c r="C559" s="3">
        <v>112000000</v>
      </c>
      <c r="D559" s="3" t="s">
        <v>5855</v>
      </c>
      <c r="E559" s="2" t="s">
        <v>3680</v>
      </c>
      <c r="F559" s="2" t="s">
        <v>10</v>
      </c>
      <c r="G559" s="2" t="s">
        <v>11</v>
      </c>
      <c r="H559" s="2">
        <v>13200000</v>
      </c>
      <c r="I559" s="2">
        <v>5.6</v>
      </c>
      <c r="J559" s="3">
        <v>653621</v>
      </c>
      <c r="K559">
        <f t="shared" si="24"/>
        <v>1.3775047412552699E-3</v>
      </c>
      <c r="R559" s="12" t="str">
        <f ca="1">IFERROR(__xludf.DUMMYFUNCTION("""COMPUTED_VALUE"""),"Snake Eyes ")</f>
        <v>Snake Eyes </v>
      </c>
      <c r="S559" s="12">
        <f t="shared" si="25"/>
        <v>58953315</v>
      </c>
    </row>
    <row r="560" spans="1:19" x14ac:dyDescent="0.3">
      <c r="A560" s="2" t="s">
        <v>67</v>
      </c>
      <c r="B560" s="2">
        <v>106</v>
      </c>
      <c r="C560" s="3">
        <v>26297</v>
      </c>
      <c r="D560" s="3" t="s">
        <v>5998</v>
      </c>
      <c r="E560" s="2" t="s">
        <v>730</v>
      </c>
      <c r="F560" s="2" t="s">
        <v>10</v>
      </c>
      <c r="G560" s="2" t="s">
        <v>11</v>
      </c>
      <c r="H560" s="2">
        <v>70000000</v>
      </c>
      <c r="I560" s="2">
        <v>6.3</v>
      </c>
      <c r="J560" s="3">
        <v>665426</v>
      </c>
      <c r="K560">
        <f t="shared" si="24"/>
        <v>1.3775047412552699E-3</v>
      </c>
      <c r="R560" s="12" t="str">
        <f ca="1">IFERROR(__xludf.DUMMYFUNCTION("""COMPUTED_VALUE"""),"Sphere ")</f>
        <v>Sphere </v>
      </c>
      <c r="S560" s="12">
        <f t="shared" si="25"/>
        <v>15973336</v>
      </c>
    </row>
    <row r="561" spans="1:19" x14ac:dyDescent="0.3">
      <c r="A561" s="2" t="s">
        <v>4179</v>
      </c>
      <c r="B561" s="2">
        <v>91</v>
      </c>
      <c r="C561" s="3">
        <v>18843314</v>
      </c>
      <c r="D561" s="3" t="s">
        <v>5804</v>
      </c>
      <c r="E561" s="2" t="s">
        <v>5663</v>
      </c>
      <c r="F561" s="2" t="s">
        <v>10</v>
      </c>
      <c r="G561" s="2" t="s">
        <v>11</v>
      </c>
      <c r="H561" s="3">
        <v>474544677</v>
      </c>
      <c r="I561" s="2">
        <v>7.5</v>
      </c>
      <c r="J561" s="3">
        <v>668171</v>
      </c>
      <c r="K561">
        <f t="shared" si="24"/>
        <v>1.3775047412552699E-3</v>
      </c>
      <c r="R561" s="12" t="str">
        <f ca="1">IFERROR(__xludf.DUMMYFUNCTION("""COMPUTED_VALUE"""),"The Angry Birds Movie ")</f>
        <v>The Angry Birds Movie </v>
      </c>
      <c r="S561" s="12">
        <f t="shared" si="25"/>
        <v>112550960</v>
      </c>
    </row>
    <row r="562" spans="1:19" x14ac:dyDescent="0.3">
      <c r="A562" s="2" t="s">
        <v>2355</v>
      </c>
      <c r="B562" s="2">
        <v>128</v>
      </c>
      <c r="C562" s="3">
        <v>25450527</v>
      </c>
      <c r="D562" s="3" t="s">
        <v>5754</v>
      </c>
      <c r="E562" s="2" t="s">
        <v>2356</v>
      </c>
      <c r="F562" s="2" t="s">
        <v>10</v>
      </c>
      <c r="G562" s="2" t="s">
        <v>11</v>
      </c>
      <c r="H562" s="2">
        <v>30000000</v>
      </c>
      <c r="I562" s="2">
        <v>6.4</v>
      </c>
      <c r="J562" s="3">
        <v>669276</v>
      </c>
      <c r="K562">
        <f t="shared" si="24"/>
        <v>1.3775047412552699E-3</v>
      </c>
      <c r="R562" s="12" t="str">
        <f ca="1">IFERROR(__xludf.DUMMYFUNCTION("""COMPUTED_VALUE"""),"Fool's Gold ")</f>
        <v>Fool's Gold </v>
      </c>
      <c r="S562" s="12">
        <f t="shared" si="25"/>
        <v>155331698</v>
      </c>
    </row>
    <row r="563" spans="1:19" x14ac:dyDescent="0.3">
      <c r="A563" s="2" t="s">
        <v>590</v>
      </c>
      <c r="B563" s="2">
        <v>142</v>
      </c>
      <c r="C563" s="3">
        <v>63224849</v>
      </c>
      <c r="D563" s="3" t="s">
        <v>5999</v>
      </c>
      <c r="E563" s="2" t="s">
        <v>2550</v>
      </c>
      <c r="F563" s="2" t="s">
        <v>10</v>
      </c>
      <c r="G563" s="2" t="s">
        <v>11</v>
      </c>
      <c r="H563" s="2">
        <v>25000000</v>
      </c>
      <c r="I563" s="2">
        <v>8.3000000000000007</v>
      </c>
      <c r="J563" s="3">
        <v>671240</v>
      </c>
      <c r="K563">
        <f t="shared" si="24"/>
        <v>1.3775047412552699E-3</v>
      </c>
      <c r="R563" s="12" t="str">
        <f ca="1">IFERROR(__xludf.DUMMYFUNCTION("""COMPUTED_VALUE"""),"Funny People ")</f>
        <v>Funny People </v>
      </c>
      <c r="S563" s="12">
        <f t="shared" si="25"/>
        <v>66203320</v>
      </c>
    </row>
    <row r="564" spans="1:19" x14ac:dyDescent="0.3">
      <c r="A564" s="2" t="s">
        <v>5516</v>
      </c>
      <c r="B564" s="2">
        <v>87</v>
      </c>
      <c r="C564" s="3">
        <v>198332128</v>
      </c>
      <c r="D564" s="3" t="s">
        <v>6000</v>
      </c>
      <c r="E564" s="2" t="s">
        <v>5517</v>
      </c>
      <c r="F564" s="2" t="s">
        <v>10</v>
      </c>
      <c r="G564" s="2" t="s">
        <v>11</v>
      </c>
      <c r="H564" s="2">
        <v>500000</v>
      </c>
      <c r="I564" s="2">
        <v>4.5999999999999996</v>
      </c>
      <c r="J564" s="3">
        <v>673780</v>
      </c>
      <c r="K564">
        <f t="shared" si="24"/>
        <v>1.3775047412552699E-3</v>
      </c>
      <c r="R564" s="12" t="str">
        <f ca="1">IFERROR(__xludf.DUMMYFUNCTION("""COMPUTED_VALUE"""),"The Kingdom ")</f>
        <v>The Kingdom </v>
      </c>
      <c r="S564" s="12">
        <f t="shared" si="25"/>
        <v>55292830</v>
      </c>
    </row>
    <row r="565" spans="1:19" x14ac:dyDescent="0.3">
      <c r="A565" s="2" t="s">
        <v>139</v>
      </c>
      <c r="B565" s="2">
        <v>107</v>
      </c>
      <c r="C565" s="3">
        <v>34300771</v>
      </c>
      <c r="D565" s="3" t="s">
        <v>6001</v>
      </c>
      <c r="E565" s="2" t="s">
        <v>2922</v>
      </c>
      <c r="F565" s="2" t="s">
        <v>10</v>
      </c>
      <c r="G565" s="2" t="s">
        <v>11</v>
      </c>
      <c r="H565" s="2">
        <v>20000000</v>
      </c>
      <c r="I565" s="2">
        <v>6.3</v>
      </c>
      <c r="J565" s="3">
        <v>676698</v>
      </c>
      <c r="K565">
        <f t="shared" si="24"/>
        <v>1.3775047412552699E-3</v>
      </c>
      <c r="R565" s="12" t="str">
        <f ca="1">IFERROR(__xludf.DUMMYFUNCTION("""COMPUTED_VALUE"""),"Talladega Nights: The Ballad of Ricky Bobby ")</f>
        <v>Talladega Nights: The Ballad of Ricky Bobby </v>
      </c>
      <c r="S565" s="12">
        <f t="shared" si="25"/>
        <v>110415432</v>
      </c>
    </row>
    <row r="566" spans="1:19" x14ac:dyDescent="0.3">
      <c r="A566" s="2" t="s">
        <v>460</v>
      </c>
      <c r="B566" s="2">
        <v>88</v>
      </c>
      <c r="C566" s="3">
        <v>62321039</v>
      </c>
      <c r="D566" s="3" t="s">
        <v>5920</v>
      </c>
      <c r="E566" s="2" t="s">
        <v>4600</v>
      </c>
      <c r="F566" s="2" t="s">
        <v>10</v>
      </c>
      <c r="G566" s="2" t="s">
        <v>11</v>
      </c>
      <c r="H566" s="2">
        <v>4500000</v>
      </c>
      <c r="I566" s="2">
        <v>6.6</v>
      </c>
      <c r="J566" s="3">
        <v>686383</v>
      </c>
      <c r="K566">
        <f t="shared" si="24"/>
        <v>1.3775047412552699E-3</v>
      </c>
      <c r="R566" s="12" t="str">
        <f ca="1">IFERROR(__xludf.DUMMYFUNCTION("""COMPUTED_VALUE"""),"Dr. Dolittle 2 ")</f>
        <v>Dr. Dolittle 2 </v>
      </c>
      <c r="S566" s="12">
        <f t="shared" si="25"/>
        <v>106051759</v>
      </c>
    </row>
    <row r="567" spans="1:19" x14ac:dyDescent="0.3">
      <c r="A567" s="2" t="s">
        <v>1078</v>
      </c>
      <c r="B567" s="2">
        <v>94</v>
      </c>
      <c r="C567" s="3">
        <v>123307945</v>
      </c>
      <c r="D567" s="3" t="s">
        <v>6002</v>
      </c>
      <c r="E567" s="2" t="s">
        <v>2411</v>
      </c>
      <c r="F567" s="2" t="s">
        <v>10</v>
      </c>
      <c r="G567" s="2" t="s">
        <v>11</v>
      </c>
      <c r="H567" s="2">
        <v>28000000</v>
      </c>
      <c r="I567" s="2">
        <v>5.4</v>
      </c>
      <c r="J567" s="3">
        <v>695229</v>
      </c>
      <c r="K567">
        <f t="shared" si="24"/>
        <v>1.3775047412552699E-3</v>
      </c>
      <c r="R567" s="12" t="str">
        <f ca="1">IFERROR(__xludf.DUMMYFUNCTION("""COMPUTED_VALUE"""),"Braveheart ")</f>
        <v>Braveheart </v>
      </c>
      <c r="S567" s="12">
        <f t="shared" si="25"/>
        <v>23952276</v>
      </c>
    </row>
    <row r="568" spans="1:19" x14ac:dyDescent="0.3">
      <c r="A568" s="2" t="s">
        <v>2552</v>
      </c>
      <c r="B568" s="2">
        <v>219</v>
      </c>
      <c r="C568" s="3">
        <v>66862068</v>
      </c>
      <c r="D568" s="3" t="s">
        <v>5819</v>
      </c>
      <c r="E568" s="2" t="s">
        <v>2553</v>
      </c>
      <c r="F568" s="2" t="s">
        <v>10</v>
      </c>
      <c r="G568" s="2" t="s">
        <v>233</v>
      </c>
      <c r="H568" s="2">
        <v>23000000</v>
      </c>
      <c r="I568" s="2">
        <v>7.8</v>
      </c>
      <c r="J568" s="3">
        <v>700000</v>
      </c>
      <c r="K568">
        <f t="shared" si="24"/>
        <v>1.3775047412552699E-3</v>
      </c>
      <c r="R568" s="12" t="str">
        <f ca="1">IFERROR(__xludf.DUMMYFUNCTION("""COMPUTED_VALUE"""),"Jarhead ")</f>
        <v>Jarhead </v>
      </c>
      <c r="S568" s="12">
        <f t="shared" si="25"/>
        <v>97541238</v>
      </c>
    </row>
    <row r="569" spans="1:19" x14ac:dyDescent="0.3">
      <c r="A569" s="2" t="s">
        <v>492</v>
      </c>
      <c r="B569" s="2">
        <v>112</v>
      </c>
      <c r="C569" s="3">
        <v>100853835</v>
      </c>
      <c r="D569" s="3" t="s">
        <v>5754</v>
      </c>
      <c r="E569" s="2" t="s">
        <v>2842</v>
      </c>
      <c r="F569" s="2" t="s">
        <v>10</v>
      </c>
      <c r="G569" s="2" t="s">
        <v>11</v>
      </c>
      <c r="H569" s="2">
        <v>21000000</v>
      </c>
      <c r="I569" s="2">
        <v>6.7</v>
      </c>
      <c r="J569" s="3">
        <v>703002</v>
      </c>
      <c r="K569">
        <f t="shared" si="24"/>
        <v>1.3775047412552699E-3</v>
      </c>
      <c r="R569" s="12" t="str">
        <f ca="1">IFERROR(__xludf.DUMMYFUNCTION("""COMPUTED_VALUE"""),"The Simpsons Movie ")</f>
        <v>The Simpsons Movie </v>
      </c>
      <c r="S569" s="12">
        <f t="shared" si="25"/>
        <v>72274748</v>
      </c>
    </row>
    <row r="570" spans="1:19" x14ac:dyDescent="0.3">
      <c r="A570" s="2" t="s">
        <v>2939</v>
      </c>
      <c r="B570" s="2">
        <v>92</v>
      </c>
      <c r="C570" s="3">
        <v>119420252</v>
      </c>
      <c r="D570" s="3" t="s">
        <v>5768</v>
      </c>
      <c r="E570" s="2" t="s">
        <v>4196</v>
      </c>
      <c r="F570" s="2" t="s">
        <v>10</v>
      </c>
      <c r="G570" s="2" t="s">
        <v>11</v>
      </c>
      <c r="H570" s="2">
        <v>9000000</v>
      </c>
      <c r="I570" s="2">
        <v>6.4</v>
      </c>
      <c r="J570" s="3">
        <v>712294</v>
      </c>
      <c r="K570">
        <f t="shared" si="24"/>
        <v>1.3775047412552699E-3</v>
      </c>
      <c r="R570" s="12" t="str">
        <f ca="1">IFERROR(__xludf.DUMMYFUNCTION("""COMPUTED_VALUE"""),"The Majestic ")</f>
        <v>The Majestic </v>
      </c>
      <c r="S570" s="12">
        <f t="shared" si="25"/>
        <v>20168080</v>
      </c>
    </row>
    <row r="571" spans="1:19" x14ac:dyDescent="0.3">
      <c r="A571" s="2" t="s">
        <v>5015</v>
      </c>
      <c r="B571" s="2">
        <v>106</v>
      </c>
      <c r="C571" s="3">
        <v>83299761</v>
      </c>
      <c r="D571" s="3" t="s">
        <v>5795</v>
      </c>
      <c r="E571" s="2" t="s">
        <v>5016</v>
      </c>
      <c r="F571" s="2" t="s">
        <v>10</v>
      </c>
      <c r="G571" s="2" t="s">
        <v>932</v>
      </c>
      <c r="H571" s="2">
        <v>2000000</v>
      </c>
      <c r="I571" s="2">
        <v>7.6</v>
      </c>
      <c r="J571" s="3">
        <v>713413</v>
      </c>
      <c r="K571">
        <f t="shared" si="24"/>
        <v>1.3775047412552699E-3</v>
      </c>
      <c r="R571" s="12" t="str">
        <f ca="1">IFERROR(__xludf.DUMMYFUNCTION("""COMPUTED_VALUE"""),"Driven ")</f>
        <v>Driven </v>
      </c>
      <c r="S571" s="12">
        <f t="shared" si="25"/>
        <v>123947053</v>
      </c>
    </row>
    <row r="572" spans="1:19" x14ac:dyDescent="0.3">
      <c r="A572" s="2" t="s">
        <v>1375</v>
      </c>
      <c r="B572" s="2">
        <v>95</v>
      </c>
      <c r="C572" s="3">
        <v>25003072</v>
      </c>
      <c r="D572" s="3" t="s">
        <v>5842</v>
      </c>
      <c r="E572" s="2" t="s">
        <v>1376</v>
      </c>
      <c r="F572" s="2" t="s">
        <v>10</v>
      </c>
      <c r="G572" s="2" t="s">
        <v>11</v>
      </c>
      <c r="H572" s="2">
        <v>50000000</v>
      </c>
      <c r="I572" s="2">
        <v>7.3</v>
      </c>
      <c r="J572" s="3">
        <v>717753</v>
      </c>
      <c r="K572">
        <f t="shared" si="24"/>
        <v>1.3775047412552699E-3</v>
      </c>
      <c r="R572" s="12" t="str">
        <f ca="1">IFERROR(__xludf.DUMMYFUNCTION("""COMPUTED_VALUE"""),"Two Brothers ")</f>
        <v>Two Brothers </v>
      </c>
      <c r="S572" s="12">
        <f t="shared" si="25"/>
        <v>26687587</v>
      </c>
    </row>
    <row r="573" spans="1:19" x14ac:dyDescent="0.3">
      <c r="A573" s="2" t="s">
        <v>4716</v>
      </c>
      <c r="B573" s="2">
        <v>99</v>
      </c>
      <c r="C573" s="3">
        <v>83287363</v>
      </c>
      <c r="D573" s="3" t="s">
        <v>6003</v>
      </c>
      <c r="E573" s="2" t="s">
        <v>4717</v>
      </c>
      <c r="F573" s="2" t="s">
        <v>3090</v>
      </c>
      <c r="G573" s="2" t="s">
        <v>199</v>
      </c>
      <c r="H573" s="2">
        <v>4000000</v>
      </c>
      <c r="I573" s="2">
        <v>7.3</v>
      </c>
      <c r="J573" s="3">
        <v>727883</v>
      </c>
      <c r="K573">
        <f t="shared" si="24"/>
        <v>1.3775047412552699E-3</v>
      </c>
      <c r="R573" s="12" t="str">
        <f ca="1">IFERROR(__xludf.DUMMYFUNCTION("""COMPUTED_VALUE"""),"The Village ")</f>
        <v>The Village </v>
      </c>
      <c r="S573" s="12">
        <f t="shared" si="25"/>
        <v>-15896000</v>
      </c>
    </row>
    <row r="574" spans="1:19" x14ac:dyDescent="0.3">
      <c r="A574" s="2" t="s">
        <v>385</v>
      </c>
      <c r="B574" s="2">
        <v>98</v>
      </c>
      <c r="C574" s="3">
        <v>20916309</v>
      </c>
      <c r="D574" s="3" t="s">
        <v>6004</v>
      </c>
      <c r="E574" s="2" t="s">
        <v>386</v>
      </c>
      <c r="F574" s="2" t="s">
        <v>10</v>
      </c>
      <c r="G574" s="2" t="s">
        <v>11</v>
      </c>
      <c r="H574" s="2">
        <v>135000000</v>
      </c>
      <c r="I574" s="2">
        <v>7.3</v>
      </c>
      <c r="J574" s="3">
        <v>763044</v>
      </c>
      <c r="K574">
        <f t="shared" si="24"/>
        <v>1.3775047412552699E-3</v>
      </c>
      <c r="R574" s="12" t="str">
        <f ca="1">IFERROR(__xludf.DUMMYFUNCTION("""COMPUTED_VALUE"""),"Doctor Dolittle ")</f>
        <v>Doctor Dolittle </v>
      </c>
      <c r="S574" s="12">
        <f t="shared" si="25"/>
        <v>-107217492</v>
      </c>
    </row>
    <row r="575" spans="1:19" x14ac:dyDescent="0.3">
      <c r="A575" s="2" t="s">
        <v>2616</v>
      </c>
      <c r="B575" s="2">
        <v>93</v>
      </c>
      <c r="C575" s="3">
        <v>75367693</v>
      </c>
      <c r="D575" s="3" t="s">
        <v>6004</v>
      </c>
      <c r="E575" s="2" t="s">
        <v>4388</v>
      </c>
      <c r="F575" s="2" t="s">
        <v>10</v>
      </c>
      <c r="G575" s="2" t="s">
        <v>11</v>
      </c>
      <c r="H575" s="2">
        <v>7000000</v>
      </c>
      <c r="I575" s="2">
        <v>2</v>
      </c>
      <c r="J575" s="3">
        <v>766487</v>
      </c>
      <c r="K575">
        <f t="shared" si="24"/>
        <v>1.3775047412552699E-3</v>
      </c>
      <c r="R575" s="12" t="str">
        <f ca="1">IFERROR(__xludf.DUMMYFUNCTION("""COMPUTED_VALUE"""),"Signs ")</f>
        <v>Signs </v>
      </c>
      <c r="S575" s="12">
        <f t="shared" si="25"/>
        <v>-42800000</v>
      </c>
    </row>
    <row r="576" spans="1:19" x14ac:dyDescent="0.3">
      <c r="A576" s="2" t="s">
        <v>5655</v>
      </c>
      <c r="B576" s="2">
        <v>88</v>
      </c>
      <c r="C576" s="3">
        <v>159600000</v>
      </c>
      <c r="D576" s="3" t="s">
        <v>5853</v>
      </c>
      <c r="E576" s="2" t="s">
        <v>5656</v>
      </c>
      <c r="F576" s="2" t="s">
        <v>10</v>
      </c>
      <c r="G576" s="2" t="s">
        <v>11</v>
      </c>
      <c r="H576" s="2">
        <v>1200000</v>
      </c>
      <c r="I576" s="2">
        <v>7.3</v>
      </c>
      <c r="J576" s="3">
        <v>768045</v>
      </c>
      <c r="K576">
        <f t="shared" si="24"/>
        <v>1.3775047412552699E-3</v>
      </c>
      <c r="R576" s="12" t="str">
        <f ca="1">IFERROR(__xludf.DUMMYFUNCTION("""COMPUTED_VALUE"""),"Shrek 2 ")</f>
        <v>Shrek 2 </v>
      </c>
      <c r="S576" s="12">
        <f t="shared" si="25"/>
        <v>-3501930</v>
      </c>
    </row>
    <row r="577" spans="1:19" x14ac:dyDescent="0.3">
      <c r="A577" s="2" t="s">
        <v>997</v>
      </c>
      <c r="B577" s="2">
        <v>130</v>
      </c>
      <c r="C577" s="3">
        <v>24809547</v>
      </c>
      <c r="D577" s="3" t="s">
        <v>885</v>
      </c>
      <c r="E577" s="2" t="s">
        <v>998</v>
      </c>
      <c r="F577" s="2" t="s">
        <v>10</v>
      </c>
      <c r="G577" s="2" t="s">
        <v>16</v>
      </c>
      <c r="H577" s="2">
        <v>50000000</v>
      </c>
      <c r="I577" s="2">
        <v>6.9</v>
      </c>
      <c r="J577" s="3">
        <v>777423</v>
      </c>
      <c r="K577">
        <f t="shared" si="24"/>
        <v>1.3775047412552699E-3</v>
      </c>
      <c r="R577" s="12" t="str">
        <f ca="1">IFERROR(__xludf.DUMMYFUNCTION("""COMPUTED_VALUE"""),"Cars ")</f>
        <v>Cars </v>
      </c>
      <c r="S577" s="12">
        <f t="shared" si="25"/>
        <v>26646529</v>
      </c>
    </row>
    <row r="578" spans="1:19" x14ac:dyDescent="0.3">
      <c r="A578" s="2" t="s">
        <v>2212</v>
      </c>
      <c r="B578" s="2">
        <v>105</v>
      </c>
      <c r="C578" s="3">
        <v>82522790</v>
      </c>
      <c r="D578" s="3" t="s">
        <v>6005</v>
      </c>
      <c r="E578" s="2" t="s">
        <v>2232</v>
      </c>
      <c r="F578" s="2" t="s">
        <v>10</v>
      </c>
      <c r="G578" s="2" t="s">
        <v>11</v>
      </c>
      <c r="H578" s="2">
        <v>30000000</v>
      </c>
      <c r="I578" s="2">
        <v>6.5</v>
      </c>
      <c r="J578" s="3">
        <v>778565</v>
      </c>
      <c r="K578">
        <f t="shared" ref="K578:K641" si="26">CORREL(H$2:H$3941,J$2:J$3941)</f>
        <v>1.3775047412552699E-3</v>
      </c>
      <c r="R578" s="12" t="str">
        <f ca="1">IFERROR(__xludf.DUMMYFUNCTION("""COMPUTED_VALUE"""),"Runaway Bride ")</f>
        <v>Runaway Bride </v>
      </c>
      <c r="S578" s="12">
        <f t="shared" si="25"/>
        <v>93006080</v>
      </c>
    </row>
    <row r="579" spans="1:19" x14ac:dyDescent="0.3">
      <c r="A579" s="2" t="s">
        <v>4592</v>
      </c>
      <c r="B579" s="2">
        <v>104</v>
      </c>
      <c r="C579" s="3">
        <v>108012170</v>
      </c>
      <c r="D579" s="3" t="s">
        <v>5754</v>
      </c>
      <c r="E579" s="2" t="s">
        <v>4593</v>
      </c>
      <c r="F579" s="2" t="s">
        <v>10</v>
      </c>
      <c r="G579" s="2" t="s">
        <v>11</v>
      </c>
      <c r="H579" s="2">
        <v>15000000</v>
      </c>
      <c r="I579" s="2">
        <v>7.3</v>
      </c>
      <c r="J579" s="3">
        <v>792966</v>
      </c>
      <c r="K579">
        <f t="shared" si="26"/>
        <v>1.3775047412552699E-3</v>
      </c>
      <c r="R579" s="12" t="str">
        <f ca="1">IFERROR(__xludf.DUMMYFUNCTION("""COMPUTED_VALUE"""),"xXx ")</f>
        <v>xXx </v>
      </c>
      <c r="S579" s="12">
        <f t="shared" si="25"/>
        <v>-350622307</v>
      </c>
    </row>
    <row r="580" spans="1:19" x14ac:dyDescent="0.3">
      <c r="A580" s="2" t="s">
        <v>3654</v>
      </c>
      <c r="B580" s="2">
        <v>88</v>
      </c>
      <c r="C580" s="3">
        <v>75530832</v>
      </c>
      <c r="D580" s="3" t="s">
        <v>6006</v>
      </c>
      <c r="E580" s="2" t="s">
        <v>4184</v>
      </c>
      <c r="F580" s="2" t="s">
        <v>10</v>
      </c>
      <c r="G580" s="2" t="s">
        <v>11</v>
      </c>
      <c r="H580" s="2">
        <v>9000000</v>
      </c>
      <c r="I580" s="2">
        <v>7.1</v>
      </c>
      <c r="J580" s="3">
        <v>795126</v>
      </c>
      <c r="K580">
        <f t="shared" si="26"/>
        <v>1.3775047412552699E-3</v>
      </c>
      <c r="R580" s="12" t="str">
        <f ca="1">IFERROR(__xludf.DUMMYFUNCTION("""COMPUTED_VALUE"""),"The SpongeBob Movie: Sponge Out of Water ")</f>
        <v>The SpongeBob Movie: Sponge Out of Water </v>
      </c>
      <c r="S580" s="12">
        <f t="shared" si="25"/>
        <v>-21197944</v>
      </c>
    </row>
    <row r="581" spans="1:19" x14ac:dyDescent="0.3">
      <c r="A581" s="2" t="s">
        <v>157</v>
      </c>
      <c r="B581" s="2">
        <v>111</v>
      </c>
      <c r="C581" s="3">
        <v>132373442</v>
      </c>
      <c r="D581" s="3" t="s">
        <v>6007</v>
      </c>
      <c r="E581" s="2" t="s">
        <v>205</v>
      </c>
      <c r="F581" s="2" t="s">
        <v>10</v>
      </c>
      <c r="G581" s="2" t="s">
        <v>11</v>
      </c>
      <c r="H581" s="2">
        <v>150000000</v>
      </c>
      <c r="I581" s="2">
        <v>8</v>
      </c>
      <c r="J581" s="3">
        <v>798341</v>
      </c>
      <c r="K581">
        <f t="shared" si="26"/>
        <v>1.3775047412552699E-3</v>
      </c>
      <c r="R581" s="12" t="str">
        <f ca="1">IFERROR(__xludf.DUMMYFUNCTION("""COMPUTED_VALUE"""),"Ransom ")</f>
        <v>Ransom </v>
      </c>
      <c r="S581" s="12">
        <f t="shared" si="25"/>
        <v>98800000</v>
      </c>
    </row>
    <row r="582" spans="1:19" x14ac:dyDescent="0.3">
      <c r="A582" s="2" t="s">
        <v>1194</v>
      </c>
      <c r="B582" s="2">
        <v>95</v>
      </c>
      <c r="C582" s="3">
        <v>55461307</v>
      </c>
      <c r="D582" s="3" t="s">
        <v>5940</v>
      </c>
      <c r="E582" s="2" t="s">
        <v>3599</v>
      </c>
      <c r="F582" s="2" t="s">
        <v>10</v>
      </c>
      <c r="G582" s="2" t="s">
        <v>11</v>
      </c>
      <c r="H582" s="2">
        <v>14000000</v>
      </c>
      <c r="I582" s="2">
        <v>5.7</v>
      </c>
      <c r="J582" s="3">
        <v>800000</v>
      </c>
      <c r="K582">
        <f t="shared" si="26"/>
        <v>1.3775047412552699E-3</v>
      </c>
      <c r="R582" s="12" t="str">
        <f ca="1">IFERROR(__xludf.DUMMYFUNCTION("""COMPUTED_VALUE"""),"Inglourious Basterds ")</f>
        <v>Inglourious Basterds </v>
      </c>
      <c r="S582" s="12">
        <f t="shared" si="25"/>
        <v>-69973703</v>
      </c>
    </row>
    <row r="583" spans="1:19" x14ac:dyDescent="0.3">
      <c r="A583" s="2" t="s">
        <v>2365</v>
      </c>
      <c r="B583" s="2">
        <v>88</v>
      </c>
      <c r="C583" s="3">
        <v>88658172</v>
      </c>
      <c r="D583" s="3" t="s">
        <v>5823</v>
      </c>
      <c r="E583" s="2" t="s">
        <v>2366</v>
      </c>
      <c r="F583" s="2" t="s">
        <v>10</v>
      </c>
      <c r="G583" s="2" t="s">
        <v>2367</v>
      </c>
      <c r="H583" s="2">
        <v>12000000</v>
      </c>
      <c r="I583" s="2">
        <v>4.9000000000000004</v>
      </c>
      <c r="J583" s="3">
        <v>800000</v>
      </c>
      <c r="K583">
        <f t="shared" si="26"/>
        <v>1.3775047412552699E-3</v>
      </c>
      <c r="R583" s="12" t="str">
        <f ca="1">IFERROR(__xludf.DUMMYFUNCTION("""COMPUTED_VALUE"""),"Hook ")</f>
        <v>Hook </v>
      </c>
      <c r="S583" s="12">
        <f t="shared" si="25"/>
        <v>-455701363</v>
      </c>
    </row>
    <row r="584" spans="1:19" x14ac:dyDescent="0.3">
      <c r="A584" s="2" t="s">
        <v>799</v>
      </c>
      <c r="B584" s="2">
        <v>111</v>
      </c>
      <c r="C584" s="3">
        <v>139852971</v>
      </c>
      <c r="D584" s="3" t="s">
        <v>6008</v>
      </c>
      <c r="E584" s="2" t="s">
        <v>1044</v>
      </c>
      <c r="F584" s="2" t="s">
        <v>10</v>
      </c>
      <c r="G584" s="2" t="s">
        <v>11</v>
      </c>
      <c r="H584" s="2">
        <v>60000000</v>
      </c>
      <c r="I584" s="2">
        <v>7</v>
      </c>
      <c r="J584" s="3">
        <v>819939</v>
      </c>
      <c r="K584">
        <f t="shared" si="26"/>
        <v>1.3775047412552699E-3</v>
      </c>
      <c r="R584" s="12" t="str">
        <f ca="1">IFERROR(__xludf.DUMMYFUNCTION("""COMPUTED_VALUE"""),"Die Hard 2 ")</f>
        <v>Die Hard 2 </v>
      </c>
      <c r="S584" s="12">
        <f t="shared" si="25"/>
        <v>-4549473</v>
      </c>
    </row>
    <row r="585" spans="1:19" x14ac:dyDescent="0.3">
      <c r="A585" s="2" t="s">
        <v>965</v>
      </c>
      <c r="B585" s="2">
        <v>129</v>
      </c>
      <c r="C585" s="3">
        <v>81257500</v>
      </c>
      <c r="D585" s="3" t="s">
        <v>5823</v>
      </c>
      <c r="E585" s="2" t="s">
        <v>1413</v>
      </c>
      <c r="F585" s="2" t="s">
        <v>10</v>
      </c>
      <c r="G585" s="2" t="s">
        <v>11</v>
      </c>
      <c r="H585" s="2">
        <v>50000000</v>
      </c>
      <c r="I585" s="2">
        <v>6.5</v>
      </c>
      <c r="J585" s="3">
        <v>830210</v>
      </c>
      <c r="K585">
        <f t="shared" si="26"/>
        <v>1.3775047412552699E-3</v>
      </c>
      <c r="R585" s="12" t="str">
        <f ca="1">IFERROR(__xludf.DUMMYFUNCTION("""COMPUTED_VALUE"""),"S.W.A.T. ")</f>
        <v>S.W.A.T. </v>
      </c>
      <c r="S585" s="12">
        <f t="shared" si="25"/>
        <v>38224849</v>
      </c>
    </row>
    <row r="586" spans="1:19" x14ac:dyDescent="0.3">
      <c r="A586" s="2" t="s">
        <v>89</v>
      </c>
      <c r="B586" s="2">
        <v>103</v>
      </c>
      <c r="C586" s="3">
        <v>169076745</v>
      </c>
      <c r="D586" s="3" t="s">
        <v>6009</v>
      </c>
      <c r="E586" s="2" t="s">
        <v>5245</v>
      </c>
      <c r="F586" s="2" t="s">
        <v>10</v>
      </c>
      <c r="G586" s="2" t="s">
        <v>11</v>
      </c>
      <c r="H586" s="2">
        <v>1200000</v>
      </c>
      <c r="I586" s="2">
        <v>7.7</v>
      </c>
      <c r="J586" s="3">
        <v>856942</v>
      </c>
      <c r="K586">
        <f t="shared" si="26"/>
        <v>1.3775047412552699E-3</v>
      </c>
      <c r="R586" s="12" t="str">
        <f ca="1">IFERROR(__xludf.DUMMYFUNCTION("""COMPUTED_VALUE"""),"Vanilla Sky ")</f>
        <v>Vanilla Sky </v>
      </c>
      <c r="S586" s="12">
        <f t="shared" si="25"/>
        <v>197832128</v>
      </c>
    </row>
    <row r="587" spans="1:19" x14ac:dyDescent="0.3">
      <c r="A587" s="2" t="s">
        <v>5177</v>
      </c>
      <c r="B587" s="2">
        <v>123</v>
      </c>
      <c r="C587" s="3">
        <v>48114556</v>
      </c>
      <c r="D587" s="3" t="s">
        <v>6010</v>
      </c>
      <c r="E587" s="2" t="s">
        <v>5178</v>
      </c>
      <c r="F587" s="2" t="s">
        <v>751</v>
      </c>
      <c r="G587" s="2" t="s">
        <v>504</v>
      </c>
      <c r="H587" s="2">
        <v>1600000</v>
      </c>
      <c r="I587" s="2">
        <v>7.2</v>
      </c>
      <c r="J587" s="3">
        <v>860002</v>
      </c>
      <c r="K587">
        <f t="shared" si="26"/>
        <v>1.3775047412552699E-3</v>
      </c>
      <c r="R587" s="12" t="str">
        <f ca="1">IFERROR(__xludf.DUMMYFUNCTION("""COMPUTED_VALUE"""),"Lady in the Water ")</f>
        <v>Lady in the Water </v>
      </c>
      <c r="S587" s="12">
        <f t="shared" si="25"/>
        <v>14300771</v>
      </c>
    </row>
    <row r="588" spans="1:19" x14ac:dyDescent="0.3">
      <c r="A588" s="2" t="s">
        <v>819</v>
      </c>
      <c r="B588" s="2">
        <v>94</v>
      </c>
      <c r="C588" s="3">
        <v>88504640</v>
      </c>
      <c r="D588" s="3" t="s">
        <v>6004</v>
      </c>
      <c r="E588" s="2" t="s">
        <v>1281</v>
      </c>
      <c r="F588" s="2" t="s">
        <v>10</v>
      </c>
      <c r="G588" s="2" t="s">
        <v>11</v>
      </c>
      <c r="H588" s="2">
        <v>50000000</v>
      </c>
      <c r="I588" s="2">
        <v>7.1</v>
      </c>
      <c r="J588" s="3">
        <v>864959</v>
      </c>
      <c r="K588">
        <f t="shared" si="26"/>
        <v>1.3775047412552699E-3</v>
      </c>
      <c r="R588" s="12" t="str">
        <f ca="1">IFERROR(__xludf.DUMMYFUNCTION("""COMPUTED_VALUE"""),"AVP: Alien vs. Predator ")</f>
        <v>AVP: Alien vs. Predator </v>
      </c>
      <c r="S588" s="12">
        <f t="shared" si="25"/>
        <v>57821039</v>
      </c>
    </row>
    <row r="589" spans="1:19" x14ac:dyDescent="0.3">
      <c r="A589" s="2" t="s">
        <v>122</v>
      </c>
      <c r="B589" s="2">
        <v>92</v>
      </c>
      <c r="C589" s="3">
        <v>55865715</v>
      </c>
      <c r="D589" s="3" t="s">
        <v>5773</v>
      </c>
      <c r="E589" s="2" t="s">
        <v>382</v>
      </c>
      <c r="F589" s="2" t="s">
        <v>10</v>
      </c>
      <c r="G589" s="2" t="s">
        <v>11</v>
      </c>
      <c r="H589" s="2">
        <v>115000000</v>
      </c>
      <c r="I589" s="2">
        <v>8.1</v>
      </c>
      <c r="J589" s="3">
        <v>866778</v>
      </c>
      <c r="K589">
        <f t="shared" si="26"/>
        <v>1.3775047412552699E-3</v>
      </c>
      <c r="R589" s="12" t="str">
        <f ca="1">IFERROR(__xludf.DUMMYFUNCTION("""COMPUTED_VALUE"""),"Alvin and the Chipmunks: The Squeakquel ")</f>
        <v>Alvin and the Chipmunks: The Squeakquel </v>
      </c>
      <c r="S589" s="12">
        <f t="shared" si="25"/>
        <v>95307945</v>
      </c>
    </row>
    <row r="590" spans="1:19" x14ac:dyDescent="0.3">
      <c r="A590" s="2" t="s">
        <v>3168</v>
      </c>
      <c r="B590" s="2">
        <v>109</v>
      </c>
      <c r="C590" s="3">
        <v>72515360</v>
      </c>
      <c r="D590" s="3" t="s">
        <v>6011</v>
      </c>
      <c r="E590" s="2" t="s">
        <v>3169</v>
      </c>
      <c r="F590" s="2" t="s">
        <v>10</v>
      </c>
      <c r="G590" s="2" t="s">
        <v>11</v>
      </c>
      <c r="H590" s="2">
        <v>18000000</v>
      </c>
      <c r="I590" s="2">
        <v>5.6</v>
      </c>
      <c r="J590" s="3">
        <v>869325</v>
      </c>
      <c r="K590">
        <f t="shared" si="26"/>
        <v>1.3775047412552699E-3</v>
      </c>
      <c r="R590" s="12" t="str">
        <f ca="1">IFERROR(__xludf.DUMMYFUNCTION("""COMPUTED_VALUE"""),"We Were Soldiers ")</f>
        <v>We Were Soldiers </v>
      </c>
      <c r="S590" s="12">
        <f t="shared" si="25"/>
        <v>43862068</v>
      </c>
    </row>
    <row r="591" spans="1:19" x14ac:dyDescent="0.3">
      <c r="A591" s="2" t="s">
        <v>712</v>
      </c>
      <c r="B591" s="2">
        <v>89</v>
      </c>
      <c r="C591" s="3">
        <v>24800000</v>
      </c>
      <c r="D591" s="3" t="s">
        <v>5847</v>
      </c>
      <c r="E591" s="2" t="s">
        <v>4485</v>
      </c>
      <c r="F591" s="2" t="s">
        <v>10</v>
      </c>
      <c r="G591" s="2" t="s">
        <v>11</v>
      </c>
      <c r="H591" s="2">
        <v>8000000</v>
      </c>
      <c r="I591" s="2">
        <v>5.0999999999999996</v>
      </c>
      <c r="J591" s="3">
        <v>871527</v>
      </c>
      <c r="K591">
        <f t="shared" si="26"/>
        <v>1.3775047412552699E-3</v>
      </c>
      <c r="R591" s="12" t="str">
        <f ca="1">IFERROR(__xludf.DUMMYFUNCTION("""COMPUTED_VALUE"""),"Olympus Has Fallen ")</f>
        <v>Olympus Has Fallen </v>
      </c>
      <c r="S591" s="12">
        <f t="shared" si="25"/>
        <v>79853835</v>
      </c>
    </row>
    <row r="592" spans="1:19" x14ac:dyDescent="0.3">
      <c r="A592" s="2" t="s">
        <v>2502</v>
      </c>
      <c r="B592" s="2">
        <v>135</v>
      </c>
      <c r="C592" s="3">
        <v>70001065</v>
      </c>
      <c r="D592" s="3" t="s">
        <v>5778</v>
      </c>
      <c r="E592" s="2" t="s">
        <v>4891</v>
      </c>
      <c r="F592" s="2" t="s">
        <v>4437</v>
      </c>
      <c r="G592" s="2" t="s">
        <v>4438</v>
      </c>
      <c r="H592" s="2">
        <v>3300000</v>
      </c>
      <c r="I592" s="2">
        <v>8.6999999999999993</v>
      </c>
      <c r="J592" s="3">
        <v>871577</v>
      </c>
      <c r="K592">
        <f t="shared" si="26"/>
        <v>1.3775047412552699E-3</v>
      </c>
      <c r="R592" s="12" t="str">
        <f ca="1">IFERROR(__xludf.DUMMYFUNCTION("""COMPUTED_VALUE"""),"Star Trek: Insurrection ")</f>
        <v>Star Trek: Insurrection </v>
      </c>
      <c r="S592" s="12">
        <f t="shared" si="25"/>
        <v>110420252</v>
      </c>
    </row>
    <row r="593" spans="1:19" x14ac:dyDescent="0.3">
      <c r="A593" s="2" t="s">
        <v>1100</v>
      </c>
      <c r="B593" s="2">
        <v>133</v>
      </c>
      <c r="C593" s="3">
        <v>64238770</v>
      </c>
      <c r="D593" s="3" t="s">
        <v>6012</v>
      </c>
      <c r="E593" s="2" t="s">
        <v>1268</v>
      </c>
      <c r="F593" s="2" t="s">
        <v>751</v>
      </c>
      <c r="G593" s="2" t="s">
        <v>504</v>
      </c>
      <c r="H593" s="2">
        <v>47000000</v>
      </c>
      <c r="I593" s="2">
        <v>7.7</v>
      </c>
      <c r="J593" s="3">
        <v>872643</v>
      </c>
      <c r="K593">
        <f t="shared" si="26"/>
        <v>1.3775047412552699E-3</v>
      </c>
      <c r="R593" s="12" t="str">
        <f ca="1">IFERROR(__xludf.DUMMYFUNCTION("""COMPUTED_VALUE"""),"Battle Los Angeles ")</f>
        <v>Battle Los Angeles </v>
      </c>
      <c r="S593" s="12">
        <f t="shared" si="25"/>
        <v>81299761</v>
      </c>
    </row>
    <row r="594" spans="1:19" x14ac:dyDescent="0.3">
      <c r="A594" s="2" t="s">
        <v>1333</v>
      </c>
      <c r="B594" s="2">
        <v>107</v>
      </c>
      <c r="C594" s="3">
        <v>11860839</v>
      </c>
      <c r="D594" s="3" t="s">
        <v>6013</v>
      </c>
      <c r="E594" s="2" t="s">
        <v>1334</v>
      </c>
      <c r="F594" s="2" t="s">
        <v>10</v>
      </c>
      <c r="G594" s="2" t="s">
        <v>11</v>
      </c>
      <c r="H594" s="2">
        <v>50000000</v>
      </c>
      <c r="I594" s="2">
        <v>6.6</v>
      </c>
      <c r="J594" s="3">
        <v>876671</v>
      </c>
      <c r="K594">
        <f t="shared" si="26"/>
        <v>1.3775047412552699E-3</v>
      </c>
      <c r="R594" s="12" t="str">
        <f ca="1">IFERROR(__xludf.DUMMYFUNCTION("""COMPUTED_VALUE"""),"Big Fish ")</f>
        <v>Big Fish </v>
      </c>
      <c r="S594" s="12">
        <f t="shared" si="25"/>
        <v>-24996928</v>
      </c>
    </row>
    <row r="595" spans="1:19" x14ac:dyDescent="0.3">
      <c r="A595" s="2" t="s">
        <v>5206</v>
      </c>
      <c r="B595" s="2">
        <v>91</v>
      </c>
      <c r="C595" s="3">
        <v>63231524</v>
      </c>
      <c r="D595" s="3" t="s">
        <v>5930</v>
      </c>
      <c r="E595" s="2" t="s">
        <v>5207</v>
      </c>
      <c r="F595" s="2" t="s">
        <v>10</v>
      </c>
      <c r="G595" s="2" t="s">
        <v>11</v>
      </c>
      <c r="H595" s="2">
        <v>1500000</v>
      </c>
      <c r="I595" s="2">
        <v>6.5</v>
      </c>
      <c r="J595" s="3">
        <v>882290</v>
      </c>
      <c r="K595">
        <f t="shared" si="26"/>
        <v>1.3775047412552699E-3</v>
      </c>
      <c r="R595" s="12" t="str">
        <f ca="1">IFERROR(__xludf.DUMMYFUNCTION("""COMPUTED_VALUE"""),"Wolf ")</f>
        <v>Wolf </v>
      </c>
      <c r="S595" s="12">
        <f t="shared" si="25"/>
        <v>79287363</v>
      </c>
    </row>
    <row r="596" spans="1:19" x14ac:dyDescent="0.3">
      <c r="A596" s="2" t="s">
        <v>1902</v>
      </c>
      <c r="B596" s="2">
        <v>101</v>
      </c>
      <c r="C596" s="3">
        <v>31838002</v>
      </c>
      <c r="D596" s="3" t="s">
        <v>5861</v>
      </c>
      <c r="E596" s="2" t="s">
        <v>2703</v>
      </c>
      <c r="F596" s="2" t="s">
        <v>10</v>
      </c>
      <c r="G596" s="2" t="s">
        <v>11</v>
      </c>
      <c r="H596" s="2">
        <v>24000000</v>
      </c>
      <c r="I596" s="2">
        <v>6.6</v>
      </c>
      <c r="J596" s="3">
        <v>882710</v>
      </c>
      <c r="K596">
        <f t="shared" si="26"/>
        <v>1.3775047412552699E-3</v>
      </c>
      <c r="R596" s="12" t="str">
        <f ca="1">IFERROR(__xludf.DUMMYFUNCTION("""COMPUTED_VALUE"""),"War Horse ")</f>
        <v>War Horse </v>
      </c>
      <c r="S596" s="12">
        <f t="shared" si="25"/>
        <v>-114083691</v>
      </c>
    </row>
    <row r="597" spans="1:19" x14ac:dyDescent="0.3">
      <c r="A597" s="2" t="s">
        <v>1820</v>
      </c>
      <c r="B597" s="2">
        <v>107</v>
      </c>
      <c r="C597" s="3">
        <v>58715510</v>
      </c>
      <c r="D597" s="3" t="s">
        <v>5921</v>
      </c>
      <c r="E597" s="2" t="s">
        <v>4408</v>
      </c>
      <c r="F597" s="2" t="s">
        <v>751</v>
      </c>
      <c r="G597" s="2" t="s">
        <v>504</v>
      </c>
      <c r="H597" s="2">
        <v>50000000</v>
      </c>
      <c r="I597" s="2">
        <v>7</v>
      </c>
      <c r="J597" s="3">
        <v>883887</v>
      </c>
      <c r="K597">
        <f t="shared" si="26"/>
        <v>1.3775047412552699E-3</v>
      </c>
      <c r="R597" s="12" t="str">
        <f ca="1">IFERROR(__xludf.DUMMYFUNCTION("""COMPUTED_VALUE"""),"The Monuments Men ")</f>
        <v>The Monuments Men </v>
      </c>
      <c r="S597" s="12">
        <f t="shared" si="25"/>
        <v>68367693</v>
      </c>
    </row>
    <row r="598" spans="1:19" x14ac:dyDescent="0.3">
      <c r="A598" s="2" t="s">
        <v>3855</v>
      </c>
      <c r="B598" s="2">
        <v>99</v>
      </c>
      <c r="C598" s="3">
        <v>92930005</v>
      </c>
      <c r="D598" s="3" t="s">
        <v>6014</v>
      </c>
      <c r="E598" s="2" t="s">
        <v>3856</v>
      </c>
      <c r="F598" s="2" t="s">
        <v>10</v>
      </c>
      <c r="G598" s="2" t="s">
        <v>16</v>
      </c>
      <c r="H598" s="2">
        <v>12000000</v>
      </c>
      <c r="I598" s="2">
        <v>6.8</v>
      </c>
      <c r="J598" s="3">
        <v>886410</v>
      </c>
      <c r="K598">
        <f t="shared" si="26"/>
        <v>1.3775047412552699E-3</v>
      </c>
      <c r="R598" s="12" t="str">
        <f ca="1">IFERROR(__xludf.DUMMYFUNCTION("""COMPUTED_VALUE"""),"The Abyss ")</f>
        <v>The Abyss </v>
      </c>
      <c r="S598" s="12">
        <f t="shared" si="25"/>
        <v>158400000</v>
      </c>
    </row>
    <row r="599" spans="1:19" x14ac:dyDescent="0.3">
      <c r="A599" s="2" t="s">
        <v>1124</v>
      </c>
      <c r="B599" s="2">
        <v>100</v>
      </c>
      <c r="C599" s="3">
        <v>55845943</v>
      </c>
      <c r="D599" s="3" t="s">
        <v>5752</v>
      </c>
      <c r="E599" s="2" t="s">
        <v>1125</v>
      </c>
      <c r="F599" s="2" t="s">
        <v>10</v>
      </c>
      <c r="G599" s="2" t="s">
        <v>11</v>
      </c>
      <c r="H599" s="2">
        <v>60000000</v>
      </c>
      <c r="I599" s="2">
        <v>6.3</v>
      </c>
      <c r="J599" s="3">
        <v>900926</v>
      </c>
      <c r="K599">
        <f t="shared" si="26"/>
        <v>1.3775047412552699E-3</v>
      </c>
      <c r="R599" s="12" t="str">
        <f ca="1">IFERROR(__xludf.DUMMYFUNCTION("""COMPUTED_VALUE"""),"Wall Street: Money Never Sleeps ")</f>
        <v>Wall Street: Money Never Sleeps </v>
      </c>
      <c r="S599" s="12">
        <f t="shared" si="25"/>
        <v>-25190453</v>
      </c>
    </row>
    <row r="600" spans="1:19" x14ac:dyDescent="0.3">
      <c r="A600" s="2" t="s">
        <v>89</v>
      </c>
      <c r="B600" s="2">
        <v>134</v>
      </c>
      <c r="C600" s="3">
        <v>173381405</v>
      </c>
      <c r="D600" s="3" t="s">
        <v>5813</v>
      </c>
      <c r="E600" s="2" t="s">
        <v>1672</v>
      </c>
      <c r="F600" s="2" t="s">
        <v>10</v>
      </c>
      <c r="G600" s="2" t="s">
        <v>11</v>
      </c>
      <c r="H600" s="2">
        <v>40000000</v>
      </c>
      <c r="I600" s="2">
        <v>7.8</v>
      </c>
      <c r="J600" s="3">
        <v>902835</v>
      </c>
      <c r="K600">
        <f t="shared" si="26"/>
        <v>1.3775047412552699E-3</v>
      </c>
      <c r="R600" s="12" t="str">
        <f ca="1">IFERROR(__xludf.DUMMYFUNCTION("""COMPUTED_VALUE"""),"Dracula Untold ")</f>
        <v>Dracula Untold </v>
      </c>
      <c r="S600" s="12">
        <f t="shared" si="25"/>
        <v>52522790</v>
      </c>
    </row>
    <row r="601" spans="1:19" x14ac:dyDescent="0.3">
      <c r="A601" s="2" t="s">
        <v>274</v>
      </c>
      <c r="B601" s="2">
        <v>98</v>
      </c>
      <c r="C601" s="3">
        <v>150167630</v>
      </c>
      <c r="D601" s="3" t="s">
        <v>5826</v>
      </c>
      <c r="E601" s="2" t="s">
        <v>1841</v>
      </c>
      <c r="F601" s="2" t="s">
        <v>10</v>
      </c>
      <c r="G601" s="2" t="s">
        <v>11</v>
      </c>
      <c r="H601" s="2">
        <v>23000000</v>
      </c>
      <c r="I601" s="2">
        <v>7.6</v>
      </c>
      <c r="J601" s="3">
        <v>906666</v>
      </c>
      <c r="K601">
        <f t="shared" si="26"/>
        <v>1.3775047412552699E-3</v>
      </c>
      <c r="R601" s="12" t="str">
        <f ca="1">IFERROR(__xludf.DUMMYFUNCTION("""COMPUTED_VALUE"""),"The Siege ")</f>
        <v>The Siege </v>
      </c>
      <c r="S601" s="12">
        <f t="shared" ref="S601:S664" si="27">C579-H579</f>
        <v>93012170</v>
      </c>
    </row>
    <row r="602" spans="1:19" x14ac:dyDescent="0.3">
      <c r="A602" s="2" t="s">
        <v>5257</v>
      </c>
      <c r="B602" s="2">
        <v>112</v>
      </c>
      <c r="C602" s="3">
        <v>180191634</v>
      </c>
      <c r="D602" s="3" t="s">
        <v>5910</v>
      </c>
      <c r="E602" s="2" t="s">
        <v>5258</v>
      </c>
      <c r="F602" s="2" t="s">
        <v>4437</v>
      </c>
      <c r="G602" s="2" t="s">
        <v>4438</v>
      </c>
      <c r="H602" s="2">
        <v>4000000</v>
      </c>
      <c r="I602" s="2">
        <v>7.9</v>
      </c>
      <c r="J602" s="3">
        <v>925402</v>
      </c>
      <c r="K602">
        <f t="shared" si="26"/>
        <v>1.3775047412552699E-3</v>
      </c>
      <c r="R602" s="12" t="str">
        <f ca="1">IFERROR(__xludf.DUMMYFUNCTION("""COMPUTED_VALUE"""),"Stardust ")</f>
        <v>Stardust </v>
      </c>
      <c r="S602" s="12">
        <f t="shared" si="27"/>
        <v>66530832</v>
      </c>
    </row>
    <row r="603" spans="1:19" x14ac:dyDescent="0.3">
      <c r="A603" s="2" t="s">
        <v>705</v>
      </c>
      <c r="B603" s="2">
        <v>98</v>
      </c>
      <c r="C603" s="3">
        <v>67523385</v>
      </c>
      <c r="D603" s="3" t="s">
        <v>5970</v>
      </c>
      <c r="E603" s="2" t="s">
        <v>706</v>
      </c>
      <c r="F603" s="2" t="s">
        <v>10</v>
      </c>
      <c r="G603" s="2" t="s">
        <v>11</v>
      </c>
      <c r="H603" s="2">
        <v>70000000</v>
      </c>
      <c r="I603" s="2">
        <v>5.7</v>
      </c>
      <c r="J603" s="3">
        <v>927107</v>
      </c>
      <c r="K603">
        <f t="shared" si="26"/>
        <v>1.3775047412552699E-3</v>
      </c>
      <c r="R603" s="12" t="str">
        <f ca="1">IFERROR(__xludf.DUMMYFUNCTION("""COMPUTED_VALUE"""),"Seven Years in Tibet ")</f>
        <v>Seven Years in Tibet </v>
      </c>
      <c r="S603" s="12">
        <f t="shared" si="27"/>
        <v>-17626558</v>
      </c>
    </row>
    <row r="604" spans="1:19" x14ac:dyDescent="0.3">
      <c r="A604" s="2" t="s">
        <v>1997</v>
      </c>
      <c r="B604" s="2">
        <v>89</v>
      </c>
      <c r="C604" s="3">
        <v>102315545</v>
      </c>
      <c r="D604" s="3" t="s">
        <v>6015</v>
      </c>
      <c r="E604" s="2" t="s">
        <v>4982</v>
      </c>
      <c r="F604" s="2" t="s">
        <v>751</v>
      </c>
      <c r="G604" s="2" t="s">
        <v>504</v>
      </c>
      <c r="H604" s="2">
        <v>2200000</v>
      </c>
      <c r="I604" s="2">
        <v>6.8</v>
      </c>
      <c r="J604" s="3">
        <v>952620</v>
      </c>
      <c r="K604">
        <f t="shared" si="26"/>
        <v>1.3775047412552699E-3</v>
      </c>
      <c r="R604" s="12" t="str">
        <f ca="1">IFERROR(__xludf.DUMMYFUNCTION("""COMPUTED_VALUE"""),"The Dilemma ")</f>
        <v>The Dilemma </v>
      </c>
      <c r="S604" s="12">
        <f t="shared" si="27"/>
        <v>41461307</v>
      </c>
    </row>
    <row r="605" spans="1:19" x14ac:dyDescent="0.3">
      <c r="A605" s="2" t="s">
        <v>3521</v>
      </c>
      <c r="B605" s="2">
        <v>91</v>
      </c>
      <c r="C605" s="2">
        <v>8080116</v>
      </c>
      <c r="D605" s="3" t="s">
        <v>520</v>
      </c>
      <c r="E605" s="2" t="s">
        <v>3522</v>
      </c>
      <c r="F605" s="2" t="s">
        <v>10</v>
      </c>
      <c r="G605" s="2" t="s">
        <v>11</v>
      </c>
      <c r="H605" s="2">
        <v>15000000</v>
      </c>
      <c r="I605" s="2">
        <v>5.6</v>
      </c>
      <c r="J605" s="3">
        <v>958319</v>
      </c>
      <c r="K605">
        <f t="shared" si="26"/>
        <v>1.3775047412552699E-3</v>
      </c>
      <c r="R605" s="12" t="str">
        <f ca="1">IFERROR(__xludf.DUMMYFUNCTION("""COMPUTED_VALUE"""),"Bad Company ")</f>
        <v>Bad Company </v>
      </c>
      <c r="S605" s="12">
        <f t="shared" si="27"/>
        <v>76658172</v>
      </c>
    </row>
    <row r="606" spans="1:19" x14ac:dyDescent="0.3">
      <c r="A606" s="2" t="s">
        <v>519</v>
      </c>
      <c r="B606" s="2">
        <v>106</v>
      </c>
      <c r="C606" s="3">
        <v>106694016</v>
      </c>
      <c r="D606" s="3" t="s">
        <v>6016</v>
      </c>
      <c r="E606" s="2" t="s">
        <v>1029</v>
      </c>
      <c r="F606" s="2" t="s">
        <v>10</v>
      </c>
      <c r="G606" s="2" t="s">
        <v>11</v>
      </c>
      <c r="H606" s="2">
        <v>80000000</v>
      </c>
      <c r="I606" s="2">
        <v>6.3</v>
      </c>
      <c r="J606" s="3">
        <v>978908</v>
      </c>
      <c r="K606">
        <f t="shared" si="26"/>
        <v>1.3775047412552699E-3</v>
      </c>
      <c r="R606" s="12" t="str">
        <f ca="1">IFERROR(__xludf.DUMMYFUNCTION("""COMPUTED_VALUE"""),"Doom ")</f>
        <v>Doom </v>
      </c>
      <c r="S606" s="12">
        <f t="shared" si="27"/>
        <v>79852971</v>
      </c>
    </row>
    <row r="607" spans="1:19" x14ac:dyDescent="0.3">
      <c r="A607" s="2" t="s">
        <v>814</v>
      </c>
      <c r="B607" s="2">
        <v>121</v>
      </c>
      <c r="C607" s="3">
        <v>132122995</v>
      </c>
      <c r="D607" s="3" t="s">
        <v>5815</v>
      </c>
      <c r="E607" s="2" t="s">
        <v>2474</v>
      </c>
      <c r="F607" s="2" t="s">
        <v>10</v>
      </c>
      <c r="G607" s="2" t="s">
        <v>11</v>
      </c>
      <c r="H607" s="2">
        <v>26000000</v>
      </c>
      <c r="I607" s="2">
        <v>7</v>
      </c>
      <c r="J607" s="3">
        <v>982214</v>
      </c>
      <c r="K607">
        <f t="shared" si="26"/>
        <v>1.3775047412552699E-3</v>
      </c>
      <c r="R607" s="12" t="str">
        <f ca="1">IFERROR(__xludf.DUMMYFUNCTION("""COMPUTED_VALUE"""),"I Spy ")</f>
        <v>I Spy </v>
      </c>
      <c r="S607" s="12">
        <f t="shared" si="27"/>
        <v>31257500</v>
      </c>
    </row>
    <row r="608" spans="1:19" x14ac:dyDescent="0.3">
      <c r="A608" s="2" t="s">
        <v>5199</v>
      </c>
      <c r="B608" s="2">
        <v>98</v>
      </c>
      <c r="C608" s="3">
        <v>150368971</v>
      </c>
      <c r="D608" s="3" t="s">
        <v>5869</v>
      </c>
      <c r="E608" s="2" t="s">
        <v>5200</v>
      </c>
      <c r="F608" s="2" t="s">
        <v>10</v>
      </c>
      <c r="G608" s="2" t="s">
        <v>11</v>
      </c>
      <c r="H608" s="2">
        <v>1500000</v>
      </c>
      <c r="I608" s="2">
        <v>7.2</v>
      </c>
      <c r="J608" s="3">
        <v>985341</v>
      </c>
      <c r="K608">
        <f t="shared" si="26"/>
        <v>1.3775047412552699E-3</v>
      </c>
      <c r="R608" s="12" t="str">
        <f ca="1">IFERROR(__xludf.DUMMYFUNCTION("""COMPUTED_VALUE"""),"Underworld: Awakening ")</f>
        <v>Underworld: Awakening </v>
      </c>
      <c r="S608" s="12">
        <f t="shared" si="27"/>
        <v>167876745</v>
      </c>
    </row>
    <row r="609" spans="1:19" x14ac:dyDescent="0.3">
      <c r="A609" s="2" t="s">
        <v>590</v>
      </c>
      <c r="B609" s="2">
        <v>90</v>
      </c>
      <c r="C609" s="3">
        <v>117144465</v>
      </c>
      <c r="D609" s="3" t="s">
        <v>6017</v>
      </c>
      <c r="E609" s="2" t="s">
        <v>4708</v>
      </c>
      <c r="F609" s="2" t="s">
        <v>10</v>
      </c>
      <c r="G609" s="2" t="s">
        <v>11</v>
      </c>
      <c r="H609" s="2">
        <v>5000000</v>
      </c>
      <c r="I609" s="2">
        <v>6.2</v>
      </c>
      <c r="J609" s="3">
        <v>992238</v>
      </c>
      <c r="K609">
        <f t="shared" si="26"/>
        <v>1.3775047412552699E-3</v>
      </c>
      <c r="R609" s="12" t="str">
        <f ca="1">IFERROR(__xludf.DUMMYFUNCTION("""COMPUTED_VALUE"""),"Rock of Ages ")</f>
        <v>Rock of Ages </v>
      </c>
      <c r="S609" s="12">
        <f t="shared" si="27"/>
        <v>46514556</v>
      </c>
    </row>
    <row r="610" spans="1:19" x14ac:dyDescent="0.3">
      <c r="A610" s="2" t="s">
        <v>705</v>
      </c>
      <c r="B610" s="2">
        <v>107</v>
      </c>
      <c r="C610" s="3">
        <v>41954997</v>
      </c>
      <c r="D610" s="3" t="s">
        <v>5813</v>
      </c>
      <c r="E610" s="2" t="s">
        <v>3384</v>
      </c>
      <c r="F610" s="2" t="s">
        <v>10</v>
      </c>
      <c r="G610" s="2" t="s">
        <v>11</v>
      </c>
      <c r="H610" s="2">
        <v>15000000</v>
      </c>
      <c r="I610" s="2">
        <v>6</v>
      </c>
      <c r="J610" s="3">
        <v>1000000</v>
      </c>
      <c r="K610">
        <f t="shared" si="26"/>
        <v>1.3775047412552699E-3</v>
      </c>
      <c r="R610" s="12" t="str">
        <f ca="1">IFERROR(__xludf.DUMMYFUNCTION("""COMPUTED_VALUE"""),"Hart's War ")</f>
        <v>Hart's War </v>
      </c>
      <c r="S610" s="12">
        <f t="shared" si="27"/>
        <v>38504640</v>
      </c>
    </row>
    <row r="611" spans="1:19" x14ac:dyDescent="0.3">
      <c r="A611" s="2" t="s">
        <v>1093</v>
      </c>
      <c r="B611" s="2">
        <v>92</v>
      </c>
      <c r="C611" s="3">
        <v>66808615</v>
      </c>
      <c r="D611" s="3" t="s">
        <v>6009</v>
      </c>
      <c r="E611" s="2" t="s">
        <v>1094</v>
      </c>
      <c r="F611" s="2" t="s">
        <v>10</v>
      </c>
      <c r="G611" s="2" t="s">
        <v>11</v>
      </c>
      <c r="H611" s="2">
        <v>60000000</v>
      </c>
      <c r="I611" s="2">
        <v>5.4</v>
      </c>
      <c r="J611" s="3">
        <v>1000000</v>
      </c>
      <c r="K611">
        <f t="shared" si="26"/>
        <v>1.3775047412552699E-3</v>
      </c>
      <c r="R611" s="12" t="str">
        <f ca="1">IFERROR(__xludf.DUMMYFUNCTION("""COMPUTED_VALUE"""),"Killer Elite ")</f>
        <v>Killer Elite </v>
      </c>
      <c r="S611" s="12">
        <f t="shared" si="27"/>
        <v>-59134285</v>
      </c>
    </row>
    <row r="612" spans="1:19" x14ac:dyDescent="0.3">
      <c r="A612" s="2" t="s">
        <v>4568</v>
      </c>
      <c r="B612" s="2">
        <v>97</v>
      </c>
      <c r="C612" s="3">
        <v>141204016</v>
      </c>
      <c r="D612" s="3" t="s">
        <v>5863</v>
      </c>
      <c r="E612" s="2" t="s">
        <v>4569</v>
      </c>
      <c r="F612" s="2" t="s">
        <v>751</v>
      </c>
      <c r="G612" s="2" t="s">
        <v>504</v>
      </c>
      <c r="H612" s="2">
        <v>5500000</v>
      </c>
      <c r="I612" s="2">
        <v>7.9</v>
      </c>
      <c r="J612" s="3">
        <v>1001437</v>
      </c>
      <c r="K612">
        <f t="shared" si="26"/>
        <v>1.3775047412552699E-3</v>
      </c>
      <c r="R612" s="12" t="str">
        <f ca="1">IFERROR(__xludf.DUMMYFUNCTION("""COMPUTED_VALUE"""),"Rollerball ")</f>
        <v>Rollerball </v>
      </c>
      <c r="S612" s="12">
        <f t="shared" si="27"/>
        <v>54515360</v>
      </c>
    </row>
    <row r="613" spans="1:19" x14ac:dyDescent="0.3">
      <c r="A613" s="2" t="s">
        <v>2799</v>
      </c>
      <c r="B613" s="2">
        <v>104</v>
      </c>
      <c r="C613" s="3">
        <v>138447667</v>
      </c>
      <c r="D613" s="3" t="s">
        <v>5919</v>
      </c>
      <c r="E613" s="2" t="s">
        <v>2800</v>
      </c>
      <c r="F613" s="2" t="s">
        <v>10</v>
      </c>
      <c r="G613" s="2" t="s">
        <v>11</v>
      </c>
      <c r="H613" s="2">
        <v>23500000</v>
      </c>
      <c r="I613" s="2">
        <v>3.9</v>
      </c>
      <c r="J613" s="3">
        <v>1007962</v>
      </c>
      <c r="K613">
        <f t="shared" si="26"/>
        <v>1.3775047412552699E-3</v>
      </c>
      <c r="R613" s="12" t="str">
        <f ca="1">IFERROR(__xludf.DUMMYFUNCTION("""COMPUTED_VALUE"""),"Ballistic: Ecks vs. Sever ")</f>
        <v>Ballistic: Ecks vs. Sever </v>
      </c>
      <c r="S613" s="12">
        <f t="shared" si="27"/>
        <v>16800000</v>
      </c>
    </row>
    <row r="614" spans="1:19" x14ac:dyDescent="0.3">
      <c r="A614" s="2" t="s">
        <v>330</v>
      </c>
      <c r="B614" s="2">
        <v>124</v>
      </c>
      <c r="C614" s="3">
        <v>55808744</v>
      </c>
      <c r="D614" s="3" t="s">
        <v>6018</v>
      </c>
      <c r="E614" s="2" t="s">
        <v>1335</v>
      </c>
      <c r="F614" s="2" t="s">
        <v>10</v>
      </c>
      <c r="G614" s="2" t="s">
        <v>11</v>
      </c>
      <c r="H614" s="2">
        <v>50000000</v>
      </c>
      <c r="I614" s="2">
        <v>6.7</v>
      </c>
      <c r="J614" s="3">
        <v>1011054</v>
      </c>
      <c r="K614">
        <f t="shared" si="26"/>
        <v>1.3775047412552699E-3</v>
      </c>
      <c r="R614" s="12" t="str">
        <f ca="1">IFERROR(__xludf.DUMMYFUNCTION("""COMPUTED_VALUE"""),"Hard Rain ")</f>
        <v>Hard Rain </v>
      </c>
      <c r="S614" s="12">
        <f t="shared" si="27"/>
        <v>66701065</v>
      </c>
    </row>
    <row r="615" spans="1:19" x14ac:dyDescent="0.3">
      <c r="A615" s="2" t="s">
        <v>350</v>
      </c>
      <c r="B615" s="2">
        <v>119</v>
      </c>
      <c r="C615" s="3">
        <v>44450000</v>
      </c>
      <c r="D615" s="3" t="s">
        <v>5852</v>
      </c>
      <c r="E615" s="2" t="s">
        <v>1512</v>
      </c>
      <c r="F615" s="2" t="s">
        <v>10</v>
      </c>
      <c r="G615" s="2" t="s">
        <v>11</v>
      </c>
      <c r="H615" s="2">
        <v>45000000</v>
      </c>
      <c r="I615" s="2">
        <v>6.7</v>
      </c>
      <c r="J615" s="3">
        <v>1024175</v>
      </c>
      <c r="K615">
        <f t="shared" si="26"/>
        <v>1.3775047412552699E-3</v>
      </c>
      <c r="R615" s="12" t="str">
        <f ca="1">IFERROR(__xludf.DUMMYFUNCTION("""COMPUTED_VALUE"""),"Osmosis Jones ")</f>
        <v>Osmosis Jones </v>
      </c>
      <c r="S615" s="12">
        <f t="shared" si="27"/>
        <v>17238770</v>
      </c>
    </row>
    <row r="616" spans="1:19" x14ac:dyDescent="0.3">
      <c r="A616" s="2" t="s">
        <v>193</v>
      </c>
      <c r="B616" s="2">
        <v>118</v>
      </c>
      <c r="C616" s="3">
        <v>177200000</v>
      </c>
      <c r="D616" s="3" t="s">
        <v>5778</v>
      </c>
      <c r="E616" s="2" t="s">
        <v>1874</v>
      </c>
      <c r="F616" s="2" t="s">
        <v>10</v>
      </c>
      <c r="G616" s="2" t="s">
        <v>11</v>
      </c>
      <c r="H616" s="2">
        <v>38000000</v>
      </c>
      <c r="I616" s="2">
        <v>6.1</v>
      </c>
      <c r="J616" s="3">
        <v>1027119</v>
      </c>
      <c r="K616">
        <f t="shared" si="26"/>
        <v>1.3775047412552699E-3</v>
      </c>
      <c r="R616" s="12" t="str">
        <f ca="1">IFERROR(__xludf.DUMMYFUNCTION("""COMPUTED_VALUE"""),"Legends of Oz: Dorothy's Return ")</f>
        <v>Legends of Oz: Dorothy's Return </v>
      </c>
      <c r="S616" s="12">
        <f t="shared" si="27"/>
        <v>-38139161</v>
      </c>
    </row>
    <row r="617" spans="1:19" x14ac:dyDescent="0.3">
      <c r="A617" s="2" t="s">
        <v>808</v>
      </c>
      <c r="B617" s="2">
        <v>90</v>
      </c>
      <c r="C617" s="3">
        <v>31836745</v>
      </c>
      <c r="D617" s="3" t="s">
        <v>6019</v>
      </c>
      <c r="E617" s="2" t="s">
        <v>1885</v>
      </c>
      <c r="F617" s="2" t="s">
        <v>10</v>
      </c>
      <c r="G617" s="2" t="s">
        <v>11</v>
      </c>
      <c r="H617" s="2">
        <v>55000000</v>
      </c>
      <c r="I617" s="2">
        <v>6.5</v>
      </c>
      <c r="J617" s="3">
        <v>1027749</v>
      </c>
      <c r="K617">
        <f t="shared" si="26"/>
        <v>1.3775047412552699E-3</v>
      </c>
      <c r="R617" s="12" t="str">
        <f ca="1">IFERROR(__xludf.DUMMYFUNCTION("""COMPUTED_VALUE"""),"Blackhat ")</f>
        <v>Blackhat </v>
      </c>
      <c r="S617" s="12">
        <f t="shared" si="27"/>
        <v>61731524</v>
      </c>
    </row>
    <row r="618" spans="1:19" x14ac:dyDescent="0.3">
      <c r="A618" s="2" t="s">
        <v>1299</v>
      </c>
      <c r="B618" s="2">
        <v>107</v>
      </c>
      <c r="C618" s="3">
        <v>114324072</v>
      </c>
      <c r="D618" s="3" t="s">
        <v>5779</v>
      </c>
      <c r="E618" s="2" t="s">
        <v>1300</v>
      </c>
      <c r="F618" s="2" t="s">
        <v>10</v>
      </c>
      <c r="G618" s="2" t="s">
        <v>11</v>
      </c>
      <c r="H618" s="2">
        <v>50000000</v>
      </c>
      <c r="I618" s="2">
        <v>5.0999999999999996</v>
      </c>
      <c r="J618" s="3">
        <v>1028658</v>
      </c>
      <c r="K618">
        <f t="shared" si="26"/>
        <v>1.3775047412552699E-3</v>
      </c>
      <c r="R618" s="12" t="str">
        <f ca="1">IFERROR(__xludf.DUMMYFUNCTION("""COMPUTED_VALUE"""),"Sky Captain and the World of Tomorrow ")</f>
        <v>Sky Captain and the World of Tomorrow </v>
      </c>
      <c r="S618" s="12">
        <f t="shared" si="27"/>
        <v>7838002</v>
      </c>
    </row>
    <row r="619" spans="1:19" x14ac:dyDescent="0.3">
      <c r="A619" s="2" t="s">
        <v>74</v>
      </c>
      <c r="B619" s="2">
        <v>136</v>
      </c>
      <c r="C619" s="3">
        <v>69800000</v>
      </c>
      <c r="D619" s="3" t="s">
        <v>6020</v>
      </c>
      <c r="E619" s="2" t="s">
        <v>439</v>
      </c>
      <c r="F619" s="2" t="s">
        <v>10</v>
      </c>
      <c r="G619" s="2" t="s">
        <v>11</v>
      </c>
      <c r="H619" s="2">
        <v>126000000</v>
      </c>
      <c r="I619" s="2">
        <v>6.9</v>
      </c>
      <c r="J619" s="3">
        <v>1029017</v>
      </c>
      <c r="K619">
        <f t="shared" si="26"/>
        <v>1.3775047412552699E-3</v>
      </c>
      <c r="R619" s="12" t="str">
        <f ca="1">IFERROR(__xludf.DUMMYFUNCTION("""COMPUTED_VALUE"""),"Basic Instinct 2 ")</f>
        <v>Basic Instinct 2 </v>
      </c>
      <c r="S619" s="12">
        <f t="shared" si="27"/>
        <v>8715510</v>
      </c>
    </row>
    <row r="620" spans="1:19" x14ac:dyDescent="0.3">
      <c r="A620" s="2" t="s">
        <v>2194</v>
      </c>
      <c r="B620" s="2">
        <v>92</v>
      </c>
      <c r="C620" s="3">
        <v>44983704</v>
      </c>
      <c r="D620" s="3" t="s">
        <v>5992</v>
      </c>
      <c r="E620" s="2" t="s">
        <v>4321</v>
      </c>
      <c r="F620" s="2" t="s">
        <v>10</v>
      </c>
      <c r="G620" s="2" t="s">
        <v>11</v>
      </c>
      <c r="H620" s="2">
        <v>6500000</v>
      </c>
      <c r="I620" s="2">
        <v>7.6</v>
      </c>
      <c r="J620" s="3">
        <v>1039869</v>
      </c>
      <c r="K620">
        <f t="shared" si="26"/>
        <v>1.3775047412552699E-3</v>
      </c>
      <c r="R620" s="12" t="str">
        <f ca="1">IFERROR(__xludf.DUMMYFUNCTION("""COMPUTED_VALUE"""),"Escape Plan ")</f>
        <v>Escape Plan </v>
      </c>
      <c r="S620" s="12">
        <f t="shared" si="27"/>
        <v>80930005</v>
      </c>
    </row>
    <row r="621" spans="1:19" x14ac:dyDescent="0.3">
      <c r="A621" s="2" t="s">
        <v>222</v>
      </c>
      <c r="B621" s="2">
        <v>150</v>
      </c>
      <c r="C621" s="3">
        <v>81257845</v>
      </c>
      <c r="D621" s="3" t="s">
        <v>5795</v>
      </c>
      <c r="E621" s="2" t="s">
        <v>3207</v>
      </c>
      <c r="F621" s="2" t="s">
        <v>10</v>
      </c>
      <c r="G621" s="2" t="s">
        <v>16</v>
      </c>
      <c r="H621" s="2">
        <v>18000000</v>
      </c>
      <c r="I621" s="2">
        <v>7.8</v>
      </c>
      <c r="J621" s="3">
        <v>1040879</v>
      </c>
      <c r="K621">
        <f t="shared" si="26"/>
        <v>1.3775047412552699E-3</v>
      </c>
      <c r="R621" s="12" t="str">
        <f ca="1">IFERROR(__xludf.DUMMYFUNCTION("""COMPUTED_VALUE"""),"The Legend of Hercules ")</f>
        <v>The Legend of Hercules </v>
      </c>
      <c r="S621" s="12">
        <f t="shared" si="27"/>
        <v>-4154057</v>
      </c>
    </row>
    <row r="622" spans="1:19" x14ac:dyDescent="0.3">
      <c r="A622" s="2" t="s">
        <v>2194</v>
      </c>
      <c r="B622" s="2">
        <v>96</v>
      </c>
      <c r="C622" s="3">
        <v>58879132</v>
      </c>
      <c r="D622" s="3" t="s">
        <v>6021</v>
      </c>
      <c r="E622" s="2" t="s">
        <v>4349</v>
      </c>
      <c r="F622" s="2" t="s">
        <v>10</v>
      </c>
      <c r="G622" s="2" t="s">
        <v>11</v>
      </c>
      <c r="H622" s="2">
        <v>7500000</v>
      </c>
      <c r="I622" s="2">
        <v>7.5</v>
      </c>
      <c r="J622" s="3">
        <v>1046166</v>
      </c>
      <c r="K622">
        <f t="shared" si="26"/>
        <v>1.3775047412552699E-3</v>
      </c>
      <c r="R622" s="12" t="str">
        <f ca="1">IFERROR(__xludf.DUMMYFUNCTION("""COMPUTED_VALUE"""),"The Sum of All Fears ")</f>
        <v>The Sum of All Fears </v>
      </c>
      <c r="S622" s="12">
        <f t="shared" si="27"/>
        <v>133381405</v>
      </c>
    </row>
    <row r="623" spans="1:19" x14ac:dyDescent="0.3">
      <c r="A623" s="2" t="s">
        <v>1191</v>
      </c>
      <c r="B623" s="2">
        <v>122</v>
      </c>
      <c r="C623" s="3">
        <v>26761283</v>
      </c>
      <c r="D623" s="3" t="s">
        <v>5785</v>
      </c>
      <c r="E623" s="2" t="s">
        <v>4016</v>
      </c>
      <c r="F623" s="2" t="s">
        <v>10</v>
      </c>
      <c r="G623" s="2" t="s">
        <v>16</v>
      </c>
      <c r="H623" s="2">
        <v>10000000</v>
      </c>
      <c r="I623" s="2">
        <v>6.6</v>
      </c>
      <c r="J623" s="3">
        <v>1050445</v>
      </c>
      <c r="K623">
        <f t="shared" si="26"/>
        <v>1.3775047412552699E-3</v>
      </c>
      <c r="R623" s="12" t="str">
        <f ca="1">IFERROR(__xludf.DUMMYFUNCTION("""COMPUTED_VALUE"""),"The Twilight Saga: Eclipse ")</f>
        <v>The Twilight Saga: Eclipse </v>
      </c>
      <c r="S623" s="12">
        <f t="shared" si="27"/>
        <v>127167630</v>
      </c>
    </row>
    <row r="624" spans="1:19" x14ac:dyDescent="0.3">
      <c r="A624" s="2" t="s">
        <v>5734</v>
      </c>
      <c r="B624" s="2">
        <v>76</v>
      </c>
      <c r="C624" s="3">
        <v>173005002</v>
      </c>
      <c r="D624" s="3" t="s">
        <v>5963</v>
      </c>
      <c r="E624" s="2" t="s">
        <v>5735</v>
      </c>
      <c r="F624" s="2" t="s">
        <v>10</v>
      </c>
      <c r="G624" s="2" t="s">
        <v>11</v>
      </c>
      <c r="H624" s="2">
        <v>7830000</v>
      </c>
      <c r="I624" s="2">
        <v>6.3</v>
      </c>
      <c r="J624" s="3">
        <v>1050600</v>
      </c>
      <c r="K624">
        <f t="shared" si="26"/>
        <v>1.3775047412552699E-3</v>
      </c>
      <c r="R624" s="12" t="str">
        <f ca="1">IFERROR(__xludf.DUMMYFUNCTION("""COMPUTED_VALUE"""),"The Score ")</f>
        <v>The Score </v>
      </c>
      <c r="S624" s="12">
        <f t="shared" si="27"/>
        <v>176191634</v>
      </c>
    </row>
    <row r="625" spans="1:19" x14ac:dyDescent="0.3">
      <c r="A625" s="2" t="s">
        <v>1100</v>
      </c>
      <c r="B625" s="2">
        <v>105</v>
      </c>
      <c r="C625" s="3">
        <v>55210049</v>
      </c>
      <c r="D625" s="3" t="s">
        <v>5849</v>
      </c>
      <c r="E625" s="2" t="s">
        <v>2124</v>
      </c>
      <c r="F625" s="2" t="s">
        <v>10</v>
      </c>
      <c r="G625" s="2" t="s">
        <v>504</v>
      </c>
      <c r="H625" s="2">
        <v>33000000</v>
      </c>
      <c r="I625" s="2">
        <v>7.1</v>
      </c>
      <c r="J625" s="3">
        <v>1055654</v>
      </c>
      <c r="K625">
        <f t="shared" si="26"/>
        <v>1.3775047412552699E-3</v>
      </c>
      <c r="R625" s="12" t="str">
        <f ca="1">IFERROR(__xludf.DUMMYFUNCTION("""COMPUTED_VALUE"""),"Despicable Me ")</f>
        <v>Despicable Me </v>
      </c>
      <c r="S625" s="12">
        <f t="shared" si="27"/>
        <v>-2476615</v>
      </c>
    </row>
    <row r="626" spans="1:19" x14ac:dyDescent="0.3">
      <c r="A626" s="2" t="s">
        <v>1351</v>
      </c>
      <c r="B626" s="2">
        <v>133</v>
      </c>
      <c r="C626" s="3">
        <v>75030163</v>
      </c>
      <c r="D626" s="3" t="s">
        <v>520</v>
      </c>
      <c r="E626" s="2" t="s">
        <v>1352</v>
      </c>
      <c r="F626" s="2" t="s">
        <v>10</v>
      </c>
      <c r="G626" s="2" t="s">
        <v>11</v>
      </c>
      <c r="H626" s="2">
        <v>50000000</v>
      </c>
      <c r="I626" s="2">
        <v>7.6</v>
      </c>
      <c r="J626" s="3">
        <v>1056102</v>
      </c>
      <c r="K626">
        <f t="shared" si="26"/>
        <v>1.3775047412552699E-3</v>
      </c>
      <c r="R626" s="12" t="str">
        <f ca="1">IFERROR(__xludf.DUMMYFUNCTION("""COMPUTED_VALUE"""),"Money Train ")</f>
        <v>Money Train </v>
      </c>
      <c r="S626" s="12">
        <f t="shared" si="27"/>
        <v>100115545</v>
      </c>
    </row>
    <row r="627" spans="1:19" x14ac:dyDescent="0.3">
      <c r="A627" s="2" t="s">
        <v>3836</v>
      </c>
      <c r="B627" s="2">
        <v>90</v>
      </c>
      <c r="C627" s="3">
        <v>117541000</v>
      </c>
      <c r="D627" s="3" t="s">
        <v>6022</v>
      </c>
      <c r="E627" s="2" t="s">
        <v>4490</v>
      </c>
      <c r="F627" s="2" t="s">
        <v>10</v>
      </c>
      <c r="G627" s="2" t="s">
        <v>11</v>
      </c>
      <c r="H627" s="2">
        <v>6000000</v>
      </c>
      <c r="I627" s="2">
        <v>7.5</v>
      </c>
      <c r="J627" s="3">
        <v>1060591</v>
      </c>
      <c r="K627">
        <f t="shared" si="26"/>
        <v>1.3775047412552699E-3</v>
      </c>
      <c r="R627" s="12" t="str">
        <f ca="1">IFERROR(__xludf.DUMMYFUNCTION("""COMPUTED_VALUE"""),"Ted 2 ")</f>
        <v>Ted 2 </v>
      </c>
      <c r="S627" s="12">
        <f t="shared" si="27"/>
        <v>-6919884</v>
      </c>
    </row>
    <row r="628" spans="1:19" x14ac:dyDescent="0.3">
      <c r="A628" s="2" t="s">
        <v>646</v>
      </c>
      <c r="B628" s="2">
        <v>112</v>
      </c>
      <c r="C628" s="3">
        <v>31874869</v>
      </c>
      <c r="D628" s="3" t="s">
        <v>5940</v>
      </c>
      <c r="E628" s="2" t="s">
        <v>647</v>
      </c>
      <c r="F628" s="2" t="s">
        <v>10</v>
      </c>
      <c r="G628" s="2" t="s">
        <v>11</v>
      </c>
      <c r="H628" s="2">
        <v>60000000</v>
      </c>
      <c r="I628" s="2">
        <v>7.5</v>
      </c>
      <c r="J628" s="3">
        <v>1064277</v>
      </c>
      <c r="K628">
        <f t="shared" si="26"/>
        <v>1.3775047412552699E-3</v>
      </c>
      <c r="R628" s="12" t="str">
        <f ca="1">IFERROR(__xludf.DUMMYFUNCTION("""COMPUTED_VALUE"""),"Agora ")</f>
        <v>Agora </v>
      </c>
      <c r="S628" s="12">
        <f t="shared" si="27"/>
        <v>26694016</v>
      </c>
    </row>
    <row r="629" spans="1:19" x14ac:dyDescent="0.3">
      <c r="A629" s="2" t="s">
        <v>3424</v>
      </c>
      <c r="B629" s="2">
        <v>101</v>
      </c>
      <c r="C629" s="3">
        <v>13367101</v>
      </c>
      <c r="D629" s="3" t="s">
        <v>6023</v>
      </c>
      <c r="E629" s="2" t="s">
        <v>5218</v>
      </c>
      <c r="F629" s="2" t="s">
        <v>10</v>
      </c>
      <c r="G629" s="2" t="s">
        <v>11</v>
      </c>
      <c r="H629" s="2">
        <v>2500000</v>
      </c>
      <c r="I629" s="2">
        <v>5.0999999999999996</v>
      </c>
      <c r="J629" s="3">
        <v>1068392</v>
      </c>
      <c r="K629">
        <f t="shared" si="26"/>
        <v>1.3775047412552699E-3</v>
      </c>
      <c r="R629" s="12" t="str">
        <f ca="1">IFERROR(__xludf.DUMMYFUNCTION("""COMPUTED_VALUE"""),"Mystery Men ")</f>
        <v>Mystery Men </v>
      </c>
      <c r="S629" s="12">
        <f t="shared" si="27"/>
        <v>106122995</v>
      </c>
    </row>
    <row r="630" spans="1:19" x14ac:dyDescent="0.3">
      <c r="A630" s="2" t="s">
        <v>350</v>
      </c>
      <c r="B630" s="2">
        <v>116</v>
      </c>
      <c r="C630" s="3">
        <v>62300000</v>
      </c>
      <c r="D630" s="3" t="s">
        <v>5753</v>
      </c>
      <c r="E630" s="2" t="s">
        <v>893</v>
      </c>
      <c r="F630" s="2" t="s">
        <v>10</v>
      </c>
      <c r="G630" s="2" t="s">
        <v>11</v>
      </c>
      <c r="H630" s="2">
        <v>70000000</v>
      </c>
      <c r="I630" s="2">
        <v>5.6</v>
      </c>
      <c r="J630" s="3">
        <v>1071240</v>
      </c>
      <c r="K630">
        <f t="shared" si="26"/>
        <v>1.3775047412552699E-3</v>
      </c>
      <c r="R630" s="12" t="str">
        <f ca="1">IFERROR(__xludf.DUMMYFUNCTION("""COMPUTED_VALUE"""),"Hall Pass ")</f>
        <v>Hall Pass </v>
      </c>
      <c r="S630" s="12">
        <f t="shared" si="27"/>
        <v>148868971</v>
      </c>
    </row>
    <row r="631" spans="1:19" x14ac:dyDescent="0.3">
      <c r="A631" s="2" t="s">
        <v>2259</v>
      </c>
      <c r="B631" s="2">
        <v>100</v>
      </c>
      <c r="C631" s="3">
        <v>21413105</v>
      </c>
      <c r="D631" s="3" t="s">
        <v>5753</v>
      </c>
      <c r="E631" s="2" t="s">
        <v>2260</v>
      </c>
      <c r="F631" s="2" t="s">
        <v>10</v>
      </c>
      <c r="G631" s="2" t="s">
        <v>11</v>
      </c>
      <c r="H631" s="2">
        <v>30000000</v>
      </c>
      <c r="I631" s="2">
        <v>5.9</v>
      </c>
      <c r="J631" s="3">
        <v>1075288</v>
      </c>
      <c r="K631">
        <f t="shared" si="26"/>
        <v>1.3775047412552699E-3</v>
      </c>
      <c r="R631" s="12" t="str">
        <f ca="1">IFERROR(__xludf.DUMMYFUNCTION("""COMPUTED_VALUE"""),"The Insider ")</f>
        <v>The Insider </v>
      </c>
      <c r="S631" s="12">
        <f t="shared" si="27"/>
        <v>112144465</v>
      </c>
    </row>
    <row r="632" spans="1:19" x14ac:dyDescent="0.3">
      <c r="A632" s="2" t="s">
        <v>1455</v>
      </c>
      <c r="B632" s="2">
        <v>89</v>
      </c>
      <c r="C632" s="3">
        <v>80574010</v>
      </c>
      <c r="D632" s="3" t="s">
        <v>5773</v>
      </c>
      <c r="E632" s="2" t="s">
        <v>1811</v>
      </c>
      <c r="F632" s="2" t="s">
        <v>10</v>
      </c>
      <c r="G632" s="2" t="s">
        <v>11</v>
      </c>
      <c r="H632" s="2">
        <v>40000000</v>
      </c>
      <c r="I632" s="2">
        <v>5.8</v>
      </c>
      <c r="J632" s="3">
        <v>1082044</v>
      </c>
      <c r="K632">
        <f t="shared" si="26"/>
        <v>1.3775047412552699E-3</v>
      </c>
      <c r="R632" s="12" t="str">
        <f ca="1">IFERROR(__xludf.DUMMYFUNCTION("""COMPUTED_VALUE"""),"Body of Lies ")</f>
        <v>Body of Lies </v>
      </c>
      <c r="S632" s="12">
        <f t="shared" si="27"/>
        <v>26954997</v>
      </c>
    </row>
    <row r="633" spans="1:19" x14ac:dyDescent="0.3">
      <c r="A633" s="2" t="s">
        <v>5512</v>
      </c>
      <c r="B633" s="2">
        <v>94</v>
      </c>
      <c r="C633" s="3">
        <v>20915465</v>
      </c>
      <c r="D633" s="3" t="s">
        <v>5785</v>
      </c>
      <c r="E633" s="2" t="s">
        <v>5513</v>
      </c>
      <c r="F633" s="2" t="s">
        <v>10</v>
      </c>
      <c r="G633" s="2" t="s">
        <v>16</v>
      </c>
      <c r="H633" s="2">
        <v>500000</v>
      </c>
      <c r="I633" s="2">
        <v>6.4</v>
      </c>
      <c r="J633" s="3">
        <v>1089365</v>
      </c>
      <c r="K633">
        <f t="shared" si="26"/>
        <v>1.3775047412552699E-3</v>
      </c>
      <c r="R633" s="12" t="str">
        <f ca="1">IFERROR(__xludf.DUMMYFUNCTION("""COMPUTED_VALUE"""),"Abraham Lincoln: Vampire Hunter ")</f>
        <v>Abraham Lincoln: Vampire Hunter </v>
      </c>
      <c r="S633" s="12">
        <f t="shared" si="27"/>
        <v>6808615</v>
      </c>
    </row>
    <row r="634" spans="1:19" x14ac:dyDescent="0.3">
      <c r="A634" s="2" t="s">
        <v>3408</v>
      </c>
      <c r="B634" s="2">
        <v>112</v>
      </c>
      <c r="C634" s="3">
        <v>45063889</v>
      </c>
      <c r="D634" s="3" t="s">
        <v>5961</v>
      </c>
      <c r="E634" s="2" t="s">
        <v>3409</v>
      </c>
      <c r="F634" s="2" t="s">
        <v>10</v>
      </c>
      <c r="G634" s="2" t="s">
        <v>11</v>
      </c>
      <c r="H634" s="2">
        <v>15000000</v>
      </c>
      <c r="I634" s="2">
        <v>6.5</v>
      </c>
      <c r="J634" s="3">
        <v>1089445</v>
      </c>
      <c r="K634">
        <f t="shared" si="26"/>
        <v>1.3775047412552699E-3</v>
      </c>
      <c r="R634" s="12" t="str">
        <f ca="1">IFERROR(__xludf.DUMMYFUNCTION("""COMPUTED_VALUE"""),"Entrapment ")</f>
        <v>Entrapment </v>
      </c>
      <c r="S634" s="12">
        <f t="shared" si="27"/>
        <v>135704016</v>
      </c>
    </row>
    <row r="635" spans="1:19" x14ac:dyDescent="0.3">
      <c r="A635" s="2" t="s">
        <v>2494</v>
      </c>
      <c r="B635" s="2">
        <v>99</v>
      </c>
      <c r="C635" s="3">
        <v>61937495</v>
      </c>
      <c r="D635" s="3" t="s">
        <v>885</v>
      </c>
      <c r="E635" s="2" t="s">
        <v>2495</v>
      </c>
      <c r="F635" s="2" t="s">
        <v>10</v>
      </c>
      <c r="G635" s="2" t="s">
        <v>71</v>
      </c>
      <c r="H635" s="2">
        <v>26000000</v>
      </c>
      <c r="I635" s="2">
        <v>4.3</v>
      </c>
      <c r="J635" s="3">
        <v>1094798</v>
      </c>
      <c r="K635">
        <f t="shared" si="26"/>
        <v>1.3775047412552699E-3</v>
      </c>
      <c r="R635" s="12" t="str">
        <f ca="1">IFERROR(__xludf.DUMMYFUNCTION("""COMPUTED_VALUE"""),"The X Files ")</f>
        <v>The X Files </v>
      </c>
      <c r="S635" s="12">
        <f t="shared" si="27"/>
        <v>114947667</v>
      </c>
    </row>
    <row r="636" spans="1:19" x14ac:dyDescent="0.3">
      <c r="A636" s="2" t="s">
        <v>590</v>
      </c>
      <c r="B636" s="2">
        <v>91</v>
      </c>
      <c r="C636" s="3">
        <v>111544445</v>
      </c>
      <c r="D636" s="3" t="s">
        <v>5869</v>
      </c>
      <c r="E636" s="2" t="s">
        <v>3906</v>
      </c>
      <c r="F636" s="2" t="s">
        <v>10</v>
      </c>
      <c r="G636" s="2" t="s">
        <v>11</v>
      </c>
      <c r="H636" s="2">
        <v>12000000</v>
      </c>
      <c r="I636" s="2">
        <v>6</v>
      </c>
      <c r="J636" s="3">
        <v>1098224</v>
      </c>
      <c r="K636">
        <f t="shared" si="26"/>
        <v>1.3775047412552699E-3</v>
      </c>
      <c r="R636" s="12" t="str">
        <f ca="1">IFERROR(__xludf.DUMMYFUNCTION("""COMPUTED_VALUE"""),"The Last Legion ")</f>
        <v>The Last Legion </v>
      </c>
      <c r="S636" s="12">
        <f t="shared" si="27"/>
        <v>5808744</v>
      </c>
    </row>
    <row r="637" spans="1:19" x14ac:dyDescent="0.3">
      <c r="A637" s="2" t="s">
        <v>346</v>
      </c>
      <c r="B637" s="2">
        <v>98</v>
      </c>
      <c r="C637" s="3">
        <v>80920948</v>
      </c>
      <c r="D637" s="3" t="s">
        <v>5892</v>
      </c>
      <c r="E637" s="2" t="s">
        <v>1422</v>
      </c>
      <c r="F637" s="2" t="s">
        <v>10</v>
      </c>
      <c r="G637" s="2" t="s">
        <v>199</v>
      </c>
      <c r="H637" s="2">
        <v>50000000</v>
      </c>
      <c r="I637" s="2">
        <v>6.5</v>
      </c>
      <c r="J637" s="3">
        <v>1100000</v>
      </c>
      <c r="K637">
        <f t="shared" si="26"/>
        <v>1.3775047412552699E-3</v>
      </c>
      <c r="R637" s="12" t="str">
        <f ca="1">IFERROR(__xludf.DUMMYFUNCTION("""COMPUTED_VALUE"""),"Saving Private Ryan ")</f>
        <v>Saving Private Ryan </v>
      </c>
      <c r="S637" s="12">
        <f t="shared" si="27"/>
        <v>-550000</v>
      </c>
    </row>
    <row r="638" spans="1:19" x14ac:dyDescent="0.3">
      <c r="A638" s="2" t="s">
        <v>965</v>
      </c>
      <c r="B638" s="2">
        <v>137</v>
      </c>
      <c r="C638" s="3">
        <v>45045037</v>
      </c>
      <c r="D638" s="3" t="s">
        <v>6024</v>
      </c>
      <c r="E638" s="2" t="s">
        <v>1996</v>
      </c>
      <c r="F638" s="2" t="s">
        <v>10</v>
      </c>
      <c r="G638" s="2" t="s">
        <v>11</v>
      </c>
      <c r="H638" s="2">
        <v>35000000</v>
      </c>
      <c r="I638" s="2">
        <v>6.6</v>
      </c>
      <c r="J638" s="3">
        <v>1110186</v>
      </c>
      <c r="K638">
        <f t="shared" si="26"/>
        <v>1.3775047412552699E-3</v>
      </c>
      <c r="R638" s="12" t="str">
        <f ca="1">IFERROR(__xludf.DUMMYFUNCTION("""COMPUTED_VALUE"""),"Need for Speed ")</f>
        <v>Need for Speed </v>
      </c>
      <c r="S638" s="12">
        <f t="shared" si="27"/>
        <v>139200000</v>
      </c>
    </row>
    <row r="639" spans="1:19" x14ac:dyDescent="0.3">
      <c r="A639" s="2" t="s">
        <v>5327</v>
      </c>
      <c r="B639" s="2">
        <v>97</v>
      </c>
      <c r="C639" s="3">
        <v>66790248</v>
      </c>
      <c r="D639" s="3" t="s">
        <v>5981</v>
      </c>
      <c r="E639" s="2" t="s">
        <v>5328</v>
      </c>
      <c r="F639" s="2" t="s">
        <v>10</v>
      </c>
      <c r="G639" s="2" t="s">
        <v>11</v>
      </c>
      <c r="H639" s="2">
        <v>1000000</v>
      </c>
      <c r="I639" s="2">
        <v>7</v>
      </c>
      <c r="J639" s="3">
        <v>1110286</v>
      </c>
      <c r="K639">
        <f t="shared" si="26"/>
        <v>1.3775047412552699E-3</v>
      </c>
      <c r="R639" s="12" t="str">
        <f ca="1">IFERROR(__xludf.DUMMYFUNCTION("""COMPUTED_VALUE"""),"What Women Want ")</f>
        <v>What Women Want </v>
      </c>
      <c r="S639" s="12">
        <f t="shared" si="27"/>
        <v>-23163255</v>
      </c>
    </row>
    <row r="640" spans="1:19" x14ac:dyDescent="0.3">
      <c r="A640" s="2" t="s">
        <v>321</v>
      </c>
      <c r="B640" s="2">
        <v>91</v>
      </c>
      <c r="C640" s="3">
        <v>150350192</v>
      </c>
      <c r="D640" s="3" t="s">
        <v>5850</v>
      </c>
      <c r="E640" s="2" t="s">
        <v>391</v>
      </c>
      <c r="F640" s="2" t="s">
        <v>10</v>
      </c>
      <c r="G640" s="2" t="s">
        <v>16</v>
      </c>
      <c r="H640" s="2">
        <v>100000000</v>
      </c>
      <c r="I640" s="2">
        <v>7.8</v>
      </c>
      <c r="J640" s="3">
        <v>1111615</v>
      </c>
      <c r="K640">
        <f t="shared" si="26"/>
        <v>1.3775047412552699E-3</v>
      </c>
      <c r="R640" s="12" t="str">
        <f ca="1">IFERROR(__xludf.DUMMYFUNCTION("""COMPUTED_VALUE"""),"Ice Age ")</f>
        <v>Ice Age </v>
      </c>
      <c r="S640" s="12">
        <f t="shared" si="27"/>
        <v>64324072</v>
      </c>
    </row>
    <row r="641" spans="1:19" x14ac:dyDescent="0.3">
      <c r="A641" s="2" t="s">
        <v>4501</v>
      </c>
      <c r="B641" s="2">
        <v>96</v>
      </c>
      <c r="C641" s="3">
        <v>150315155</v>
      </c>
      <c r="D641" s="3" t="s">
        <v>6025</v>
      </c>
      <c r="E641" s="2" t="s">
        <v>4502</v>
      </c>
      <c r="F641" s="2" t="s">
        <v>10</v>
      </c>
      <c r="G641" s="2" t="s">
        <v>11</v>
      </c>
      <c r="H641" s="2">
        <v>3000000</v>
      </c>
      <c r="I641" s="2">
        <v>5.2</v>
      </c>
      <c r="J641" s="3">
        <v>1114943</v>
      </c>
      <c r="K641">
        <f t="shared" si="26"/>
        <v>1.3775047412552699E-3</v>
      </c>
      <c r="R641" s="12" t="str">
        <f ca="1">IFERROR(__xludf.DUMMYFUNCTION("""COMPUTED_VALUE"""),"Dreamcatcher ")</f>
        <v>Dreamcatcher </v>
      </c>
      <c r="S641" s="12">
        <f t="shared" si="27"/>
        <v>-56200000</v>
      </c>
    </row>
    <row r="642" spans="1:19" x14ac:dyDescent="0.3">
      <c r="A642" s="2" t="s">
        <v>1365</v>
      </c>
      <c r="B642" s="2">
        <v>102</v>
      </c>
      <c r="C642" s="3">
        <v>150117807</v>
      </c>
      <c r="D642" s="3" t="s">
        <v>5940</v>
      </c>
      <c r="E642" s="2" t="s">
        <v>1818</v>
      </c>
      <c r="F642" s="2" t="s">
        <v>10</v>
      </c>
      <c r="G642" s="2" t="s">
        <v>11</v>
      </c>
      <c r="H642" s="2">
        <v>40000000</v>
      </c>
      <c r="I642" s="2">
        <v>6.2</v>
      </c>
      <c r="J642" s="3">
        <v>1127331</v>
      </c>
      <c r="K642">
        <f t="shared" ref="K642:K705" si="28">CORREL(H$2:H$3941,J$2:J$3941)</f>
        <v>1.3775047412552699E-3</v>
      </c>
      <c r="R642" s="12" t="str">
        <f ca="1">IFERROR(__xludf.DUMMYFUNCTION("""COMPUTED_VALUE"""),"Lincoln ")</f>
        <v>Lincoln </v>
      </c>
      <c r="S642" s="12">
        <f t="shared" si="27"/>
        <v>38483704</v>
      </c>
    </row>
    <row r="643" spans="1:19" x14ac:dyDescent="0.3">
      <c r="A643" s="2" t="s">
        <v>74</v>
      </c>
      <c r="B643" s="2">
        <v>184</v>
      </c>
      <c r="C643" s="3">
        <v>111936400</v>
      </c>
      <c r="D643" s="3" t="s">
        <v>5920</v>
      </c>
      <c r="E643" s="2" t="s">
        <v>195</v>
      </c>
      <c r="F643" s="2" t="s">
        <v>10</v>
      </c>
      <c r="G643" s="2" t="s">
        <v>11</v>
      </c>
      <c r="H643" s="2">
        <v>140000000</v>
      </c>
      <c r="I643" s="2">
        <v>6.1</v>
      </c>
      <c r="J643" s="3">
        <v>1134049</v>
      </c>
      <c r="K643">
        <f t="shared" si="28"/>
        <v>1.3775047412552699E-3</v>
      </c>
      <c r="R643" s="12" t="str">
        <f ca="1">IFERROR(__xludf.DUMMYFUNCTION("""COMPUTED_VALUE"""),"The Matrix ")</f>
        <v>The Matrix </v>
      </c>
      <c r="S643" s="12">
        <f t="shared" si="27"/>
        <v>63257845</v>
      </c>
    </row>
    <row r="644" spans="1:19" x14ac:dyDescent="0.3">
      <c r="A644" s="2" t="s">
        <v>5102</v>
      </c>
      <c r="B644" s="2">
        <v>86</v>
      </c>
      <c r="C644" s="3">
        <v>144731527</v>
      </c>
      <c r="D644" s="3" t="s">
        <v>5960</v>
      </c>
      <c r="E644" s="2" t="s">
        <v>5103</v>
      </c>
      <c r="F644" s="2" t="s">
        <v>10</v>
      </c>
      <c r="G644" s="2" t="s">
        <v>11</v>
      </c>
      <c r="H644" s="2">
        <v>3400000</v>
      </c>
      <c r="I644" s="2">
        <v>4.5999999999999996</v>
      </c>
      <c r="J644" s="3">
        <v>1141829</v>
      </c>
      <c r="K644">
        <f t="shared" si="28"/>
        <v>1.3775047412552699E-3</v>
      </c>
      <c r="R644" s="12" t="str">
        <f ca="1">IFERROR(__xludf.DUMMYFUNCTION("""COMPUTED_VALUE"""),"Apollo 13 ")</f>
        <v>Apollo 13 </v>
      </c>
      <c r="S644" s="12">
        <f t="shared" si="27"/>
        <v>51379132</v>
      </c>
    </row>
    <row r="645" spans="1:19" x14ac:dyDescent="0.3">
      <c r="A645" s="2" t="s">
        <v>4619</v>
      </c>
      <c r="B645" s="2">
        <v>103</v>
      </c>
      <c r="C645" s="3">
        <v>44134898</v>
      </c>
      <c r="D645" s="3" t="s">
        <v>5930</v>
      </c>
      <c r="E645" s="2" t="s">
        <v>4620</v>
      </c>
      <c r="F645" s="2" t="s">
        <v>10</v>
      </c>
      <c r="G645" s="2" t="s">
        <v>11</v>
      </c>
      <c r="H645" s="2">
        <v>5000000</v>
      </c>
      <c r="I645" s="2">
        <v>7.4</v>
      </c>
      <c r="J645" s="3">
        <v>1150403</v>
      </c>
      <c r="K645">
        <f t="shared" si="28"/>
        <v>1.3775047412552699E-3</v>
      </c>
      <c r="R645" s="12" t="str">
        <f ca="1">IFERROR(__xludf.DUMMYFUNCTION("""COMPUTED_VALUE"""),"The Santa Clause 2 ")</f>
        <v>The Santa Clause 2 </v>
      </c>
      <c r="S645" s="12">
        <f t="shared" si="27"/>
        <v>16761283</v>
      </c>
    </row>
    <row r="646" spans="1:19" x14ac:dyDescent="0.3">
      <c r="A646" s="2" t="s">
        <v>222</v>
      </c>
      <c r="B646" s="2">
        <v>115</v>
      </c>
      <c r="C646" s="3">
        <v>121697350</v>
      </c>
      <c r="D646" s="3" t="s">
        <v>5813</v>
      </c>
      <c r="E646" s="2" t="s">
        <v>223</v>
      </c>
      <c r="F646" s="2" t="s">
        <v>10</v>
      </c>
      <c r="G646" s="2" t="s">
        <v>11</v>
      </c>
      <c r="H646" s="2">
        <v>150000000</v>
      </c>
      <c r="I646" s="2">
        <v>7</v>
      </c>
      <c r="J646" s="3">
        <v>1163508</v>
      </c>
      <c r="K646">
        <f t="shared" si="28"/>
        <v>1.3775047412552699E-3</v>
      </c>
      <c r="R646" s="12" t="str">
        <f ca="1">IFERROR(__xludf.DUMMYFUNCTION("""COMPUTED_VALUE"""),"Les Misérables ")</f>
        <v>Les Misérables </v>
      </c>
      <c r="S646" s="12">
        <f t="shared" si="27"/>
        <v>165175002</v>
      </c>
    </row>
    <row r="647" spans="1:19" x14ac:dyDescent="0.3">
      <c r="A647" s="2" t="s">
        <v>3024</v>
      </c>
      <c r="B647" s="2">
        <v>97</v>
      </c>
      <c r="C647" s="3">
        <v>43982842</v>
      </c>
      <c r="D647" s="3" t="s">
        <v>5762</v>
      </c>
      <c r="E647" s="2" t="s">
        <v>3672</v>
      </c>
      <c r="F647" s="2" t="s">
        <v>10</v>
      </c>
      <c r="G647" s="2" t="s">
        <v>11</v>
      </c>
      <c r="H647" s="2">
        <v>18000000</v>
      </c>
      <c r="I647" s="2">
        <v>2.5</v>
      </c>
      <c r="J647" s="3">
        <v>1172769</v>
      </c>
      <c r="K647">
        <f t="shared" si="28"/>
        <v>1.3775047412552699E-3</v>
      </c>
      <c r="R647" s="12" t="str">
        <f ca="1">IFERROR(__xludf.DUMMYFUNCTION("""COMPUTED_VALUE"""),"You've Got Mail ")</f>
        <v>You've Got Mail </v>
      </c>
      <c r="S647" s="12">
        <f t="shared" si="27"/>
        <v>22210049</v>
      </c>
    </row>
    <row r="648" spans="1:19" x14ac:dyDescent="0.3">
      <c r="A648" s="2" t="s">
        <v>350</v>
      </c>
      <c r="B648" s="2">
        <v>98</v>
      </c>
      <c r="C648" s="3">
        <v>37053924</v>
      </c>
      <c r="D648" s="3" t="s">
        <v>885</v>
      </c>
      <c r="E648" s="2" t="s">
        <v>3283</v>
      </c>
      <c r="F648" s="2" t="s">
        <v>10</v>
      </c>
      <c r="G648" s="2" t="s">
        <v>2131</v>
      </c>
      <c r="H648" s="2">
        <v>17000000</v>
      </c>
      <c r="I648" s="2">
        <v>6.9</v>
      </c>
      <c r="J648" s="3">
        <v>1181197</v>
      </c>
      <c r="K648">
        <f t="shared" si="28"/>
        <v>1.3775047412552699E-3</v>
      </c>
      <c r="R648" s="12" t="str">
        <f ca="1">IFERROR(__xludf.DUMMYFUNCTION("""COMPUTED_VALUE"""),"Step Brothers ")</f>
        <v>Step Brothers </v>
      </c>
      <c r="S648" s="12">
        <f t="shared" si="27"/>
        <v>25030163</v>
      </c>
    </row>
    <row r="649" spans="1:19" x14ac:dyDescent="0.3">
      <c r="A649" s="2" t="s">
        <v>1272</v>
      </c>
      <c r="B649" s="2">
        <v>103</v>
      </c>
      <c r="C649" s="3">
        <v>32003620</v>
      </c>
      <c r="D649" s="3" t="s">
        <v>6026</v>
      </c>
      <c r="E649" s="2" t="s">
        <v>3153</v>
      </c>
      <c r="F649" s="2" t="s">
        <v>10</v>
      </c>
      <c r="G649" s="2" t="s">
        <v>11</v>
      </c>
      <c r="H649" s="2">
        <v>18000000</v>
      </c>
      <c r="I649" s="2">
        <v>6.3</v>
      </c>
      <c r="J649" s="3">
        <v>1183354</v>
      </c>
      <c r="K649">
        <f t="shared" si="28"/>
        <v>1.3775047412552699E-3</v>
      </c>
      <c r="R649" s="12" t="str">
        <f ca="1">IFERROR(__xludf.DUMMYFUNCTION("""COMPUTED_VALUE"""),"The Mask of Zorro ")</f>
        <v>The Mask of Zorro </v>
      </c>
      <c r="S649" s="12">
        <f t="shared" si="27"/>
        <v>111541000</v>
      </c>
    </row>
    <row r="650" spans="1:19" x14ac:dyDescent="0.3">
      <c r="A650" s="2" t="s">
        <v>1659</v>
      </c>
      <c r="B650" s="2">
        <v>87</v>
      </c>
      <c r="C650" s="3">
        <v>138396624</v>
      </c>
      <c r="D650" s="3" t="s">
        <v>5864</v>
      </c>
      <c r="E650" s="2" t="s">
        <v>2027</v>
      </c>
      <c r="F650" s="2" t="s">
        <v>10</v>
      </c>
      <c r="G650" s="2" t="s">
        <v>11</v>
      </c>
      <c r="H650" s="2">
        <v>35000000</v>
      </c>
      <c r="I650" s="2">
        <v>5.0999999999999996</v>
      </c>
      <c r="J650" s="3">
        <v>1185783</v>
      </c>
      <c r="K650">
        <f t="shared" si="28"/>
        <v>1.3775047412552699E-3</v>
      </c>
      <c r="R650" s="12" t="str">
        <f ca="1">IFERROR(__xludf.DUMMYFUNCTION("""COMPUTED_VALUE"""),"Due Date ")</f>
        <v>Due Date </v>
      </c>
      <c r="S650" s="12">
        <f t="shared" si="27"/>
        <v>-28125131</v>
      </c>
    </row>
    <row r="651" spans="1:19" x14ac:dyDescent="0.3">
      <c r="A651" s="2" t="s">
        <v>2837</v>
      </c>
      <c r="B651" s="2">
        <v>104</v>
      </c>
      <c r="C651" s="3">
        <v>24848292</v>
      </c>
      <c r="D651" s="3" t="s">
        <v>5818</v>
      </c>
      <c r="E651" s="2" t="s">
        <v>2838</v>
      </c>
      <c r="F651" s="2" t="s">
        <v>10</v>
      </c>
      <c r="G651" s="2" t="s">
        <v>11</v>
      </c>
      <c r="H651" s="2">
        <v>21000000</v>
      </c>
      <c r="I651" s="2">
        <v>4.5999999999999996</v>
      </c>
      <c r="J651" s="3">
        <v>1186957</v>
      </c>
      <c r="K651">
        <f t="shared" si="28"/>
        <v>1.3775047412552699E-3</v>
      </c>
      <c r="R651" s="12" t="str">
        <f ca="1">IFERROR(__xludf.DUMMYFUNCTION("""COMPUTED_VALUE"""),"Unbroken ")</f>
        <v>Unbroken </v>
      </c>
      <c r="S651" s="12">
        <f t="shared" si="27"/>
        <v>10867101</v>
      </c>
    </row>
    <row r="652" spans="1:19" x14ac:dyDescent="0.3">
      <c r="A652" s="2" t="s">
        <v>1808</v>
      </c>
      <c r="B652" s="2">
        <v>101</v>
      </c>
      <c r="C652" s="2">
        <v>13208023</v>
      </c>
      <c r="D652" s="3" t="s">
        <v>6027</v>
      </c>
      <c r="E652" s="2" t="s">
        <v>1809</v>
      </c>
      <c r="F652" s="2" t="s">
        <v>10</v>
      </c>
      <c r="G652" s="2" t="s">
        <v>16</v>
      </c>
      <c r="H652" s="2">
        <v>42000000</v>
      </c>
      <c r="I652" s="2">
        <v>3.3</v>
      </c>
      <c r="J652" s="3">
        <v>1190018</v>
      </c>
      <c r="K652">
        <f t="shared" si="28"/>
        <v>1.3775047412552699E-3</v>
      </c>
      <c r="R652" s="12" t="str">
        <f ca="1">IFERROR(__xludf.DUMMYFUNCTION("""COMPUTED_VALUE"""),"Space Cowboys ")</f>
        <v>Space Cowboys </v>
      </c>
      <c r="S652" s="12">
        <f t="shared" si="27"/>
        <v>-7700000</v>
      </c>
    </row>
    <row r="653" spans="1:19" x14ac:dyDescent="0.3">
      <c r="A653" s="2" t="s">
        <v>1581</v>
      </c>
      <c r="B653" s="2">
        <v>99</v>
      </c>
      <c r="C653" s="3">
        <v>75370763</v>
      </c>
      <c r="D653" s="3" t="s">
        <v>5894</v>
      </c>
      <c r="E653" s="2" t="s">
        <v>1582</v>
      </c>
      <c r="F653" s="2" t="s">
        <v>10</v>
      </c>
      <c r="G653" s="2" t="s">
        <v>11</v>
      </c>
      <c r="H653" s="2">
        <v>40000000</v>
      </c>
      <c r="I653" s="2">
        <v>5.4</v>
      </c>
      <c r="J653" s="3">
        <v>1196752</v>
      </c>
      <c r="K653">
        <f t="shared" si="28"/>
        <v>1.3775047412552699E-3</v>
      </c>
      <c r="R653" s="12" t="str">
        <f ca="1">IFERROR(__xludf.DUMMYFUNCTION("""COMPUTED_VALUE"""),"Cliffhanger ")</f>
        <v>Cliffhanger </v>
      </c>
      <c r="S653" s="12">
        <f t="shared" si="27"/>
        <v>-8586895</v>
      </c>
    </row>
    <row r="654" spans="1:19" x14ac:dyDescent="0.3">
      <c r="A654" s="2" t="s">
        <v>2420</v>
      </c>
      <c r="B654" s="2">
        <v>110</v>
      </c>
      <c r="C654" s="3">
        <v>40137776</v>
      </c>
      <c r="D654" s="3" t="s">
        <v>5971</v>
      </c>
      <c r="E654" s="2" t="s">
        <v>2836</v>
      </c>
      <c r="F654" s="2" t="s">
        <v>10</v>
      </c>
      <c r="G654" s="2" t="s">
        <v>11</v>
      </c>
      <c r="H654" s="2">
        <v>20000000</v>
      </c>
      <c r="I654" s="2">
        <v>6.6</v>
      </c>
      <c r="J654" s="3">
        <v>1197786</v>
      </c>
      <c r="K654">
        <f t="shared" si="28"/>
        <v>1.3775047412552699E-3</v>
      </c>
      <c r="R654" s="12" t="str">
        <f ca="1">IFERROR(__xludf.DUMMYFUNCTION("""COMPUTED_VALUE"""),"Broken Arrow ")</f>
        <v>Broken Arrow </v>
      </c>
      <c r="S654" s="12">
        <f t="shared" si="27"/>
        <v>40574010</v>
      </c>
    </row>
    <row r="655" spans="1:19" x14ac:dyDescent="0.3">
      <c r="A655" s="2" t="s">
        <v>29</v>
      </c>
      <c r="B655" s="2">
        <v>110</v>
      </c>
      <c r="C655" s="2">
        <v>58885635</v>
      </c>
      <c r="D655" s="3" t="s">
        <v>5773</v>
      </c>
      <c r="E655" s="2" t="s">
        <v>2383</v>
      </c>
      <c r="F655" s="2" t="s">
        <v>10</v>
      </c>
      <c r="G655" s="2" t="s">
        <v>11</v>
      </c>
      <c r="H655" s="2">
        <v>26000000</v>
      </c>
      <c r="I655" s="2">
        <v>7.4</v>
      </c>
      <c r="J655" s="3">
        <v>1200000</v>
      </c>
      <c r="K655">
        <f t="shared" si="28"/>
        <v>1.3775047412552699E-3</v>
      </c>
      <c r="R655" s="12" t="str">
        <f ca="1">IFERROR(__xludf.DUMMYFUNCTION("""COMPUTED_VALUE"""),"The Kid ")</f>
        <v>The Kid </v>
      </c>
      <c r="S655" s="12">
        <f t="shared" si="27"/>
        <v>20415465</v>
      </c>
    </row>
    <row r="656" spans="1:19" x14ac:dyDescent="0.3">
      <c r="A656" s="2" t="s">
        <v>128</v>
      </c>
      <c r="B656" s="2">
        <v>126</v>
      </c>
      <c r="C656" s="3">
        <v>6855137</v>
      </c>
      <c r="D656" s="3" t="s">
        <v>6028</v>
      </c>
      <c r="E656" s="2" t="s">
        <v>129</v>
      </c>
      <c r="F656" s="2" t="s">
        <v>10</v>
      </c>
      <c r="G656" s="2" t="s">
        <v>11</v>
      </c>
      <c r="H656" s="2">
        <v>170000000</v>
      </c>
      <c r="I656" s="2">
        <v>7.5</v>
      </c>
      <c r="J656" s="3">
        <v>1206135</v>
      </c>
      <c r="K656">
        <f t="shared" si="28"/>
        <v>1.3775047412552699E-3</v>
      </c>
      <c r="R656" s="12" t="str">
        <f ca="1">IFERROR(__xludf.DUMMYFUNCTION("""COMPUTED_VALUE"""),"World Trade Center ")</f>
        <v>World Trade Center </v>
      </c>
      <c r="S656" s="12">
        <f t="shared" si="27"/>
        <v>30063889</v>
      </c>
    </row>
    <row r="657" spans="1:19" x14ac:dyDescent="0.3">
      <c r="A657" s="2" t="s">
        <v>802</v>
      </c>
      <c r="B657" s="2">
        <v>124</v>
      </c>
      <c r="C657" s="3">
        <v>119412921</v>
      </c>
      <c r="D657" s="3" t="s">
        <v>6029</v>
      </c>
      <c r="E657" s="2" t="s">
        <v>2236</v>
      </c>
      <c r="F657" s="2" t="s">
        <v>10</v>
      </c>
      <c r="G657" s="2" t="s">
        <v>11</v>
      </c>
      <c r="H657" s="2">
        <v>30000000</v>
      </c>
      <c r="I657" s="2">
        <v>7.5</v>
      </c>
      <c r="J657" s="3">
        <v>1221261</v>
      </c>
      <c r="K657">
        <f t="shared" si="28"/>
        <v>1.3775047412552699E-3</v>
      </c>
      <c r="R657" s="12" t="str">
        <f ca="1">IFERROR(__xludf.DUMMYFUNCTION("""COMPUTED_VALUE"""),"Mona Lisa Smile ")</f>
        <v>Mona Lisa Smile </v>
      </c>
      <c r="S657" s="12">
        <f t="shared" si="27"/>
        <v>35937495</v>
      </c>
    </row>
    <row r="658" spans="1:19" x14ac:dyDescent="0.3">
      <c r="A658" s="2" t="s">
        <v>2975</v>
      </c>
      <c r="B658" s="2">
        <v>68</v>
      </c>
      <c r="C658" s="3">
        <v>44834712</v>
      </c>
      <c r="D658" s="3" t="s">
        <v>6030</v>
      </c>
      <c r="E658" s="2" t="s">
        <v>2976</v>
      </c>
      <c r="F658" s="2" t="s">
        <v>10</v>
      </c>
      <c r="G658" s="2" t="s">
        <v>11</v>
      </c>
      <c r="H658" s="2">
        <v>20000000</v>
      </c>
      <c r="I658" s="2">
        <v>6.4</v>
      </c>
      <c r="J658" s="3">
        <v>1227324</v>
      </c>
      <c r="K658">
        <f t="shared" si="28"/>
        <v>1.3775047412552699E-3</v>
      </c>
      <c r="R658" s="12" t="str">
        <f ca="1">IFERROR(__xludf.DUMMYFUNCTION("""COMPUTED_VALUE"""),"The Dictator ")</f>
        <v>The Dictator </v>
      </c>
      <c r="S658" s="12">
        <f t="shared" si="27"/>
        <v>99544445</v>
      </c>
    </row>
    <row r="659" spans="1:19" x14ac:dyDescent="0.3">
      <c r="A659" s="2" t="s">
        <v>5693</v>
      </c>
      <c r="B659" s="2">
        <v>47</v>
      </c>
      <c r="C659" s="3">
        <v>195000874</v>
      </c>
      <c r="D659" s="3" t="s">
        <v>5874</v>
      </c>
      <c r="E659" s="2" t="s">
        <v>5694</v>
      </c>
      <c r="F659" s="2" t="s">
        <v>10</v>
      </c>
      <c r="G659" s="2" t="s">
        <v>11</v>
      </c>
      <c r="H659" s="2">
        <v>7830000</v>
      </c>
      <c r="I659" s="2">
        <v>7.3</v>
      </c>
      <c r="J659" s="3">
        <v>1227508</v>
      </c>
      <c r="K659">
        <f t="shared" si="28"/>
        <v>1.3775047412552699E-3</v>
      </c>
      <c r="R659" s="12" t="str">
        <f ca="1">IFERROR(__xludf.DUMMYFUNCTION("""COMPUTED_VALUE"""),"Eyes Wide Shut ")</f>
        <v>Eyes Wide Shut </v>
      </c>
      <c r="S659" s="12">
        <f t="shared" si="27"/>
        <v>30920948</v>
      </c>
    </row>
    <row r="660" spans="1:19" x14ac:dyDescent="0.3">
      <c r="A660" s="2" t="s">
        <v>1549</v>
      </c>
      <c r="B660" s="2">
        <v>94</v>
      </c>
      <c r="C660" s="3">
        <v>162586036</v>
      </c>
      <c r="D660" s="3" t="s">
        <v>5837</v>
      </c>
      <c r="E660" s="2" t="s">
        <v>1550</v>
      </c>
      <c r="F660" s="2" t="s">
        <v>10</v>
      </c>
      <c r="G660" s="2" t="s">
        <v>11</v>
      </c>
      <c r="H660" s="2">
        <v>25000000</v>
      </c>
      <c r="I660" s="2">
        <v>6.5</v>
      </c>
      <c r="J660" s="3">
        <v>1229197</v>
      </c>
      <c r="K660">
        <f t="shared" si="28"/>
        <v>1.3775047412552699E-3</v>
      </c>
      <c r="R660" s="12" t="str">
        <f ca="1">IFERROR(__xludf.DUMMYFUNCTION("""COMPUTED_VALUE"""),"Annie ")</f>
        <v>Annie </v>
      </c>
      <c r="S660" s="12">
        <f t="shared" si="27"/>
        <v>10045037</v>
      </c>
    </row>
    <row r="661" spans="1:19" x14ac:dyDescent="0.3">
      <c r="A661" s="2" t="s">
        <v>3178</v>
      </c>
      <c r="B661" s="2">
        <v>91</v>
      </c>
      <c r="C661" s="3">
        <v>140015224</v>
      </c>
      <c r="D661" s="3" t="s">
        <v>5831</v>
      </c>
      <c r="E661" s="2" t="s">
        <v>3179</v>
      </c>
      <c r="F661" s="2" t="s">
        <v>10</v>
      </c>
      <c r="G661" s="2" t="s">
        <v>11</v>
      </c>
      <c r="H661" s="2">
        <v>18000000</v>
      </c>
      <c r="I661" s="2">
        <v>5.2</v>
      </c>
      <c r="J661" s="3">
        <v>1243961</v>
      </c>
      <c r="K661">
        <f t="shared" si="28"/>
        <v>1.3775047412552699E-3</v>
      </c>
      <c r="R661" s="12" t="str">
        <f ca="1">IFERROR(__xludf.DUMMYFUNCTION("""COMPUTED_VALUE"""),"Focus ")</f>
        <v>Focus </v>
      </c>
      <c r="S661" s="12">
        <f t="shared" si="27"/>
        <v>65790248</v>
      </c>
    </row>
    <row r="662" spans="1:19" x14ac:dyDescent="0.3">
      <c r="A662" s="2" t="s">
        <v>1108</v>
      </c>
      <c r="B662" s="2">
        <v>115</v>
      </c>
      <c r="C662" s="3">
        <v>82234139</v>
      </c>
      <c r="D662" s="3" t="s">
        <v>6031</v>
      </c>
      <c r="E662" s="2" t="s">
        <v>1109</v>
      </c>
      <c r="F662" s="2" t="s">
        <v>10</v>
      </c>
      <c r="G662" s="2" t="s">
        <v>11</v>
      </c>
      <c r="H662" s="2">
        <v>45000000</v>
      </c>
      <c r="I662" s="2">
        <v>5</v>
      </c>
      <c r="J662" s="3">
        <v>1247453</v>
      </c>
      <c r="K662">
        <f t="shared" si="28"/>
        <v>1.3775047412552699E-3</v>
      </c>
      <c r="R662" s="12" t="str">
        <f ca="1">IFERROR(__xludf.DUMMYFUNCTION("""COMPUTED_VALUE"""),"This Means War ")</f>
        <v>This Means War </v>
      </c>
      <c r="S662" s="12">
        <f t="shared" si="27"/>
        <v>50350192</v>
      </c>
    </row>
    <row r="663" spans="1:19" x14ac:dyDescent="0.3">
      <c r="A663" s="2" t="s">
        <v>240</v>
      </c>
      <c r="B663" s="2">
        <v>100</v>
      </c>
      <c r="C663" s="3">
        <v>150056505</v>
      </c>
      <c r="D663" s="3" t="s">
        <v>5778</v>
      </c>
      <c r="E663" s="2" t="s">
        <v>324</v>
      </c>
      <c r="F663" s="2" t="s">
        <v>10</v>
      </c>
      <c r="G663" s="2" t="s">
        <v>11</v>
      </c>
      <c r="H663" s="2">
        <v>130000000</v>
      </c>
      <c r="I663" s="2">
        <v>4.9000000000000004</v>
      </c>
      <c r="J663" s="3">
        <v>1250798</v>
      </c>
      <c r="K663">
        <f t="shared" si="28"/>
        <v>1.3775047412552699E-3</v>
      </c>
      <c r="R663" s="12" t="str">
        <f ca="1">IFERROR(__xludf.DUMMYFUNCTION("""COMPUTED_VALUE"""),"Blade: Trinity ")</f>
        <v>Blade: Trinity </v>
      </c>
      <c r="S663" s="12">
        <f t="shared" si="27"/>
        <v>147315155</v>
      </c>
    </row>
    <row r="664" spans="1:19" x14ac:dyDescent="0.3">
      <c r="A664" s="2" t="s">
        <v>940</v>
      </c>
      <c r="B664" s="2">
        <v>100</v>
      </c>
      <c r="C664" s="3">
        <v>9176553</v>
      </c>
      <c r="D664" s="3" t="s">
        <v>5764</v>
      </c>
      <c r="E664" s="2" t="s">
        <v>999</v>
      </c>
      <c r="F664" s="2" t="s">
        <v>10</v>
      </c>
      <c r="G664" s="2" t="s">
        <v>71</v>
      </c>
      <c r="H664" s="2">
        <v>43000000</v>
      </c>
      <c r="I664" s="2">
        <v>4.8</v>
      </c>
      <c r="J664" s="3">
        <v>1260917</v>
      </c>
      <c r="K664">
        <f t="shared" si="28"/>
        <v>1.3775047412552699E-3</v>
      </c>
      <c r="R664" s="12" t="str">
        <f ca="1">IFERROR(__xludf.DUMMYFUNCTION("""COMPUTED_VALUE"""),"Primary Colors ")</f>
        <v>Primary Colors </v>
      </c>
      <c r="S664" s="12">
        <f t="shared" si="27"/>
        <v>110117807</v>
      </c>
    </row>
    <row r="665" spans="1:19" x14ac:dyDescent="0.3">
      <c r="A665" s="2" t="s">
        <v>4822</v>
      </c>
      <c r="B665" s="2">
        <v>106</v>
      </c>
      <c r="C665" s="3">
        <v>55747724</v>
      </c>
      <c r="D665" s="3" t="s">
        <v>5818</v>
      </c>
      <c r="E665" s="2" t="s">
        <v>4823</v>
      </c>
      <c r="F665" s="2" t="s">
        <v>10</v>
      </c>
      <c r="G665" s="2" t="s">
        <v>11</v>
      </c>
      <c r="H665" s="2">
        <v>9500000</v>
      </c>
      <c r="I665" s="2">
        <v>7</v>
      </c>
      <c r="J665" s="3">
        <v>1276984</v>
      </c>
      <c r="K665">
        <f t="shared" si="28"/>
        <v>1.3775047412552699E-3</v>
      </c>
      <c r="R665" s="12" t="str">
        <f ca="1">IFERROR(__xludf.DUMMYFUNCTION("""COMPUTED_VALUE"""),"Resident Evil: Retribution ")</f>
        <v>Resident Evil: Retribution </v>
      </c>
      <c r="S665" s="12">
        <f t="shared" ref="S665:S728" si="29">C643-H643</f>
        <v>-28063600</v>
      </c>
    </row>
    <row r="666" spans="1:19" x14ac:dyDescent="0.3">
      <c r="A666" s="2" t="s">
        <v>746</v>
      </c>
      <c r="B666" s="2">
        <v>106</v>
      </c>
      <c r="C666" s="3">
        <v>131920333</v>
      </c>
      <c r="D666" s="3" t="s">
        <v>6032</v>
      </c>
      <c r="E666" s="2" t="s">
        <v>747</v>
      </c>
      <c r="F666" s="2" t="s">
        <v>10</v>
      </c>
      <c r="G666" s="2" t="s">
        <v>11</v>
      </c>
      <c r="H666" s="2">
        <v>70000000</v>
      </c>
      <c r="I666" s="2">
        <v>5.7</v>
      </c>
      <c r="J666" s="3">
        <v>1277257</v>
      </c>
      <c r="K666">
        <f t="shared" si="28"/>
        <v>1.3775047412552699E-3</v>
      </c>
      <c r="R666" s="12" t="str">
        <f ca="1">IFERROR(__xludf.DUMMYFUNCTION("""COMPUTED_VALUE"""),"Death Race ")</f>
        <v>Death Race </v>
      </c>
      <c r="S666" s="12">
        <f t="shared" si="29"/>
        <v>141331527</v>
      </c>
    </row>
    <row r="667" spans="1:19" x14ac:dyDescent="0.3">
      <c r="A667" s="2" t="s">
        <v>1070</v>
      </c>
      <c r="B667" s="2">
        <v>107</v>
      </c>
      <c r="C667" s="3">
        <v>166225040</v>
      </c>
      <c r="D667" s="3" t="s">
        <v>5849</v>
      </c>
      <c r="E667" s="2" t="s">
        <v>1529</v>
      </c>
      <c r="F667" s="2" t="s">
        <v>10</v>
      </c>
      <c r="G667" s="2" t="s">
        <v>11</v>
      </c>
      <c r="H667" s="2">
        <v>45000000</v>
      </c>
      <c r="I667" s="2">
        <v>5.6</v>
      </c>
      <c r="J667" s="3">
        <v>1281176</v>
      </c>
      <c r="K667">
        <f t="shared" si="28"/>
        <v>1.3775047412552699E-3</v>
      </c>
      <c r="R667" s="12" t="str">
        <f ca="1">IFERROR(__xludf.DUMMYFUNCTION("""COMPUTED_VALUE"""),"The Long Kiss Goodnight ")</f>
        <v>The Long Kiss Goodnight </v>
      </c>
      <c r="S667" s="12">
        <f t="shared" si="29"/>
        <v>39134898</v>
      </c>
    </row>
    <row r="668" spans="1:19" x14ac:dyDescent="0.3">
      <c r="A668" s="2" t="s">
        <v>1405</v>
      </c>
      <c r="B668" s="2">
        <v>94</v>
      </c>
      <c r="C668" s="3">
        <v>104148781</v>
      </c>
      <c r="D668" s="3" t="s">
        <v>6033</v>
      </c>
      <c r="E668" s="2" t="s">
        <v>3173</v>
      </c>
      <c r="F668" s="2" t="s">
        <v>10</v>
      </c>
      <c r="G668" s="2" t="s">
        <v>11</v>
      </c>
      <c r="H668" s="2">
        <v>18000000</v>
      </c>
      <c r="I668" s="2">
        <v>7.6</v>
      </c>
      <c r="J668" s="3">
        <v>1282084</v>
      </c>
      <c r="K668">
        <f t="shared" si="28"/>
        <v>1.3775047412552699E-3</v>
      </c>
      <c r="R668" s="12" t="str">
        <f ca="1">IFERROR(__xludf.DUMMYFUNCTION("""COMPUTED_VALUE"""),"Proof of Life ")</f>
        <v>Proof of Life </v>
      </c>
      <c r="S668" s="12">
        <f t="shared" si="29"/>
        <v>-28302650</v>
      </c>
    </row>
    <row r="669" spans="1:19" x14ac:dyDescent="0.3">
      <c r="A669" s="2" t="s">
        <v>228</v>
      </c>
      <c r="B669" s="2">
        <v>96</v>
      </c>
      <c r="C669" s="3">
        <v>74608545</v>
      </c>
      <c r="D669" s="3" t="s">
        <v>5776</v>
      </c>
      <c r="E669" s="2" t="s">
        <v>4357</v>
      </c>
      <c r="F669" s="2" t="s">
        <v>10</v>
      </c>
      <c r="G669" s="2" t="s">
        <v>11</v>
      </c>
      <c r="H669" s="2">
        <v>11000000</v>
      </c>
      <c r="I669" s="2">
        <v>4.9000000000000004</v>
      </c>
      <c r="J669" s="3">
        <v>1292119</v>
      </c>
      <c r="K669">
        <f t="shared" si="28"/>
        <v>1.3775047412552699E-3</v>
      </c>
      <c r="R669" s="12" t="str">
        <f ca="1">IFERROR(__xludf.DUMMYFUNCTION("""COMPUTED_VALUE"""),"Zathura: A Space Adventure ")</f>
        <v>Zathura: A Space Adventure </v>
      </c>
      <c r="S669" s="12">
        <f t="shared" si="29"/>
        <v>25982842</v>
      </c>
    </row>
    <row r="670" spans="1:19" x14ac:dyDescent="0.3">
      <c r="A670" s="2" t="s">
        <v>3698</v>
      </c>
      <c r="B670" s="2">
        <v>95</v>
      </c>
      <c r="C670" s="3">
        <v>32553210</v>
      </c>
      <c r="D670" s="3" t="s">
        <v>6034</v>
      </c>
      <c r="E670" s="2" t="s">
        <v>3699</v>
      </c>
      <c r="F670" s="2" t="s">
        <v>10</v>
      </c>
      <c r="G670" s="2" t="s">
        <v>11</v>
      </c>
      <c r="H670" s="2">
        <v>13000000</v>
      </c>
      <c r="I670" s="2">
        <v>6.7</v>
      </c>
      <c r="J670" s="3">
        <v>1292527</v>
      </c>
      <c r="K670">
        <f t="shared" si="28"/>
        <v>1.3775047412552699E-3</v>
      </c>
      <c r="R670" s="12" t="str">
        <f ca="1">IFERROR(__xludf.DUMMYFUNCTION("""COMPUTED_VALUE"""),"Fight Club ")</f>
        <v>Fight Club </v>
      </c>
      <c r="S670" s="12">
        <f t="shared" si="29"/>
        <v>20053924</v>
      </c>
    </row>
    <row r="671" spans="1:19" x14ac:dyDescent="0.3">
      <c r="A671" s="2" t="s">
        <v>4167</v>
      </c>
      <c r="B671" s="2">
        <v>176</v>
      </c>
      <c r="C671" s="2">
        <v>3047539</v>
      </c>
      <c r="D671" s="3" t="s">
        <v>6035</v>
      </c>
      <c r="E671" s="2" t="s">
        <v>4168</v>
      </c>
      <c r="F671" s="2" t="s">
        <v>3944</v>
      </c>
      <c r="G671" s="2" t="s">
        <v>1845</v>
      </c>
      <c r="H671" s="2">
        <v>7217600</v>
      </c>
      <c r="I671" s="2">
        <v>6.9</v>
      </c>
      <c r="J671" s="3">
        <v>1294640</v>
      </c>
      <c r="K671">
        <f t="shared" si="28"/>
        <v>1.3775047412552699E-3</v>
      </c>
      <c r="R671" s="12" t="str">
        <f ca="1">IFERROR(__xludf.DUMMYFUNCTION("""COMPUTED_VALUE"""),"We Are Marshall ")</f>
        <v>We Are Marshall </v>
      </c>
      <c r="S671" s="12">
        <f t="shared" si="29"/>
        <v>14003620</v>
      </c>
    </row>
    <row r="672" spans="1:19" x14ac:dyDescent="0.3">
      <c r="A672" s="2" t="s">
        <v>5021</v>
      </c>
      <c r="B672" s="2">
        <v>112</v>
      </c>
      <c r="C672" s="3">
        <v>16123851</v>
      </c>
      <c r="D672" s="3" t="s">
        <v>5771</v>
      </c>
      <c r="E672" s="2" t="s">
        <v>5022</v>
      </c>
      <c r="F672" s="2" t="s">
        <v>10</v>
      </c>
      <c r="G672" s="2" t="s">
        <v>11</v>
      </c>
      <c r="H672" s="2">
        <v>2500000</v>
      </c>
      <c r="I672" s="2">
        <v>7.6</v>
      </c>
      <c r="J672" s="3">
        <v>1304837</v>
      </c>
      <c r="K672">
        <f t="shared" si="28"/>
        <v>1.3775047412552699E-3</v>
      </c>
      <c r="R672" s="12" t="str">
        <f ca="1">IFERROR(__xludf.DUMMYFUNCTION("""COMPUTED_VALUE"""),"Hudson Hawk ")</f>
        <v>Hudson Hawk </v>
      </c>
      <c r="S672" s="12">
        <f t="shared" si="29"/>
        <v>103396624</v>
      </c>
    </row>
    <row r="673" spans="1:19" x14ac:dyDescent="0.3">
      <c r="A673" s="2" t="s">
        <v>526</v>
      </c>
      <c r="B673" s="2">
        <v>90</v>
      </c>
      <c r="C673" s="3">
        <v>55673333</v>
      </c>
      <c r="D673" s="3" t="s">
        <v>5859</v>
      </c>
      <c r="E673" s="2" t="s">
        <v>797</v>
      </c>
      <c r="F673" s="2" t="s">
        <v>10</v>
      </c>
      <c r="G673" s="2" t="s">
        <v>11</v>
      </c>
      <c r="H673" s="2">
        <v>75000000</v>
      </c>
      <c r="I673" s="2">
        <v>6</v>
      </c>
      <c r="J673" s="3">
        <v>1309849</v>
      </c>
      <c r="K673">
        <f t="shared" si="28"/>
        <v>1.3775047412552699E-3</v>
      </c>
      <c r="R673" s="12" t="str">
        <f ca="1">IFERROR(__xludf.DUMMYFUNCTION("""COMPUTED_VALUE"""),"Lucky Numbers ")</f>
        <v>Lucky Numbers </v>
      </c>
      <c r="S673" s="12">
        <f t="shared" si="29"/>
        <v>3848292</v>
      </c>
    </row>
    <row r="674" spans="1:19" x14ac:dyDescent="0.3">
      <c r="A674" s="2" t="s">
        <v>3348</v>
      </c>
      <c r="B674" s="2">
        <v>95</v>
      </c>
      <c r="C674" s="3">
        <v>141614023</v>
      </c>
      <c r="D674" s="3" t="s">
        <v>5869</v>
      </c>
      <c r="E674" s="2" t="s">
        <v>3349</v>
      </c>
      <c r="F674" s="2" t="s">
        <v>10</v>
      </c>
      <c r="G674" s="2" t="s">
        <v>11</v>
      </c>
      <c r="H674" s="2">
        <v>15000000</v>
      </c>
      <c r="I674" s="2">
        <v>6.8</v>
      </c>
      <c r="J674" s="3">
        <v>1310270</v>
      </c>
      <c r="K674">
        <f t="shared" si="28"/>
        <v>1.3775047412552699E-3</v>
      </c>
      <c r="R674" s="12" t="str">
        <f ca="1">IFERROR(__xludf.DUMMYFUNCTION("""COMPUTED_VALUE"""),"I, Frankenstein ")</f>
        <v>I, Frankenstein </v>
      </c>
      <c r="S674" s="12">
        <f t="shared" si="29"/>
        <v>-28791977</v>
      </c>
    </row>
    <row r="675" spans="1:19" x14ac:dyDescent="0.3">
      <c r="A675" s="2" t="s">
        <v>909</v>
      </c>
      <c r="B675" s="2">
        <v>95</v>
      </c>
      <c r="C675" s="3">
        <v>181166115</v>
      </c>
      <c r="D675" s="3" t="s">
        <v>6036</v>
      </c>
      <c r="E675" s="2" t="s">
        <v>910</v>
      </c>
      <c r="F675" s="2" t="s">
        <v>10</v>
      </c>
      <c r="G675" s="2" t="s">
        <v>11</v>
      </c>
      <c r="H675" s="2">
        <v>70000000</v>
      </c>
      <c r="I675" s="2">
        <v>6.2</v>
      </c>
      <c r="J675" s="3">
        <v>1316074</v>
      </c>
      <c r="K675">
        <f t="shared" si="28"/>
        <v>1.3775047412552699E-3</v>
      </c>
      <c r="R675" s="12" t="str">
        <f ca="1">IFERROR(__xludf.DUMMYFUNCTION("""COMPUTED_VALUE"""),"Oliver Twist ")</f>
        <v>Oliver Twist </v>
      </c>
      <c r="S675" s="12">
        <f t="shared" si="29"/>
        <v>35370763</v>
      </c>
    </row>
    <row r="676" spans="1:19" x14ac:dyDescent="0.3">
      <c r="A676" s="2" t="s">
        <v>274</v>
      </c>
      <c r="B676" s="2">
        <v>121</v>
      </c>
      <c r="C676" s="3">
        <v>88246220</v>
      </c>
      <c r="D676" s="3" t="s">
        <v>6037</v>
      </c>
      <c r="E676" s="2" t="s">
        <v>1344</v>
      </c>
      <c r="F676" s="2" t="s">
        <v>10</v>
      </c>
      <c r="G676" s="2" t="s">
        <v>11</v>
      </c>
      <c r="H676" s="2">
        <v>50000000</v>
      </c>
      <c r="I676" s="2">
        <v>6.2</v>
      </c>
      <c r="J676" s="3">
        <v>1325073</v>
      </c>
      <c r="K676">
        <f t="shared" si="28"/>
        <v>1.3775047412552699E-3</v>
      </c>
      <c r="R676" s="12" t="str">
        <f ca="1">IFERROR(__xludf.DUMMYFUNCTION("""COMPUTED_VALUE"""),"Elektra ")</f>
        <v>Elektra </v>
      </c>
      <c r="S676" s="12">
        <f t="shared" si="29"/>
        <v>20137776</v>
      </c>
    </row>
    <row r="677" spans="1:19" x14ac:dyDescent="0.3">
      <c r="A677" s="2" t="s">
        <v>392</v>
      </c>
      <c r="B677" s="2">
        <v>108</v>
      </c>
      <c r="C677" s="3">
        <v>64267897</v>
      </c>
      <c r="D677" s="3" t="s">
        <v>5793</v>
      </c>
      <c r="E677" s="2" t="s">
        <v>3475</v>
      </c>
      <c r="F677" s="2" t="s">
        <v>10</v>
      </c>
      <c r="G677" s="2" t="s">
        <v>11</v>
      </c>
      <c r="H677" s="2">
        <v>15000000</v>
      </c>
      <c r="I677" s="2">
        <v>6.3</v>
      </c>
      <c r="J677" s="3">
        <v>1330827</v>
      </c>
      <c r="K677">
        <f t="shared" si="28"/>
        <v>1.3775047412552699E-3</v>
      </c>
      <c r="R677" s="12" t="str">
        <f ca="1">IFERROR(__xludf.DUMMYFUNCTION("""COMPUTED_VALUE"""),"Sin City: A Dame to Kill For ")</f>
        <v>Sin City: A Dame to Kill For </v>
      </c>
      <c r="S677" s="12">
        <f t="shared" si="29"/>
        <v>32885635</v>
      </c>
    </row>
    <row r="678" spans="1:19" x14ac:dyDescent="0.3">
      <c r="A678" s="2" t="s">
        <v>1111</v>
      </c>
      <c r="B678" s="2">
        <v>88</v>
      </c>
      <c r="C678" s="3">
        <v>1100000</v>
      </c>
      <c r="D678" s="3" t="s">
        <v>5913</v>
      </c>
      <c r="E678" s="2" t="s">
        <v>2730</v>
      </c>
      <c r="F678" s="2" t="s">
        <v>10</v>
      </c>
      <c r="G678" s="2" t="s">
        <v>11</v>
      </c>
      <c r="H678" s="2">
        <v>23600000</v>
      </c>
      <c r="I678" s="2">
        <v>7.7</v>
      </c>
      <c r="J678" s="3">
        <v>1339152</v>
      </c>
      <c r="K678">
        <f t="shared" si="28"/>
        <v>1.3775047412552699E-3</v>
      </c>
      <c r="R678" s="12" t="str">
        <f ca="1">IFERROR(__xludf.DUMMYFUNCTION("""COMPUTED_VALUE"""),"Random Hearts ")</f>
        <v>Random Hearts </v>
      </c>
      <c r="S678" s="12">
        <f t="shared" si="29"/>
        <v>-163144863</v>
      </c>
    </row>
    <row r="679" spans="1:19" x14ac:dyDescent="0.3">
      <c r="A679" s="2" t="s">
        <v>5172</v>
      </c>
      <c r="B679" s="2">
        <v>95</v>
      </c>
      <c r="C679" s="3">
        <v>73000942</v>
      </c>
      <c r="D679" s="3" t="s">
        <v>5830</v>
      </c>
      <c r="E679" s="2" t="s">
        <v>5173</v>
      </c>
      <c r="F679" s="2" t="s">
        <v>5174</v>
      </c>
      <c r="G679" s="2" t="s">
        <v>504</v>
      </c>
      <c r="H679" s="2">
        <v>1300000</v>
      </c>
      <c r="I679" s="2">
        <v>7.2</v>
      </c>
      <c r="J679" s="3">
        <v>1346503</v>
      </c>
      <c r="K679">
        <f t="shared" si="28"/>
        <v>1.3775047412552699E-3</v>
      </c>
      <c r="R679" s="12" t="str">
        <f ca="1">IFERROR(__xludf.DUMMYFUNCTION("""COMPUTED_VALUE"""),"Everest ")</f>
        <v>Everest </v>
      </c>
      <c r="S679" s="12">
        <f t="shared" si="29"/>
        <v>89412921</v>
      </c>
    </row>
    <row r="680" spans="1:19" x14ac:dyDescent="0.3">
      <c r="A680" s="2" t="s">
        <v>2451</v>
      </c>
      <c r="B680" s="2">
        <v>105</v>
      </c>
      <c r="C680" s="3">
        <v>32333860</v>
      </c>
      <c r="D680" s="3" t="s">
        <v>5753</v>
      </c>
      <c r="E680" s="2" t="s">
        <v>5011</v>
      </c>
      <c r="F680" s="2" t="s">
        <v>10</v>
      </c>
      <c r="G680" s="2" t="s">
        <v>11</v>
      </c>
      <c r="H680" s="2">
        <v>2500000</v>
      </c>
      <c r="I680" s="2">
        <v>8.1</v>
      </c>
      <c r="J680" s="3">
        <v>1357042</v>
      </c>
      <c r="K680">
        <f t="shared" si="28"/>
        <v>1.3775047412552699E-3</v>
      </c>
      <c r="R680" s="12" t="str">
        <f ca="1">IFERROR(__xludf.DUMMYFUNCTION("""COMPUTED_VALUE"""),"Perfume: The Story of a Murderer ")</f>
        <v>Perfume: The Story of a Murderer </v>
      </c>
      <c r="S680" s="12">
        <f t="shared" si="29"/>
        <v>24834712</v>
      </c>
    </row>
    <row r="681" spans="1:19" x14ac:dyDescent="0.3">
      <c r="A681" s="2" t="s">
        <v>3460</v>
      </c>
      <c r="B681" s="2">
        <v>89</v>
      </c>
      <c r="C681" s="3">
        <v>127175354</v>
      </c>
      <c r="D681" s="3" t="s">
        <v>5892</v>
      </c>
      <c r="E681" s="2" t="s">
        <v>3461</v>
      </c>
      <c r="F681" s="2" t="s">
        <v>10</v>
      </c>
      <c r="G681" s="2" t="s">
        <v>11</v>
      </c>
      <c r="H681" s="2">
        <v>15000000</v>
      </c>
      <c r="I681" s="2">
        <v>5.0999999999999996</v>
      </c>
      <c r="J681" s="3">
        <v>1400000</v>
      </c>
      <c r="K681">
        <f t="shared" si="28"/>
        <v>1.3775047412552699E-3</v>
      </c>
      <c r="R681" s="12" t="str">
        <f ca="1">IFERROR(__xludf.DUMMYFUNCTION("""COMPUTED_VALUE"""),"Austin Powers in Goldmember ")</f>
        <v>Austin Powers in Goldmember </v>
      </c>
      <c r="S681" s="12">
        <f t="shared" si="29"/>
        <v>187170874</v>
      </c>
    </row>
    <row r="682" spans="1:19" x14ac:dyDescent="0.3">
      <c r="A682" s="2" t="s">
        <v>1904</v>
      </c>
      <c r="B682" s="2">
        <v>110</v>
      </c>
      <c r="C682" s="3">
        <v>114195633</v>
      </c>
      <c r="D682" s="3" t="s">
        <v>5923</v>
      </c>
      <c r="E682" s="2" t="s">
        <v>1905</v>
      </c>
      <c r="F682" s="2" t="s">
        <v>10</v>
      </c>
      <c r="G682" s="2" t="s">
        <v>11</v>
      </c>
      <c r="H682" s="2">
        <v>38000000</v>
      </c>
      <c r="I682" s="2">
        <v>6.1</v>
      </c>
      <c r="J682" s="3">
        <v>1420578</v>
      </c>
      <c r="K682">
        <f t="shared" si="28"/>
        <v>1.3775047412552699E-3</v>
      </c>
      <c r="R682" s="12" t="str">
        <f ca="1">IFERROR(__xludf.DUMMYFUNCTION("""COMPUTED_VALUE"""),"Astro Boy ")</f>
        <v>Astro Boy </v>
      </c>
      <c r="S682" s="12">
        <f t="shared" si="29"/>
        <v>137586036</v>
      </c>
    </row>
    <row r="683" spans="1:19" x14ac:dyDescent="0.3">
      <c r="A683" s="2" t="s">
        <v>1238</v>
      </c>
      <c r="B683" s="2">
        <v>95</v>
      </c>
      <c r="C683" s="3">
        <v>111722000</v>
      </c>
      <c r="D683" s="3" t="s">
        <v>6038</v>
      </c>
      <c r="E683" s="2" t="s">
        <v>1239</v>
      </c>
      <c r="F683" s="2" t="s">
        <v>10</v>
      </c>
      <c r="G683" s="2" t="s">
        <v>16</v>
      </c>
      <c r="H683" s="2">
        <v>55000000</v>
      </c>
      <c r="I683" s="2">
        <v>7.2</v>
      </c>
      <c r="J683" s="3">
        <v>1430185</v>
      </c>
      <c r="K683">
        <f t="shared" si="28"/>
        <v>1.3775047412552699E-3</v>
      </c>
      <c r="R683" s="12" t="str">
        <f ca="1">IFERROR(__xludf.DUMMYFUNCTION("""COMPUTED_VALUE"""),"Jurassic Park ")</f>
        <v>Jurassic Park </v>
      </c>
      <c r="S683" s="12">
        <f t="shared" si="29"/>
        <v>122015224</v>
      </c>
    </row>
    <row r="684" spans="1:19" x14ac:dyDescent="0.3">
      <c r="A684" s="2" t="s">
        <v>1782</v>
      </c>
      <c r="B684" s="2">
        <v>125</v>
      </c>
      <c r="C684" s="3">
        <v>55802754</v>
      </c>
      <c r="D684" s="3" t="s">
        <v>5975</v>
      </c>
      <c r="E684" s="2" t="s">
        <v>3180</v>
      </c>
      <c r="F684" s="2" t="s">
        <v>10</v>
      </c>
      <c r="G684" s="2" t="s">
        <v>11</v>
      </c>
      <c r="H684" s="2">
        <v>18000000</v>
      </c>
      <c r="I684" s="2">
        <v>7.5</v>
      </c>
      <c r="J684" s="3">
        <v>1474508</v>
      </c>
      <c r="K684">
        <f t="shared" si="28"/>
        <v>1.3775047412552699E-3</v>
      </c>
      <c r="R684" s="12" t="str">
        <f ca="1">IFERROR(__xludf.DUMMYFUNCTION("""COMPUTED_VALUE"""),"Wyatt Earp ")</f>
        <v>Wyatt Earp </v>
      </c>
      <c r="S684" s="12">
        <f t="shared" si="29"/>
        <v>37234139</v>
      </c>
    </row>
    <row r="685" spans="1:19" x14ac:dyDescent="0.3">
      <c r="A685" s="2" t="s">
        <v>4481</v>
      </c>
      <c r="B685" s="2">
        <v>106</v>
      </c>
      <c r="C685" s="3">
        <v>111760631</v>
      </c>
      <c r="D685" s="3" t="s">
        <v>6015</v>
      </c>
      <c r="E685" s="2" t="s">
        <v>4482</v>
      </c>
      <c r="F685" s="2" t="s">
        <v>10</v>
      </c>
      <c r="G685" s="2" t="s">
        <v>11</v>
      </c>
      <c r="H685" s="2">
        <v>6000000</v>
      </c>
      <c r="I685" s="2">
        <v>6.3</v>
      </c>
      <c r="J685" s="3">
        <v>1477002</v>
      </c>
      <c r="K685">
        <f t="shared" si="28"/>
        <v>1.3775047412552699E-3</v>
      </c>
      <c r="R685" s="12" t="str">
        <f ca="1">IFERROR(__xludf.DUMMYFUNCTION("""COMPUTED_VALUE"""),"Clear and Present Danger ")</f>
        <v>Clear and Present Danger </v>
      </c>
      <c r="S685" s="12">
        <f t="shared" si="29"/>
        <v>20056505</v>
      </c>
    </row>
    <row r="686" spans="1:19" x14ac:dyDescent="0.3">
      <c r="A686" s="2" t="s">
        <v>3188</v>
      </c>
      <c r="B686" s="2">
        <v>90</v>
      </c>
      <c r="C686" s="3">
        <v>84049211</v>
      </c>
      <c r="D686" s="3" t="s">
        <v>5937</v>
      </c>
      <c r="E686" s="2" t="s">
        <v>3189</v>
      </c>
      <c r="F686" s="2" t="s">
        <v>10</v>
      </c>
      <c r="G686" s="2" t="s">
        <v>11</v>
      </c>
      <c r="H686" s="2">
        <v>18000000</v>
      </c>
      <c r="I686" s="2">
        <v>4.4000000000000004</v>
      </c>
      <c r="J686" s="3">
        <v>1487477</v>
      </c>
      <c r="K686">
        <f t="shared" si="28"/>
        <v>1.3775047412552699E-3</v>
      </c>
      <c r="R686" s="12" t="str">
        <f ca="1">IFERROR(__xludf.DUMMYFUNCTION("""COMPUTED_VALUE"""),"Dragon Blade ")</f>
        <v>Dragon Blade </v>
      </c>
      <c r="S686" s="12">
        <f t="shared" si="29"/>
        <v>-33823447</v>
      </c>
    </row>
    <row r="687" spans="1:19" x14ac:dyDescent="0.3">
      <c r="A687" s="2" t="s">
        <v>4120</v>
      </c>
      <c r="B687" s="2">
        <v>101</v>
      </c>
      <c r="C687" s="3">
        <v>8460990</v>
      </c>
      <c r="D687" s="3" t="s">
        <v>5773</v>
      </c>
      <c r="E687" s="2" t="s">
        <v>4121</v>
      </c>
      <c r="F687" s="2" t="s">
        <v>751</v>
      </c>
      <c r="G687" s="2" t="s">
        <v>504</v>
      </c>
      <c r="H687" s="2">
        <v>60000000</v>
      </c>
      <c r="I687" s="2">
        <v>6.6</v>
      </c>
      <c r="J687" s="3">
        <v>1500000</v>
      </c>
      <c r="K687">
        <f t="shared" si="28"/>
        <v>1.3775047412552699E-3</v>
      </c>
      <c r="R687" s="12" t="str">
        <f ca="1">IFERROR(__xludf.DUMMYFUNCTION("""COMPUTED_VALUE"""),"Littleman ")</f>
        <v>Littleman </v>
      </c>
      <c r="S687" s="12">
        <f t="shared" si="29"/>
        <v>46247724</v>
      </c>
    </row>
    <row r="688" spans="1:19" x14ac:dyDescent="0.3">
      <c r="A688" s="2" t="s">
        <v>4097</v>
      </c>
      <c r="B688" s="2">
        <v>97</v>
      </c>
      <c r="C688" s="3">
        <v>48092846</v>
      </c>
      <c r="D688" s="3" t="s">
        <v>5869</v>
      </c>
      <c r="E688" s="2" t="s">
        <v>4098</v>
      </c>
      <c r="F688" s="2" t="s">
        <v>10</v>
      </c>
      <c r="G688" s="2" t="s">
        <v>11</v>
      </c>
      <c r="H688" s="2">
        <v>10000000</v>
      </c>
      <c r="I688" s="2">
        <v>6.3</v>
      </c>
      <c r="J688" s="3">
        <v>1506998</v>
      </c>
      <c r="K688">
        <f t="shared" si="28"/>
        <v>1.3775047412552699E-3</v>
      </c>
      <c r="R688" s="12" t="str">
        <f ca="1">IFERROR(__xludf.DUMMYFUNCTION("""COMPUTED_VALUE"""),"U-571 ")</f>
        <v>U-571 </v>
      </c>
      <c r="S688" s="12">
        <f t="shared" si="29"/>
        <v>61920333</v>
      </c>
    </row>
    <row r="689" spans="1:19" x14ac:dyDescent="0.3">
      <c r="A689" s="2" t="s">
        <v>1525</v>
      </c>
      <c r="B689" s="2">
        <v>91</v>
      </c>
      <c r="C689" s="3">
        <v>44793200</v>
      </c>
      <c r="D689" s="3" t="s">
        <v>5779</v>
      </c>
      <c r="E689" s="2" t="s">
        <v>1526</v>
      </c>
      <c r="F689" s="2" t="s">
        <v>10</v>
      </c>
      <c r="G689" s="2" t="s">
        <v>11</v>
      </c>
      <c r="H689" s="2">
        <v>45000000</v>
      </c>
      <c r="I689" s="2">
        <v>6.5</v>
      </c>
      <c r="J689" s="3">
        <v>1508689</v>
      </c>
      <c r="K689">
        <f t="shared" si="28"/>
        <v>1.3775047412552699E-3</v>
      </c>
      <c r="R689" s="12" t="str">
        <f ca="1">IFERROR(__xludf.DUMMYFUNCTION("""COMPUTED_VALUE"""),"The American President ")</f>
        <v>The American President </v>
      </c>
      <c r="S689" s="12">
        <f t="shared" si="29"/>
        <v>121225040</v>
      </c>
    </row>
    <row r="690" spans="1:19" x14ac:dyDescent="0.3">
      <c r="A690" s="2" t="s">
        <v>2591</v>
      </c>
      <c r="B690" s="2">
        <v>88</v>
      </c>
      <c r="C690" s="3">
        <v>25052000</v>
      </c>
      <c r="D690" s="3" t="s">
        <v>520</v>
      </c>
      <c r="E690" s="2" t="s">
        <v>2592</v>
      </c>
      <c r="F690" s="2" t="s">
        <v>10</v>
      </c>
      <c r="G690" s="2" t="s">
        <v>11</v>
      </c>
      <c r="H690" s="2">
        <v>25000000</v>
      </c>
      <c r="I690" s="2">
        <v>3.5</v>
      </c>
      <c r="J690" s="3">
        <v>1512815</v>
      </c>
      <c r="K690">
        <f t="shared" si="28"/>
        <v>1.3775047412552699E-3</v>
      </c>
      <c r="R690" s="12" t="str">
        <f ca="1">IFERROR(__xludf.DUMMYFUNCTION("""COMPUTED_VALUE"""),"The Love Guru ")</f>
        <v>The Love Guru </v>
      </c>
      <c r="S690" s="12">
        <f t="shared" si="29"/>
        <v>86148781</v>
      </c>
    </row>
    <row r="691" spans="1:19" x14ac:dyDescent="0.3">
      <c r="A691" s="2" t="s">
        <v>298</v>
      </c>
      <c r="B691" s="2">
        <v>156</v>
      </c>
      <c r="C691" s="3">
        <v>166112167</v>
      </c>
      <c r="D691" s="3" t="s">
        <v>5994</v>
      </c>
      <c r="E691" s="2" t="s">
        <v>299</v>
      </c>
      <c r="F691" s="2" t="s">
        <v>10</v>
      </c>
      <c r="G691" s="2" t="s">
        <v>11</v>
      </c>
      <c r="H691" s="2">
        <v>135000000</v>
      </c>
      <c r="I691" s="2">
        <v>8.1</v>
      </c>
      <c r="J691" s="3">
        <v>1523883</v>
      </c>
      <c r="K691">
        <f t="shared" si="28"/>
        <v>1.3775047412552699E-3</v>
      </c>
      <c r="R691" s="12" t="str">
        <f ca="1">IFERROR(__xludf.DUMMYFUNCTION("""COMPUTED_VALUE"""),"3000 Miles to Graceland ")</f>
        <v>3000 Miles to Graceland </v>
      </c>
      <c r="S691" s="12">
        <f t="shared" si="29"/>
        <v>63608545</v>
      </c>
    </row>
    <row r="692" spans="1:19" x14ac:dyDescent="0.3">
      <c r="A692" s="2" t="s">
        <v>1117</v>
      </c>
      <c r="B692" s="2">
        <v>110</v>
      </c>
      <c r="C692" s="3">
        <v>58336565</v>
      </c>
      <c r="D692" s="3" t="s">
        <v>5929</v>
      </c>
      <c r="E692" s="2" t="s">
        <v>2493</v>
      </c>
      <c r="F692" s="2" t="s">
        <v>10</v>
      </c>
      <c r="G692" s="2" t="s">
        <v>11</v>
      </c>
      <c r="H692" s="2">
        <v>26000000</v>
      </c>
      <c r="I692" s="2">
        <v>5.2</v>
      </c>
      <c r="J692" s="3">
        <v>1530535</v>
      </c>
      <c r="K692">
        <f t="shared" si="28"/>
        <v>1.3775047412552699E-3</v>
      </c>
      <c r="R692" s="12" t="str">
        <f ca="1">IFERROR(__xludf.DUMMYFUNCTION("""COMPUTED_VALUE"""),"The Hateful Eight ")</f>
        <v>The Hateful Eight </v>
      </c>
      <c r="S692" s="12">
        <f t="shared" si="29"/>
        <v>19553210</v>
      </c>
    </row>
    <row r="693" spans="1:19" x14ac:dyDescent="0.3">
      <c r="A693" s="2" t="s">
        <v>2451</v>
      </c>
      <c r="B693" s="2">
        <v>80</v>
      </c>
      <c r="C693" s="3">
        <v>24792061</v>
      </c>
      <c r="D693" s="3" t="s">
        <v>5960</v>
      </c>
      <c r="E693" s="2" t="s">
        <v>5075</v>
      </c>
      <c r="F693" s="2" t="s">
        <v>10</v>
      </c>
      <c r="G693" s="2" t="s">
        <v>11</v>
      </c>
      <c r="H693" s="2">
        <v>2700000</v>
      </c>
      <c r="I693" s="2">
        <v>8</v>
      </c>
      <c r="J693" s="3">
        <v>1550000</v>
      </c>
      <c r="K693">
        <f t="shared" si="28"/>
        <v>1.3775047412552699E-3</v>
      </c>
      <c r="R693" s="12" t="str">
        <f ca="1">IFERROR(__xludf.DUMMYFUNCTION("""COMPUTED_VALUE"""),"Blades of Glory ")</f>
        <v>Blades of Glory </v>
      </c>
      <c r="S693" s="12">
        <f t="shared" si="29"/>
        <v>-4170061</v>
      </c>
    </row>
    <row r="694" spans="1:19" x14ac:dyDescent="0.3">
      <c r="A694" s="2" t="s">
        <v>4350</v>
      </c>
      <c r="B694" s="2">
        <v>125</v>
      </c>
      <c r="C694" s="3">
        <v>35287788</v>
      </c>
      <c r="D694" s="3" t="s">
        <v>5767</v>
      </c>
      <c r="E694" s="2" t="s">
        <v>4366</v>
      </c>
      <c r="F694" s="2" t="s">
        <v>10</v>
      </c>
      <c r="G694" s="2" t="s">
        <v>16</v>
      </c>
      <c r="H694" s="2">
        <v>13000000</v>
      </c>
      <c r="I694" s="2">
        <v>6.8</v>
      </c>
      <c r="J694" s="3">
        <v>1569918</v>
      </c>
      <c r="K694">
        <f t="shared" si="28"/>
        <v>1.3775047412552699E-3</v>
      </c>
      <c r="R694" s="12" t="str">
        <f ca="1">IFERROR(__xludf.DUMMYFUNCTION("""COMPUTED_VALUE"""),"Hop ")</f>
        <v>Hop </v>
      </c>
      <c r="S694" s="12">
        <f t="shared" si="29"/>
        <v>13623851</v>
      </c>
    </row>
    <row r="695" spans="1:19" x14ac:dyDescent="0.3">
      <c r="A695" s="2" t="s">
        <v>963</v>
      </c>
      <c r="B695" s="2">
        <v>137</v>
      </c>
      <c r="C695" s="3">
        <v>183635922</v>
      </c>
      <c r="D695" s="3" t="s">
        <v>5936</v>
      </c>
      <c r="E695" s="2" t="s">
        <v>964</v>
      </c>
      <c r="F695" s="2" t="s">
        <v>10</v>
      </c>
      <c r="G695" s="2" t="s">
        <v>11</v>
      </c>
      <c r="H695" s="2">
        <v>65000000</v>
      </c>
      <c r="I695" s="2">
        <v>7.2</v>
      </c>
      <c r="J695" s="3">
        <v>1573712</v>
      </c>
      <c r="K695">
        <f t="shared" si="28"/>
        <v>1.3775047412552699E-3</v>
      </c>
      <c r="R695" s="12" t="str">
        <f ca="1">IFERROR(__xludf.DUMMYFUNCTION("""COMPUTED_VALUE"""),"300 ")</f>
        <v>300 </v>
      </c>
      <c r="S695" s="12">
        <f t="shared" si="29"/>
        <v>-19326667</v>
      </c>
    </row>
    <row r="696" spans="1:19" x14ac:dyDescent="0.3">
      <c r="A696" s="2" t="s">
        <v>462</v>
      </c>
      <c r="B696" s="2">
        <v>187</v>
      </c>
      <c r="C696" s="3">
        <v>57176582</v>
      </c>
      <c r="D696" s="3" t="s">
        <v>5776</v>
      </c>
      <c r="E696" s="2" t="s">
        <v>1023</v>
      </c>
      <c r="F696" s="2" t="s">
        <v>10</v>
      </c>
      <c r="G696" s="2" t="s">
        <v>11</v>
      </c>
      <c r="H696" s="2">
        <v>44000000</v>
      </c>
      <c r="I696" s="2">
        <v>7.9</v>
      </c>
      <c r="J696" s="3">
        <v>1602466</v>
      </c>
      <c r="K696">
        <f t="shared" si="28"/>
        <v>1.3775047412552699E-3</v>
      </c>
      <c r="R696" s="12" t="str">
        <f ca="1">IFERROR(__xludf.DUMMYFUNCTION("""COMPUTED_VALUE"""),"Meet the Fockers ")</f>
        <v>Meet the Fockers </v>
      </c>
      <c r="S696" s="12">
        <f t="shared" si="29"/>
        <v>126614023</v>
      </c>
    </row>
    <row r="697" spans="1:19" x14ac:dyDescent="0.3">
      <c r="A697" s="2" t="s">
        <v>2314</v>
      </c>
      <c r="B697" s="2">
        <v>124</v>
      </c>
      <c r="C697" s="3">
        <v>55637680</v>
      </c>
      <c r="D697" s="3" t="s">
        <v>6026</v>
      </c>
      <c r="E697" s="2" t="s">
        <v>2567</v>
      </c>
      <c r="F697" s="2" t="s">
        <v>10</v>
      </c>
      <c r="G697" s="2" t="s">
        <v>11</v>
      </c>
      <c r="H697" s="2">
        <v>25000000</v>
      </c>
      <c r="I697" s="2">
        <v>7</v>
      </c>
      <c r="J697" s="3">
        <v>1631839</v>
      </c>
      <c r="K697">
        <f t="shared" si="28"/>
        <v>1.3775047412552699E-3</v>
      </c>
      <c r="R697" s="12" t="str">
        <f ca="1">IFERROR(__xludf.DUMMYFUNCTION("""COMPUTED_VALUE"""),"Marley &amp; Me ")</f>
        <v>Marley &amp; Me </v>
      </c>
      <c r="S697" s="12">
        <f t="shared" si="29"/>
        <v>111166115</v>
      </c>
    </row>
    <row r="698" spans="1:19" x14ac:dyDescent="0.3">
      <c r="A698" s="2" t="s">
        <v>1928</v>
      </c>
      <c r="B698" s="2">
        <v>102</v>
      </c>
      <c r="C698" s="3">
        <v>55585389</v>
      </c>
      <c r="D698" s="3" t="s">
        <v>6039</v>
      </c>
      <c r="E698" s="2" t="s">
        <v>3806</v>
      </c>
      <c r="F698" s="2" t="s">
        <v>10</v>
      </c>
      <c r="G698" s="2" t="s">
        <v>11</v>
      </c>
      <c r="H698" s="2">
        <v>12000000</v>
      </c>
      <c r="I698" s="2">
        <v>6.5</v>
      </c>
      <c r="J698" s="3">
        <v>1641788</v>
      </c>
      <c r="K698">
        <f t="shared" si="28"/>
        <v>1.3775047412552699E-3</v>
      </c>
      <c r="R698" s="12" t="str">
        <f ca="1">IFERROR(__xludf.DUMMYFUNCTION("""COMPUTED_VALUE"""),"The Green Mile ")</f>
        <v>The Green Mile </v>
      </c>
      <c r="S698" s="12">
        <f t="shared" si="29"/>
        <v>38246220</v>
      </c>
    </row>
    <row r="699" spans="1:19" x14ac:dyDescent="0.3">
      <c r="A699" s="2" t="s">
        <v>1165</v>
      </c>
      <c r="B699" s="2">
        <v>132</v>
      </c>
      <c r="C699" s="3">
        <v>31768374</v>
      </c>
      <c r="D699" s="3" t="s">
        <v>5910</v>
      </c>
      <c r="E699" s="2" t="s">
        <v>1166</v>
      </c>
      <c r="F699" s="2" t="s">
        <v>1167</v>
      </c>
      <c r="G699" s="2" t="s">
        <v>11</v>
      </c>
      <c r="H699" s="2">
        <v>80000000</v>
      </c>
      <c r="I699" s="2">
        <v>6.7</v>
      </c>
      <c r="J699" s="3">
        <v>1646664</v>
      </c>
      <c r="K699">
        <f t="shared" si="28"/>
        <v>1.3775047412552699E-3</v>
      </c>
      <c r="R699" s="12" t="str">
        <f ca="1">IFERROR(__xludf.DUMMYFUNCTION("""COMPUTED_VALUE"""),"Chicken Little ")</f>
        <v>Chicken Little </v>
      </c>
      <c r="S699" s="12">
        <f t="shared" si="29"/>
        <v>49267897</v>
      </c>
    </row>
    <row r="700" spans="1:19" x14ac:dyDescent="0.3">
      <c r="A700" s="2" t="s">
        <v>963</v>
      </c>
      <c r="B700" s="2">
        <v>122</v>
      </c>
      <c r="C700" s="3">
        <v>123207194</v>
      </c>
      <c r="D700" s="3" t="s">
        <v>5893</v>
      </c>
      <c r="E700" s="2" t="s">
        <v>3077</v>
      </c>
      <c r="F700" s="2" t="s">
        <v>10</v>
      </c>
      <c r="G700" s="2" t="s">
        <v>11</v>
      </c>
      <c r="H700" s="2">
        <v>10000000</v>
      </c>
      <c r="I700" s="2">
        <v>5.3</v>
      </c>
      <c r="J700" s="3">
        <v>1647780</v>
      </c>
      <c r="K700">
        <f t="shared" si="28"/>
        <v>1.3775047412552699E-3</v>
      </c>
      <c r="R700" s="12" t="str">
        <f ca="1">IFERROR(__xludf.DUMMYFUNCTION("""COMPUTED_VALUE"""),"Gone Girl ")</f>
        <v>Gone Girl </v>
      </c>
      <c r="S700" s="12">
        <f t="shared" si="29"/>
        <v>-22500000</v>
      </c>
    </row>
    <row r="701" spans="1:19" x14ac:dyDescent="0.3">
      <c r="A701" s="2" t="s">
        <v>1012</v>
      </c>
      <c r="B701" s="2">
        <v>103</v>
      </c>
      <c r="C701" s="3">
        <v>167735396</v>
      </c>
      <c r="D701" s="3" t="s">
        <v>5813</v>
      </c>
      <c r="E701" s="2" t="s">
        <v>1013</v>
      </c>
      <c r="F701" s="2" t="s">
        <v>513</v>
      </c>
      <c r="G701" s="2" t="s">
        <v>233</v>
      </c>
      <c r="H701" s="2">
        <v>65000000</v>
      </c>
      <c r="I701" s="2">
        <v>6.1</v>
      </c>
      <c r="J701" s="3">
        <v>1652472</v>
      </c>
      <c r="K701">
        <f t="shared" si="28"/>
        <v>1.3775047412552699E-3</v>
      </c>
      <c r="R701" s="12" t="str">
        <f ca="1">IFERROR(__xludf.DUMMYFUNCTION("""COMPUTED_VALUE"""),"The Bourne Identity ")</f>
        <v>The Bourne Identity </v>
      </c>
      <c r="S701" s="12">
        <f t="shared" si="29"/>
        <v>71700942</v>
      </c>
    </row>
    <row r="702" spans="1:19" x14ac:dyDescent="0.3">
      <c r="A702" s="2" t="s">
        <v>330</v>
      </c>
      <c r="B702" s="2">
        <v>118</v>
      </c>
      <c r="C702" s="3">
        <v>66636385</v>
      </c>
      <c r="D702" s="3" t="s">
        <v>5833</v>
      </c>
      <c r="E702" s="2" t="s">
        <v>551</v>
      </c>
      <c r="F702" s="2" t="s">
        <v>10</v>
      </c>
      <c r="G702" s="2" t="s">
        <v>16</v>
      </c>
      <c r="H702" s="2">
        <v>95000000</v>
      </c>
      <c r="I702" s="2">
        <v>5.9</v>
      </c>
      <c r="J702" s="3">
        <v>1654367</v>
      </c>
      <c r="K702">
        <f t="shared" si="28"/>
        <v>1.3775047412552699E-3</v>
      </c>
      <c r="R702" s="12" t="str">
        <f ca="1">IFERROR(__xludf.DUMMYFUNCTION("""COMPUTED_VALUE"""),"GoldenEye ")</f>
        <v>GoldenEye </v>
      </c>
      <c r="S702" s="12">
        <f t="shared" si="29"/>
        <v>29833860</v>
      </c>
    </row>
    <row r="703" spans="1:19" x14ac:dyDescent="0.3">
      <c r="A703" s="2" t="s">
        <v>2429</v>
      </c>
      <c r="B703" s="2">
        <v>227</v>
      </c>
      <c r="C703" s="3">
        <v>36931089</v>
      </c>
      <c r="D703" s="3" t="s">
        <v>5960</v>
      </c>
      <c r="E703" s="2" t="s">
        <v>3423</v>
      </c>
      <c r="F703" s="2" t="s">
        <v>10</v>
      </c>
      <c r="G703" s="2" t="s">
        <v>16</v>
      </c>
      <c r="H703" s="2">
        <v>15000000</v>
      </c>
      <c r="I703" s="2">
        <v>8.4</v>
      </c>
      <c r="J703" s="3">
        <v>1666262</v>
      </c>
      <c r="K703">
        <f t="shared" si="28"/>
        <v>1.3775047412552699E-3</v>
      </c>
      <c r="R703" s="12" t="str">
        <f ca="1">IFERROR(__xludf.DUMMYFUNCTION("""COMPUTED_VALUE"""),"The General's Daughter ")</f>
        <v>The General's Daughter </v>
      </c>
      <c r="S703" s="12">
        <f t="shared" si="29"/>
        <v>112175354</v>
      </c>
    </row>
    <row r="704" spans="1:19" x14ac:dyDescent="0.3">
      <c r="A704" s="2" t="s">
        <v>1398</v>
      </c>
      <c r="B704" s="2">
        <v>108</v>
      </c>
      <c r="C704" s="3">
        <v>132014112</v>
      </c>
      <c r="D704" s="3" t="s">
        <v>6040</v>
      </c>
      <c r="E704" s="2" t="s">
        <v>1399</v>
      </c>
      <c r="F704" s="2" t="s">
        <v>10</v>
      </c>
      <c r="G704" s="2" t="s">
        <v>16</v>
      </c>
      <c r="H704" s="2">
        <v>40000000</v>
      </c>
      <c r="I704" s="2">
        <v>5.9</v>
      </c>
      <c r="J704" s="3">
        <v>1677838</v>
      </c>
      <c r="K704">
        <f t="shared" si="28"/>
        <v>1.3775047412552699E-3</v>
      </c>
      <c r="R704" s="12" t="str">
        <f ca="1">IFERROR(__xludf.DUMMYFUNCTION("""COMPUTED_VALUE"""),"The Truman Show ")</f>
        <v>The Truman Show </v>
      </c>
      <c r="S704" s="12">
        <f t="shared" si="29"/>
        <v>76195633</v>
      </c>
    </row>
    <row r="705" spans="1:19" x14ac:dyDescent="0.3">
      <c r="A705" s="2" t="s">
        <v>1902</v>
      </c>
      <c r="B705" s="2">
        <v>104</v>
      </c>
      <c r="C705" s="3">
        <v>36874745</v>
      </c>
      <c r="D705" s="3" t="s">
        <v>6041</v>
      </c>
      <c r="E705" s="2" t="s">
        <v>2789</v>
      </c>
      <c r="F705" s="2" t="s">
        <v>10</v>
      </c>
      <c r="G705" s="2" t="s">
        <v>11</v>
      </c>
      <c r="H705" s="2">
        <v>22000000</v>
      </c>
      <c r="I705" s="2">
        <v>6.9</v>
      </c>
      <c r="J705" s="3">
        <v>1686429</v>
      </c>
      <c r="K705">
        <f t="shared" si="28"/>
        <v>1.3775047412552699E-3</v>
      </c>
      <c r="R705" s="12" t="str">
        <f ca="1">IFERROR(__xludf.DUMMYFUNCTION("""COMPUTED_VALUE"""),"The Prince of Egypt ")</f>
        <v>The Prince of Egypt </v>
      </c>
      <c r="S705" s="12">
        <f t="shared" si="29"/>
        <v>56722000</v>
      </c>
    </row>
    <row r="706" spans="1:19" x14ac:dyDescent="0.3">
      <c r="A706" s="2" t="s">
        <v>4705</v>
      </c>
      <c r="B706" s="2">
        <v>86</v>
      </c>
      <c r="C706" s="3">
        <v>83025853</v>
      </c>
      <c r="D706" s="3" t="s">
        <v>5844</v>
      </c>
      <c r="E706" s="2" t="s">
        <v>5495</v>
      </c>
      <c r="F706" s="2" t="s">
        <v>10</v>
      </c>
      <c r="G706" s="2" t="s">
        <v>11</v>
      </c>
      <c r="H706" s="2">
        <v>500000</v>
      </c>
      <c r="I706" s="2">
        <v>6.5</v>
      </c>
      <c r="J706" s="3">
        <v>1687311</v>
      </c>
      <c r="K706">
        <f t="shared" ref="K706:K769" si="30">CORREL(H$2:H$3941,J$2:J$3941)</f>
        <v>1.3775047412552699E-3</v>
      </c>
      <c r="R706" s="12" t="str">
        <f ca="1">IFERROR(__xludf.DUMMYFUNCTION("""COMPUTED_VALUE"""),"Daddy Day Care ")</f>
        <v>Daddy Day Care </v>
      </c>
      <c r="S706" s="12">
        <f t="shared" si="29"/>
        <v>37802754</v>
      </c>
    </row>
    <row r="707" spans="1:19" x14ac:dyDescent="0.3">
      <c r="A707" s="2" t="s">
        <v>477</v>
      </c>
      <c r="B707" s="2">
        <v>103</v>
      </c>
      <c r="C707" s="3">
        <v>162792677</v>
      </c>
      <c r="D707" s="3" t="s">
        <v>6042</v>
      </c>
      <c r="E707" s="2" t="s">
        <v>478</v>
      </c>
      <c r="F707" s="2" t="s">
        <v>10</v>
      </c>
      <c r="G707" s="2" t="s">
        <v>11</v>
      </c>
      <c r="H707" s="2">
        <v>100000000</v>
      </c>
      <c r="I707" s="2">
        <v>6</v>
      </c>
      <c r="J707" s="3">
        <v>1689999</v>
      </c>
      <c r="K707">
        <f t="shared" si="30"/>
        <v>1.3775047412552699E-3</v>
      </c>
      <c r="R707" s="12" t="str">
        <f ca="1">IFERROR(__xludf.DUMMYFUNCTION("""COMPUTED_VALUE"""),"2 Guns ")</f>
        <v>2 Guns </v>
      </c>
      <c r="S707" s="12">
        <f t="shared" si="29"/>
        <v>105760631</v>
      </c>
    </row>
    <row r="708" spans="1:19" x14ac:dyDescent="0.3">
      <c r="A708" s="2" t="s">
        <v>1677</v>
      </c>
      <c r="B708" s="2">
        <v>101</v>
      </c>
      <c r="C708" s="2">
        <v>26505000</v>
      </c>
      <c r="D708" s="3" t="s">
        <v>5969</v>
      </c>
      <c r="E708" s="2" t="s">
        <v>1956</v>
      </c>
      <c r="F708" s="2" t="s">
        <v>10</v>
      </c>
      <c r="G708" s="2" t="s">
        <v>11</v>
      </c>
      <c r="H708" s="2">
        <v>1800000</v>
      </c>
      <c r="I708" s="2">
        <v>7.5</v>
      </c>
      <c r="J708" s="3">
        <v>1697956</v>
      </c>
      <c r="K708">
        <f t="shared" si="30"/>
        <v>1.3775047412552699E-3</v>
      </c>
      <c r="R708" s="12" t="str">
        <f ca="1">IFERROR(__xludf.DUMMYFUNCTION("""COMPUTED_VALUE"""),"Cats &amp; Dogs ")</f>
        <v>Cats &amp; Dogs </v>
      </c>
      <c r="S708" s="12">
        <f t="shared" si="29"/>
        <v>66049211</v>
      </c>
    </row>
    <row r="709" spans="1:19" x14ac:dyDescent="0.3">
      <c r="A709" s="2" t="s">
        <v>2713</v>
      </c>
      <c r="B709" s="2">
        <v>107</v>
      </c>
      <c r="C709" s="3">
        <v>48056940</v>
      </c>
      <c r="D709" s="3" t="s">
        <v>5778</v>
      </c>
      <c r="E709" s="2" t="s">
        <v>3866</v>
      </c>
      <c r="F709" s="2" t="s">
        <v>10</v>
      </c>
      <c r="G709" s="2" t="s">
        <v>98</v>
      </c>
      <c r="H709" s="2">
        <v>12000000</v>
      </c>
      <c r="I709" s="2">
        <v>6</v>
      </c>
      <c r="J709" s="3">
        <v>1702277</v>
      </c>
      <c r="K709">
        <f t="shared" si="30"/>
        <v>1.3775047412552699E-3</v>
      </c>
      <c r="R709" s="12" t="str">
        <f ca="1">IFERROR(__xludf.DUMMYFUNCTION("""COMPUTED_VALUE"""),"The Italian Job ")</f>
        <v>The Italian Job </v>
      </c>
      <c r="S709" s="12">
        <f t="shared" si="29"/>
        <v>-51539010</v>
      </c>
    </row>
    <row r="710" spans="1:19" x14ac:dyDescent="0.3">
      <c r="A710" s="2" t="s">
        <v>222</v>
      </c>
      <c r="B710" s="2">
        <v>111</v>
      </c>
      <c r="C710" s="3">
        <v>82301521</v>
      </c>
      <c r="D710" s="3" t="s">
        <v>5785</v>
      </c>
      <c r="E710" s="2" t="s">
        <v>4255</v>
      </c>
      <c r="F710" s="2" t="s">
        <v>10</v>
      </c>
      <c r="G710" s="2" t="s">
        <v>16</v>
      </c>
      <c r="H710" s="2">
        <v>8000000</v>
      </c>
      <c r="I710" s="2">
        <v>7.4</v>
      </c>
      <c r="J710" s="3">
        <v>1705139</v>
      </c>
      <c r="K710">
        <f t="shared" si="30"/>
        <v>1.3775047412552699E-3</v>
      </c>
      <c r="R710" s="12" t="str">
        <f ca="1">IFERROR(__xludf.DUMMYFUNCTION("""COMPUTED_VALUE"""),"Two Weeks Notice ")</f>
        <v>Two Weeks Notice </v>
      </c>
      <c r="S710" s="12">
        <f t="shared" si="29"/>
        <v>38092846</v>
      </c>
    </row>
    <row r="711" spans="1:19" x14ac:dyDescent="0.3">
      <c r="A711" s="2" t="s">
        <v>5223</v>
      </c>
      <c r="B711" s="2">
        <v>94</v>
      </c>
      <c r="C711" s="2">
        <v>36830</v>
      </c>
      <c r="D711" s="3" t="s">
        <v>5818</v>
      </c>
      <c r="E711" s="2" t="s">
        <v>5224</v>
      </c>
      <c r="F711" s="2" t="s">
        <v>10</v>
      </c>
      <c r="G711" s="2" t="s">
        <v>16</v>
      </c>
      <c r="H711" s="2">
        <v>1400000</v>
      </c>
      <c r="I711" s="2">
        <v>6.6</v>
      </c>
      <c r="J711" s="3">
        <v>1712111</v>
      </c>
      <c r="K711">
        <f t="shared" si="30"/>
        <v>1.3775047412552699E-3</v>
      </c>
      <c r="R711" s="12" t="str">
        <f ca="1">IFERROR(__xludf.DUMMYFUNCTION("""COMPUTED_VALUE"""),"Antz ")</f>
        <v>Antz </v>
      </c>
      <c r="S711" s="12">
        <f t="shared" si="29"/>
        <v>-206800</v>
      </c>
    </row>
    <row r="712" spans="1:19" x14ac:dyDescent="0.3">
      <c r="A712" s="2" t="s">
        <v>2003</v>
      </c>
      <c r="B712" s="2">
        <v>103</v>
      </c>
      <c r="C712" s="3">
        <v>82300000</v>
      </c>
      <c r="D712" s="3" t="s">
        <v>5975</v>
      </c>
      <c r="E712" s="2" t="s">
        <v>2178</v>
      </c>
      <c r="F712" s="2" t="s">
        <v>10</v>
      </c>
      <c r="G712" s="2" t="s">
        <v>11</v>
      </c>
      <c r="H712" s="2">
        <v>26000000</v>
      </c>
      <c r="I712" s="2">
        <v>6.2</v>
      </c>
      <c r="J712" s="3">
        <v>1729969</v>
      </c>
      <c r="K712">
        <f t="shared" si="30"/>
        <v>1.3775047412552699E-3</v>
      </c>
      <c r="R712" s="12" t="str">
        <f ca="1">IFERROR(__xludf.DUMMYFUNCTION("""COMPUTED_VALUE"""),"Couples Retreat ")</f>
        <v>Couples Retreat </v>
      </c>
      <c r="S712" s="12">
        <f t="shared" si="29"/>
        <v>52000</v>
      </c>
    </row>
    <row r="713" spans="1:19" x14ac:dyDescent="0.3">
      <c r="A713" s="2" t="s">
        <v>3828</v>
      </c>
      <c r="B713" s="2">
        <v>106</v>
      </c>
      <c r="C713" s="3">
        <v>66676062</v>
      </c>
      <c r="D713" s="3" t="s">
        <v>6043</v>
      </c>
      <c r="E713" s="2" t="s">
        <v>3829</v>
      </c>
      <c r="F713" s="2" t="s">
        <v>10</v>
      </c>
      <c r="G713" s="2" t="s">
        <v>11</v>
      </c>
      <c r="H713" s="2">
        <v>12000000</v>
      </c>
      <c r="I713" s="2">
        <v>6.4</v>
      </c>
      <c r="J713" s="3">
        <v>1738692</v>
      </c>
      <c r="K713">
        <f t="shared" si="30"/>
        <v>1.3775047412552699E-3</v>
      </c>
      <c r="R713" s="12" t="str">
        <f ca="1">IFERROR(__xludf.DUMMYFUNCTION("""COMPUTED_VALUE"""),"Days of Thunder ")</f>
        <v>Days of Thunder </v>
      </c>
      <c r="S713" s="12">
        <f t="shared" si="29"/>
        <v>31112167</v>
      </c>
    </row>
    <row r="714" spans="1:19" x14ac:dyDescent="0.3">
      <c r="A714" s="2" t="s">
        <v>598</v>
      </c>
      <c r="B714" s="2">
        <v>131</v>
      </c>
      <c r="C714" s="3">
        <v>132088910</v>
      </c>
      <c r="D714" s="3" t="s">
        <v>885</v>
      </c>
      <c r="E714" s="2" t="s">
        <v>3478</v>
      </c>
      <c r="F714" s="2" t="s">
        <v>10</v>
      </c>
      <c r="G714" s="2" t="s">
        <v>11</v>
      </c>
      <c r="H714" s="2">
        <v>15000000</v>
      </c>
      <c r="I714" s="2">
        <v>7.6</v>
      </c>
      <c r="J714" s="3">
        <v>1744858</v>
      </c>
      <c r="K714">
        <f t="shared" si="30"/>
        <v>1.3775047412552699E-3</v>
      </c>
      <c r="R714" s="12" t="str">
        <f ca="1">IFERROR(__xludf.DUMMYFUNCTION("""COMPUTED_VALUE"""),"Cheaper by the Dozen 2 ")</f>
        <v>Cheaper by the Dozen 2 </v>
      </c>
      <c r="S714" s="12">
        <f t="shared" si="29"/>
        <v>32336565</v>
      </c>
    </row>
    <row r="715" spans="1:19" x14ac:dyDescent="0.3">
      <c r="A715" s="2" t="s">
        <v>2614</v>
      </c>
      <c r="B715" s="2">
        <v>93</v>
      </c>
      <c r="C715" s="3">
        <v>42057340</v>
      </c>
      <c r="D715" s="3" t="s">
        <v>5771</v>
      </c>
      <c r="E715" s="2" t="s">
        <v>2615</v>
      </c>
      <c r="F715" s="2" t="s">
        <v>10</v>
      </c>
      <c r="G715" s="2" t="s">
        <v>11</v>
      </c>
      <c r="H715" s="2">
        <v>25000000</v>
      </c>
      <c r="I715" s="2">
        <v>6.6</v>
      </c>
      <c r="J715" s="3">
        <v>1752214</v>
      </c>
      <c r="K715">
        <f t="shared" si="30"/>
        <v>1.3775047412552699E-3</v>
      </c>
      <c r="R715" s="12" t="str">
        <f ca="1">IFERROR(__xludf.DUMMYFUNCTION("""COMPUTED_VALUE"""),"The Scorch Trials ")</f>
        <v>The Scorch Trials </v>
      </c>
      <c r="S715" s="12">
        <f t="shared" si="29"/>
        <v>22092061</v>
      </c>
    </row>
    <row r="716" spans="1:19" x14ac:dyDescent="0.3">
      <c r="A716" s="2" t="s">
        <v>2956</v>
      </c>
      <c r="B716" s="2">
        <v>96</v>
      </c>
      <c r="C716" s="3">
        <v>55500000</v>
      </c>
      <c r="D716" s="3" t="s">
        <v>5999</v>
      </c>
      <c r="E716" s="2" t="s">
        <v>2957</v>
      </c>
      <c r="F716" s="2" t="s">
        <v>10</v>
      </c>
      <c r="G716" s="2" t="s">
        <v>11</v>
      </c>
      <c r="H716" s="2">
        <v>20000000</v>
      </c>
      <c r="I716" s="2">
        <v>7.1</v>
      </c>
      <c r="J716" s="3">
        <v>1754319</v>
      </c>
      <c r="K716">
        <f t="shared" si="30"/>
        <v>1.3775047412552699E-3</v>
      </c>
      <c r="R716" s="12" t="str">
        <f ca="1">IFERROR(__xludf.DUMMYFUNCTION("""COMPUTED_VALUE"""),"Eat Pray Love ")</f>
        <v>Eat Pray Love </v>
      </c>
      <c r="S716" s="12">
        <f t="shared" si="29"/>
        <v>22287788</v>
      </c>
    </row>
    <row r="717" spans="1:19" x14ac:dyDescent="0.3">
      <c r="A717" s="2" t="s">
        <v>590</v>
      </c>
      <c r="B717" s="2">
        <v>114</v>
      </c>
      <c r="C717" s="3">
        <v>66941559</v>
      </c>
      <c r="D717" s="3" t="s">
        <v>5866</v>
      </c>
      <c r="E717" s="2" t="s">
        <v>2059</v>
      </c>
      <c r="F717" s="2" t="s">
        <v>10</v>
      </c>
      <c r="G717" s="2" t="s">
        <v>504</v>
      </c>
      <c r="H717" s="2">
        <v>35000000</v>
      </c>
      <c r="I717" s="2">
        <v>6.3</v>
      </c>
      <c r="J717" s="3">
        <v>1768416</v>
      </c>
      <c r="K717">
        <f t="shared" si="30"/>
        <v>1.3775047412552699E-3</v>
      </c>
      <c r="R717" s="12" t="str">
        <f ca="1">IFERROR(__xludf.DUMMYFUNCTION("""COMPUTED_VALUE"""),"The Family Man ")</f>
        <v>The Family Man </v>
      </c>
      <c r="S717" s="12">
        <f t="shared" si="29"/>
        <v>118635922</v>
      </c>
    </row>
    <row r="718" spans="1:19" x14ac:dyDescent="0.3">
      <c r="A718" s="2" t="s">
        <v>350</v>
      </c>
      <c r="B718" s="2">
        <v>115</v>
      </c>
      <c r="C718" s="3">
        <v>48043505</v>
      </c>
      <c r="D718" s="3" t="s">
        <v>5767</v>
      </c>
      <c r="E718" s="2" t="s">
        <v>2476</v>
      </c>
      <c r="F718" s="2" t="s">
        <v>10</v>
      </c>
      <c r="G718" s="2" t="s">
        <v>11</v>
      </c>
      <c r="H718" s="2">
        <v>26000000</v>
      </c>
      <c r="I718" s="2">
        <v>6.6</v>
      </c>
      <c r="J718" s="3">
        <v>1779284</v>
      </c>
      <c r="K718">
        <f t="shared" si="30"/>
        <v>1.3775047412552699E-3</v>
      </c>
      <c r="R718" s="12" t="str">
        <f ca="1">IFERROR(__xludf.DUMMYFUNCTION("""COMPUTED_VALUE"""),"RED ")</f>
        <v>RED </v>
      </c>
      <c r="S718" s="12">
        <f t="shared" si="29"/>
        <v>13176582</v>
      </c>
    </row>
    <row r="719" spans="1:19" x14ac:dyDescent="0.3">
      <c r="A719" s="2" t="s">
        <v>43</v>
      </c>
      <c r="B719" s="2">
        <v>106</v>
      </c>
      <c r="C719" s="3">
        <v>61656849</v>
      </c>
      <c r="D719" s="3" t="s">
        <v>5771</v>
      </c>
      <c r="E719" s="2" t="s">
        <v>44</v>
      </c>
      <c r="F719" s="2" t="s">
        <v>10</v>
      </c>
      <c r="G719" s="2" t="s">
        <v>11</v>
      </c>
      <c r="H719" s="2">
        <v>225000000</v>
      </c>
      <c r="I719" s="2">
        <v>6.8</v>
      </c>
      <c r="J719" s="3">
        <v>1789892</v>
      </c>
      <c r="K719">
        <f t="shared" si="30"/>
        <v>1.3775047412552699E-3</v>
      </c>
      <c r="R719" s="12" t="str">
        <f ca="1">IFERROR(__xludf.DUMMYFUNCTION("""COMPUTED_VALUE"""),"Any Given Sunday ")</f>
        <v>Any Given Sunday </v>
      </c>
      <c r="S719" s="12">
        <f t="shared" si="29"/>
        <v>30637680</v>
      </c>
    </row>
    <row r="720" spans="1:19" x14ac:dyDescent="0.3">
      <c r="A720" s="2" t="s">
        <v>266</v>
      </c>
      <c r="B720" s="2">
        <v>90</v>
      </c>
      <c r="C720" s="3">
        <v>26838389</v>
      </c>
      <c r="D720" s="3" t="s">
        <v>5890</v>
      </c>
      <c r="E720" s="2" t="s">
        <v>267</v>
      </c>
      <c r="F720" s="2" t="s">
        <v>10</v>
      </c>
      <c r="G720" s="2" t="s">
        <v>11</v>
      </c>
      <c r="H720" s="2">
        <v>100000000</v>
      </c>
      <c r="I720" s="2">
        <v>6.1</v>
      </c>
      <c r="J720" s="3">
        <v>1796024</v>
      </c>
      <c r="K720">
        <f t="shared" si="30"/>
        <v>1.3775047412552699E-3</v>
      </c>
      <c r="R720" s="12" t="str">
        <f ca="1">IFERROR(__xludf.DUMMYFUNCTION("""COMPUTED_VALUE"""),"The Horse Whisperer ")</f>
        <v>The Horse Whisperer </v>
      </c>
      <c r="S720" s="12">
        <f t="shared" si="29"/>
        <v>43585389</v>
      </c>
    </row>
    <row r="721" spans="1:19" x14ac:dyDescent="0.3">
      <c r="A721" s="2" t="s">
        <v>4037</v>
      </c>
      <c r="B721" s="2">
        <v>108</v>
      </c>
      <c r="C721" s="3">
        <v>64371181</v>
      </c>
      <c r="D721" s="3" t="s">
        <v>5754</v>
      </c>
      <c r="E721" s="2" t="s">
        <v>4038</v>
      </c>
      <c r="F721" s="2" t="s">
        <v>10</v>
      </c>
      <c r="G721" s="2" t="s">
        <v>11</v>
      </c>
      <c r="H721" s="2">
        <v>5000000</v>
      </c>
      <c r="I721" s="2">
        <v>7.1</v>
      </c>
      <c r="J721" s="3">
        <v>1818681</v>
      </c>
      <c r="K721">
        <f t="shared" si="30"/>
        <v>1.3775047412552699E-3</v>
      </c>
      <c r="R721" s="12" t="str">
        <f ca="1">IFERROR(__xludf.DUMMYFUNCTION("""COMPUTED_VALUE"""),"Collateral ")</f>
        <v>Collateral </v>
      </c>
      <c r="S721" s="12">
        <f t="shared" si="29"/>
        <v>-48231626</v>
      </c>
    </row>
    <row r="722" spans="1:19" x14ac:dyDescent="0.3">
      <c r="A722" s="2" t="s">
        <v>4609</v>
      </c>
      <c r="B722" s="2">
        <v>101</v>
      </c>
      <c r="C722" s="3">
        <v>100614858</v>
      </c>
      <c r="D722" s="3" t="s">
        <v>5813</v>
      </c>
      <c r="E722" s="2" t="s">
        <v>4610</v>
      </c>
      <c r="F722" s="2" t="s">
        <v>10</v>
      </c>
      <c r="G722" s="2" t="s">
        <v>11</v>
      </c>
      <c r="H722" s="2">
        <v>5000000</v>
      </c>
      <c r="I722" s="2">
        <v>5</v>
      </c>
      <c r="J722" s="3">
        <v>1821983</v>
      </c>
      <c r="K722">
        <f t="shared" si="30"/>
        <v>1.3775047412552699E-3</v>
      </c>
      <c r="R722" s="12" t="str">
        <f ca="1">IFERROR(__xludf.DUMMYFUNCTION("""COMPUTED_VALUE"""),"The Scorpion King ")</f>
        <v>The Scorpion King </v>
      </c>
      <c r="S722" s="12">
        <f t="shared" si="29"/>
        <v>113207194</v>
      </c>
    </row>
    <row r="723" spans="1:19" x14ac:dyDescent="0.3">
      <c r="A723" s="2" t="s">
        <v>1151</v>
      </c>
      <c r="B723" s="2">
        <v>102</v>
      </c>
      <c r="C723" s="3">
        <v>24044532</v>
      </c>
      <c r="D723" s="3" t="s">
        <v>6044</v>
      </c>
      <c r="E723" s="2" t="s">
        <v>2548</v>
      </c>
      <c r="F723" s="2" t="s">
        <v>10</v>
      </c>
      <c r="G723" s="2" t="s">
        <v>11</v>
      </c>
      <c r="H723" s="2">
        <v>26000000</v>
      </c>
      <c r="I723" s="2">
        <v>5</v>
      </c>
      <c r="J723" s="3">
        <v>1865774</v>
      </c>
      <c r="K723">
        <f t="shared" si="30"/>
        <v>1.3775047412552699E-3</v>
      </c>
      <c r="R723" s="12" t="str">
        <f ca="1">IFERROR(__xludf.DUMMYFUNCTION("""COMPUTED_VALUE"""),"Ladder 49 ")</f>
        <v>Ladder 49 </v>
      </c>
      <c r="S723" s="12">
        <f t="shared" si="29"/>
        <v>102735396</v>
      </c>
    </row>
    <row r="724" spans="1:19" x14ac:dyDescent="0.3">
      <c r="A724" s="2" t="s">
        <v>318</v>
      </c>
      <c r="B724" s="2">
        <v>102</v>
      </c>
      <c r="C724" s="3">
        <v>66734992</v>
      </c>
      <c r="D724" s="3" t="s">
        <v>5778</v>
      </c>
      <c r="E724" s="2" t="s">
        <v>4734</v>
      </c>
      <c r="F724" s="2" t="s">
        <v>10</v>
      </c>
      <c r="G724" s="2" t="s">
        <v>11</v>
      </c>
      <c r="H724" s="2">
        <v>4500000</v>
      </c>
      <c r="I724" s="2">
        <v>8.4</v>
      </c>
      <c r="J724" s="3">
        <v>1889522</v>
      </c>
      <c r="K724">
        <f t="shared" si="30"/>
        <v>1.3775047412552699E-3</v>
      </c>
      <c r="R724" s="12" t="str">
        <f ca="1">IFERROR(__xludf.DUMMYFUNCTION("""COMPUTED_VALUE"""),"Jack Reacher ")</f>
        <v>Jack Reacher </v>
      </c>
      <c r="S724" s="12">
        <f t="shared" si="29"/>
        <v>-28363615</v>
      </c>
    </row>
    <row r="725" spans="1:19" x14ac:dyDescent="0.3">
      <c r="A725" s="2" t="s">
        <v>3291</v>
      </c>
      <c r="B725" s="2">
        <v>122</v>
      </c>
      <c r="C725" s="3">
        <v>1060591</v>
      </c>
      <c r="D725" s="3" t="s">
        <v>6045</v>
      </c>
      <c r="E725" s="2" t="s">
        <v>3292</v>
      </c>
      <c r="F725" s="2" t="s">
        <v>10</v>
      </c>
      <c r="G725" s="2" t="s">
        <v>11</v>
      </c>
      <c r="H725" s="2">
        <v>16800000</v>
      </c>
      <c r="I725" s="2">
        <v>6.5</v>
      </c>
      <c r="J725" s="3">
        <v>1891821</v>
      </c>
      <c r="K725">
        <f t="shared" si="30"/>
        <v>1.3775047412552699E-3</v>
      </c>
      <c r="R725" s="12" t="str">
        <f ca="1">IFERROR(__xludf.DUMMYFUNCTION("""COMPUTED_VALUE"""),"Deep Blue Sea ")</f>
        <v>Deep Blue Sea </v>
      </c>
      <c r="S725" s="12">
        <f t="shared" si="29"/>
        <v>21931089</v>
      </c>
    </row>
    <row r="726" spans="1:19" x14ac:dyDescent="0.3">
      <c r="A726" s="2" t="s">
        <v>814</v>
      </c>
      <c r="B726" s="2">
        <v>118</v>
      </c>
      <c r="C726" s="3">
        <v>31704416</v>
      </c>
      <c r="D726" s="3" t="s">
        <v>5930</v>
      </c>
      <c r="E726" s="2" t="s">
        <v>1203</v>
      </c>
      <c r="F726" s="2" t="s">
        <v>10</v>
      </c>
      <c r="G726" s="2" t="s">
        <v>11</v>
      </c>
      <c r="H726" s="2">
        <v>70000000</v>
      </c>
      <c r="I726" s="2">
        <v>6.6</v>
      </c>
      <c r="J726" s="3">
        <v>1900725</v>
      </c>
      <c r="K726">
        <f t="shared" si="30"/>
        <v>1.3775047412552699E-3</v>
      </c>
      <c r="R726" s="12" t="str">
        <f ca="1">IFERROR(__xludf.DUMMYFUNCTION("""COMPUTED_VALUE"""),"This Is It ")</f>
        <v>This Is It </v>
      </c>
      <c r="S726" s="12">
        <f t="shared" si="29"/>
        <v>92014112</v>
      </c>
    </row>
    <row r="727" spans="1:19" x14ac:dyDescent="0.3">
      <c r="A727" s="2" t="s">
        <v>942</v>
      </c>
      <c r="B727" s="2">
        <v>102</v>
      </c>
      <c r="C727" s="3">
        <v>55682070</v>
      </c>
      <c r="D727" s="3" t="s">
        <v>5771</v>
      </c>
      <c r="E727" s="2" t="s">
        <v>943</v>
      </c>
      <c r="F727" s="2" t="s">
        <v>10</v>
      </c>
      <c r="G727" s="2" t="s">
        <v>16</v>
      </c>
      <c r="H727" s="2">
        <v>35000000</v>
      </c>
      <c r="I727" s="2">
        <v>5.4</v>
      </c>
      <c r="J727" s="3">
        <v>1939441</v>
      </c>
      <c r="K727">
        <f t="shared" si="30"/>
        <v>1.3775047412552699E-3</v>
      </c>
      <c r="R727" s="12" t="str">
        <f ca="1">IFERROR(__xludf.DUMMYFUNCTION("""COMPUTED_VALUE"""),"Contagion ")</f>
        <v>Contagion </v>
      </c>
      <c r="S727" s="12">
        <f t="shared" si="29"/>
        <v>14874745</v>
      </c>
    </row>
    <row r="728" spans="1:19" x14ac:dyDescent="0.3">
      <c r="A728" s="2" t="s">
        <v>852</v>
      </c>
      <c r="B728" s="2">
        <v>88</v>
      </c>
      <c r="C728" s="3">
        <v>116866727</v>
      </c>
      <c r="D728" s="3" t="s">
        <v>5936</v>
      </c>
      <c r="E728" s="2" t="s">
        <v>872</v>
      </c>
      <c r="F728" s="2" t="s">
        <v>10</v>
      </c>
      <c r="G728" s="2" t="s">
        <v>11</v>
      </c>
      <c r="H728" s="2">
        <v>75000000</v>
      </c>
      <c r="I728" s="2">
        <v>4.5</v>
      </c>
      <c r="J728" s="3">
        <v>1943649</v>
      </c>
      <c r="K728">
        <f t="shared" si="30"/>
        <v>1.3775047412552699E-3</v>
      </c>
      <c r="R728" s="12" t="str">
        <f ca="1">IFERROR(__xludf.DUMMYFUNCTION("""COMPUTED_VALUE"""),"Kangaroo Jack ")</f>
        <v>Kangaroo Jack </v>
      </c>
      <c r="S728" s="12">
        <f t="shared" si="29"/>
        <v>82525853</v>
      </c>
    </row>
    <row r="729" spans="1:19" x14ac:dyDescent="0.3">
      <c r="A729" s="2" t="s">
        <v>1420</v>
      </c>
      <c r="B729" s="2">
        <v>106</v>
      </c>
      <c r="C729" s="3">
        <v>131564731</v>
      </c>
      <c r="D729" s="3" t="s">
        <v>5821</v>
      </c>
      <c r="E729" s="2" t="s">
        <v>1925</v>
      </c>
      <c r="F729" s="2" t="s">
        <v>10</v>
      </c>
      <c r="G729" s="2" t="s">
        <v>11</v>
      </c>
      <c r="H729" s="2">
        <v>36000000</v>
      </c>
      <c r="I729" s="2">
        <v>7.8</v>
      </c>
      <c r="J729" s="3">
        <v>1950218</v>
      </c>
      <c r="K729">
        <f t="shared" si="30"/>
        <v>1.3775047412552699E-3</v>
      </c>
      <c r="R729" s="12" t="str">
        <f ca="1">IFERROR(__xludf.DUMMYFUNCTION("""COMPUTED_VALUE"""),"Coraline ")</f>
        <v>Coraline </v>
      </c>
      <c r="S729" s="12">
        <f t="shared" ref="S729:S792" si="31">C707-H707</f>
        <v>62792677</v>
      </c>
    </row>
    <row r="730" spans="1:19" x14ac:dyDescent="0.3">
      <c r="A730" s="2" t="s">
        <v>3408</v>
      </c>
      <c r="B730" s="2">
        <v>112</v>
      </c>
      <c r="C730" s="3">
        <v>40066497</v>
      </c>
      <c r="D730" s="3" t="s">
        <v>5874</v>
      </c>
      <c r="E730" s="2" t="s">
        <v>3409</v>
      </c>
      <c r="F730" s="2" t="s">
        <v>10</v>
      </c>
      <c r="G730" s="2" t="s">
        <v>11</v>
      </c>
      <c r="H730" s="2">
        <v>15000000</v>
      </c>
      <c r="I730" s="2">
        <v>6.5</v>
      </c>
      <c r="J730" s="3">
        <v>1953732</v>
      </c>
      <c r="K730">
        <f t="shared" si="30"/>
        <v>1.3775047412552699E-3</v>
      </c>
      <c r="R730" s="12" t="str">
        <f ca="1">IFERROR(__xludf.DUMMYFUNCTION("""COMPUTED_VALUE"""),"The Happening ")</f>
        <v>The Happening </v>
      </c>
      <c r="S730" s="12">
        <f t="shared" si="31"/>
        <v>24705000</v>
      </c>
    </row>
    <row r="731" spans="1:19" x14ac:dyDescent="0.3">
      <c r="A731" s="2" t="s">
        <v>1303</v>
      </c>
      <c r="B731" s="2">
        <v>118</v>
      </c>
      <c r="C731" s="3">
        <v>40076438</v>
      </c>
      <c r="D731" s="3" t="s">
        <v>5770</v>
      </c>
      <c r="E731" s="2" t="s">
        <v>1304</v>
      </c>
      <c r="F731" s="2" t="s">
        <v>10</v>
      </c>
      <c r="G731" s="2" t="s">
        <v>11</v>
      </c>
      <c r="H731" s="2">
        <v>52000000</v>
      </c>
      <c r="I731" s="2">
        <v>6.4</v>
      </c>
      <c r="J731" s="3">
        <v>1954202</v>
      </c>
      <c r="K731">
        <f t="shared" si="30"/>
        <v>1.3775047412552699E-3</v>
      </c>
      <c r="R731" s="12" t="str">
        <f ca="1">IFERROR(__xludf.DUMMYFUNCTION("""COMPUTED_VALUE"""),"Man on Fire ")</f>
        <v>Man on Fire </v>
      </c>
      <c r="S731" s="12">
        <f t="shared" si="31"/>
        <v>36056940</v>
      </c>
    </row>
    <row r="732" spans="1:19" x14ac:dyDescent="0.3">
      <c r="A732" s="2" t="s">
        <v>1191</v>
      </c>
      <c r="B732" s="2">
        <v>131</v>
      </c>
      <c r="C732" s="3">
        <v>172825435</v>
      </c>
      <c r="D732" s="3" t="s">
        <v>5778</v>
      </c>
      <c r="E732" s="2" t="s">
        <v>1192</v>
      </c>
      <c r="F732" s="2" t="s">
        <v>10</v>
      </c>
      <c r="G732" s="2" t="s">
        <v>16</v>
      </c>
      <c r="H732" s="2">
        <v>57000000</v>
      </c>
      <c r="I732" s="2">
        <v>5.9</v>
      </c>
      <c r="J732" s="3">
        <v>1977544</v>
      </c>
      <c r="K732">
        <f t="shared" si="30"/>
        <v>1.3775047412552699E-3</v>
      </c>
      <c r="R732" s="12" t="str">
        <f ca="1">IFERROR(__xludf.DUMMYFUNCTION("""COMPUTED_VALUE"""),"The Shaggy Dog ")</f>
        <v>The Shaggy Dog </v>
      </c>
      <c r="S732" s="12">
        <f t="shared" si="31"/>
        <v>74301521</v>
      </c>
    </row>
    <row r="733" spans="1:19" x14ac:dyDescent="0.3">
      <c r="A733" s="2" t="s">
        <v>868</v>
      </c>
      <c r="B733" s="2">
        <v>152</v>
      </c>
      <c r="C733" s="3">
        <v>80360866</v>
      </c>
      <c r="D733" s="3" t="s">
        <v>6046</v>
      </c>
      <c r="E733" s="2" t="s">
        <v>1134</v>
      </c>
      <c r="F733" s="2" t="s">
        <v>10</v>
      </c>
      <c r="G733" s="2" t="s">
        <v>11</v>
      </c>
      <c r="H733" s="2">
        <v>60000000</v>
      </c>
      <c r="I733" s="2">
        <v>7.9</v>
      </c>
      <c r="J733" s="3">
        <v>1980338</v>
      </c>
      <c r="K733">
        <f t="shared" si="30"/>
        <v>1.3775047412552699E-3</v>
      </c>
      <c r="R733" s="12" t="str">
        <f ca="1">IFERROR(__xludf.DUMMYFUNCTION("""COMPUTED_VALUE"""),"Starsky &amp; Hutch ")</f>
        <v>Starsky &amp; Hutch </v>
      </c>
      <c r="S733" s="12">
        <f t="shared" si="31"/>
        <v>-1363170</v>
      </c>
    </row>
    <row r="734" spans="1:19" x14ac:dyDescent="0.3">
      <c r="A734" s="2" t="s">
        <v>1356</v>
      </c>
      <c r="B734" s="2">
        <v>105</v>
      </c>
      <c r="C734" s="3">
        <v>111110575</v>
      </c>
      <c r="D734" s="3" t="s">
        <v>6047</v>
      </c>
      <c r="E734" s="2" t="s">
        <v>2576</v>
      </c>
      <c r="F734" s="2" t="s">
        <v>10</v>
      </c>
      <c r="G734" s="2" t="s">
        <v>11</v>
      </c>
      <c r="H734" s="2">
        <v>20000000</v>
      </c>
      <c r="I734" s="2">
        <v>6.4</v>
      </c>
      <c r="J734" s="3">
        <v>1984378</v>
      </c>
      <c r="K734">
        <f t="shared" si="30"/>
        <v>1.3775047412552699E-3</v>
      </c>
      <c r="R734" s="12" t="str">
        <f ca="1">IFERROR(__xludf.DUMMYFUNCTION("""COMPUTED_VALUE"""),"Jingle All the Way ")</f>
        <v>Jingle All the Way </v>
      </c>
      <c r="S734" s="12">
        <f t="shared" si="31"/>
        <v>56300000</v>
      </c>
    </row>
    <row r="735" spans="1:19" x14ac:dyDescent="0.3">
      <c r="A735" s="2" t="s">
        <v>179</v>
      </c>
      <c r="B735" s="2">
        <v>146</v>
      </c>
      <c r="C735" s="3">
        <v>36883539</v>
      </c>
      <c r="D735" s="3" t="s">
        <v>6048</v>
      </c>
      <c r="E735" s="2" t="s">
        <v>310</v>
      </c>
      <c r="F735" s="2" t="s">
        <v>10</v>
      </c>
      <c r="G735" s="2" t="s">
        <v>11</v>
      </c>
      <c r="H735" s="2">
        <v>130000000</v>
      </c>
      <c r="I735" s="2">
        <v>7.6</v>
      </c>
      <c r="J735" s="3">
        <v>1984743</v>
      </c>
      <c r="K735">
        <f t="shared" si="30"/>
        <v>1.3775047412552699E-3</v>
      </c>
      <c r="R735" s="12" t="str">
        <f ca="1">IFERROR(__xludf.DUMMYFUNCTION("""COMPUTED_VALUE"""),"Hellboy ")</f>
        <v>Hellboy </v>
      </c>
      <c r="S735" s="12">
        <f t="shared" si="31"/>
        <v>54676062</v>
      </c>
    </row>
    <row r="736" spans="1:19" x14ac:dyDescent="0.3">
      <c r="A736" s="2" t="s">
        <v>67</v>
      </c>
      <c r="B736" s="2">
        <v>127</v>
      </c>
      <c r="C736" s="3">
        <v>2694973</v>
      </c>
      <c r="D736" s="3" t="s">
        <v>5946</v>
      </c>
      <c r="E736" s="2" t="s">
        <v>3200</v>
      </c>
      <c r="F736" s="2" t="s">
        <v>10</v>
      </c>
      <c r="G736" s="2" t="s">
        <v>11</v>
      </c>
      <c r="H736" s="2">
        <v>18000000</v>
      </c>
      <c r="I736" s="2">
        <v>7.9</v>
      </c>
      <c r="J736" s="3">
        <v>1987287</v>
      </c>
      <c r="K736">
        <f t="shared" si="30"/>
        <v>1.3775047412552699E-3</v>
      </c>
      <c r="R736" s="12" t="str">
        <f ca="1">IFERROR(__xludf.DUMMYFUNCTION("""COMPUTED_VALUE"""),"A Civil Action ")</f>
        <v>A Civil Action </v>
      </c>
      <c r="S736" s="12">
        <f t="shared" si="31"/>
        <v>117088910</v>
      </c>
    </row>
    <row r="737" spans="1:19" x14ac:dyDescent="0.3">
      <c r="A737" s="2" t="s">
        <v>836</v>
      </c>
      <c r="B737" s="2">
        <v>133</v>
      </c>
      <c r="C737" s="3">
        <v>55762229</v>
      </c>
      <c r="D737" s="3" t="s">
        <v>5773</v>
      </c>
      <c r="E737" s="2" t="s">
        <v>2425</v>
      </c>
      <c r="F737" s="2" t="s">
        <v>10</v>
      </c>
      <c r="G737" s="2" t="s">
        <v>11</v>
      </c>
      <c r="H737" s="2">
        <v>30000000</v>
      </c>
      <c r="I737" s="2">
        <v>7</v>
      </c>
      <c r="J737" s="3">
        <v>1987762</v>
      </c>
      <c r="K737">
        <f t="shared" si="30"/>
        <v>1.3775047412552699E-3</v>
      </c>
      <c r="R737" s="12" t="str">
        <f ca="1">IFERROR(__xludf.DUMMYFUNCTION("""COMPUTED_VALUE"""),"ParaNorman ")</f>
        <v>ParaNorman </v>
      </c>
      <c r="S737" s="12">
        <f t="shared" si="31"/>
        <v>17057340</v>
      </c>
    </row>
    <row r="738" spans="1:19" x14ac:dyDescent="0.3">
      <c r="A738" s="2" t="s">
        <v>2427</v>
      </c>
      <c r="B738" s="2">
        <v>88</v>
      </c>
      <c r="C738" s="3">
        <v>59735548</v>
      </c>
      <c r="D738" s="3" t="s">
        <v>5793</v>
      </c>
      <c r="E738" s="2" t="s">
        <v>2920</v>
      </c>
      <c r="F738" s="2" t="s">
        <v>10</v>
      </c>
      <c r="G738" s="2" t="s">
        <v>11</v>
      </c>
      <c r="H738" s="2">
        <v>20000000</v>
      </c>
      <c r="I738" s="2">
        <v>3.5</v>
      </c>
      <c r="J738" s="3">
        <v>1997807</v>
      </c>
      <c r="K738">
        <f t="shared" si="30"/>
        <v>1.3775047412552699E-3</v>
      </c>
      <c r="R738" s="12" t="str">
        <f ca="1">IFERROR(__xludf.DUMMYFUNCTION("""COMPUTED_VALUE"""),"The Jackal ")</f>
        <v>The Jackal </v>
      </c>
      <c r="S738" s="12">
        <f t="shared" si="31"/>
        <v>35500000</v>
      </c>
    </row>
    <row r="739" spans="1:19" x14ac:dyDescent="0.3">
      <c r="A739" s="2" t="s">
        <v>197</v>
      </c>
      <c r="B739" s="2">
        <v>136</v>
      </c>
      <c r="C739" s="3">
        <v>31691811</v>
      </c>
      <c r="D739" s="3" t="s">
        <v>5768</v>
      </c>
      <c r="E739" s="2" t="s">
        <v>886</v>
      </c>
      <c r="F739" s="2" t="s">
        <v>10</v>
      </c>
      <c r="G739" s="2" t="s">
        <v>11</v>
      </c>
      <c r="H739" s="2">
        <v>70000000</v>
      </c>
      <c r="I739" s="2">
        <v>6.3</v>
      </c>
      <c r="J739" s="3">
        <v>2000000</v>
      </c>
      <c r="K739">
        <f t="shared" si="30"/>
        <v>1.3775047412552699E-3</v>
      </c>
      <c r="R739" s="12" t="str">
        <f ca="1">IFERROR(__xludf.DUMMYFUNCTION("""COMPUTED_VALUE"""),"Paycheck ")</f>
        <v>Paycheck </v>
      </c>
      <c r="S739" s="12">
        <f t="shared" si="31"/>
        <v>31941559</v>
      </c>
    </row>
    <row r="740" spans="1:19" x14ac:dyDescent="0.3">
      <c r="A740" s="2" t="s">
        <v>1849</v>
      </c>
      <c r="B740" s="2">
        <v>110</v>
      </c>
      <c r="C740" s="3">
        <v>35286428</v>
      </c>
      <c r="D740" s="3" t="s">
        <v>6049</v>
      </c>
      <c r="E740" s="2" t="s">
        <v>1850</v>
      </c>
      <c r="F740" s="2" t="s">
        <v>10</v>
      </c>
      <c r="G740" s="2" t="s">
        <v>11</v>
      </c>
      <c r="H740" s="2">
        <v>39000000</v>
      </c>
      <c r="I740" s="2">
        <v>5.3</v>
      </c>
      <c r="J740" s="3">
        <v>2000000</v>
      </c>
      <c r="K740">
        <f t="shared" si="30"/>
        <v>1.3775047412552699E-3</v>
      </c>
      <c r="R740" s="12" t="str">
        <f ca="1">IFERROR(__xludf.DUMMYFUNCTION("""COMPUTED_VALUE"""),"Up Close &amp; Personal ")</f>
        <v>Up Close &amp; Personal </v>
      </c>
      <c r="S740" s="12">
        <f t="shared" si="31"/>
        <v>22043505</v>
      </c>
    </row>
    <row r="741" spans="1:19" x14ac:dyDescent="0.3">
      <c r="A741" s="2" t="s">
        <v>1753</v>
      </c>
      <c r="B741" s="2">
        <v>102</v>
      </c>
      <c r="C741" s="3">
        <v>69700000</v>
      </c>
      <c r="D741" s="3" t="s">
        <v>5913</v>
      </c>
      <c r="E741" s="2" t="s">
        <v>1754</v>
      </c>
      <c r="F741" s="2" t="s">
        <v>10</v>
      </c>
      <c r="G741" s="2" t="s">
        <v>16</v>
      </c>
      <c r="H741" s="2">
        <v>40000000</v>
      </c>
      <c r="I741" s="2">
        <v>5.8</v>
      </c>
      <c r="J741" s="3">
        <v>2024854</v>
      </c>
      <c r="K741">
        <f t="shared" si="30"/>
        <v>1.3775047412552699E-3</v>
      </c>
      <c r="R741" s="12" t="str">
        <f ca="1">IFERROR(__xludf.DUMMYFUNCTION("""COMPUTED_VALUE"""),"The Tale of Despereaux ")</f>
        <v>The Tale of Despereaux </v>
      </c>
      <c r="S741" s="12">
        <f t="shared" si="31"/>
        <v>-163343151</v>
      </c>
    </row>
    <row r="742" spans="1:19" x14ac:dyDescent="0.3">
      <c r="A742" s="2" t="s">
        <v>3123</v>
      </c>
      <c r="B742" s="2">
        <v>90</v>
      </c>
      <c r="C742" s="3">
        <v>72306065</v>
      </c>
      <c r="D742" s="3" t="s">
        <v>6050</v>
      </c>
      <c r="E742" s="2" t="s">
        <v>4763</v>
      </c>
      <c r="F742" s="2" t="s">
        <v>10</v>
      </c>
      <c r="G742" s="2" t="s">
        <v>11</v>
      </c>
      <c r="H742" s="2">
        <v>4000000</v>
      </c>
      <c r="I742" s="2">
        <v>5</v>
      </c>
      <c r="J742" s="3">
        <v>2025238</v>
      </c>
      <c r="K742">
        <f t="shared" si="30"/>
        <v>1.3775047412552699E-3</v>
      </c>
      <c r="R742" s="12" t="str">
        <f ca="1">IFERROR(__xludf.DUMMYFUNCTION("""COMPUTED_VALUE"""),"The Tuxedo ")</f>
        <v>The Tuxedo </v>
      </c>
      <c r="S742" s="12">
        <f t="shared" si="31"/>
        <v>-73161611</v>
      </c>
    </row>
    <row r="743" spans="1:19" x14ac:dyDescent="0.3">
      <c r="A743" s="2" t="s">
        <v>666</v>
      </c>
      <c r="B743" s="2">
        <v>95</v>
      </c>
      <c r="C743" s="3">
        <v>44540956</v>
      </c>
      <c r="D743" s="3" t="s">
        <v>5818</v>
      </c>
      <c r="E743" s="2" t="s">
        <v>962</v>
      </c>
      <c r="F743" s="2" t="s">
        <v>10</v>
      </c>
      <c r="G743" s="2" t="s">
        <v>11</v>
      </c>
      <c r="H743" s="2">
        <v>65000000</v>
      </c>
      <c r="I743" s="2">
        <v>6.6</v>
      </c>
      <c r="J743" s="3">
        <v>2035566</v>
      </c>
      <c r="K743">
        <f t="shared" si="30"/>
        <v>1.3775047412552699E-3</v>
      </c>
      <c r="R743" s="12" t="str">
        <f ca="1">IFERROR(__xludf.DUMMYFUNCTION("""COMPUTED_VALUE"""),"Under Siege 2: Dark Territory ")</f>
        <v>Under Siege 2: Dark Territory </v>
      </c>
      <c r="S743" s="12">
        <f t="shared" si="31"/>
        <v>59371181</v>
      </c>
    </row>
    <row r="744" spans="1:19" x14ac:dyDescent="0.3">
      <c r="A744" s="2" t="s">
        <v>458</v>
      </c>
      <c r="B744" s="2">
        <v>106</v>
      </c>
      <c r="C744" s="3">
        <v>200069408</v>
      </c>
      <c r="D744" s="3" t="s">
        <v>5930</v>
      </c>
      <c r="E744" s="2" t="s">
        <v>960</v>
      </c>
      <c r="F744" s="2" t="s">
        <v>10</v>
      </c>
      <c r="G744" s="2" t="s">
        <v>11</v>
      </c>
      <c r="H744" s="2">
        <v>65000000</v>
      </c>
      <c r="I744" s="2">
        <v>6.9</v>
      </c>
      <c r="J744" s="3">
        <v>2040920</v>
      </c>
      <c r="K744">
        <f t="shared" si="30"/>
        <v>1.3775047412552699E-3</v>
      </c>
      <c r="R744" s="12" t="str">
        <f ca="1">IFERROR(__xludf.DUMMYFUNCTION("""COMPUTED_VALUE"""),"Jack Ryan: Shadow Recruit ")</f>
        <v>Jack Ryan: Shadow Recruit </v>
      </c>
      <c r="S744" s="12">
        <f t="shared" si="31"/>
        <v>95614858</v>
      </c>
    </row>
    <row r="745" spans="1:19" x14ac:dyDescent="0.3">
      <c r="A745" s="2" t="s">
        <v>1659</v>
      </c>
      <c r="B745" s="2">
        <v>111</v>
      </c>
      <c r="C745" s="3">
        <v>149234747</v>
      </c>
      <c r="D745" s="3" t="s">
        <v>5778</v>
      </c>
      <c r="E745" s="2" t="s">
        <v>2188</v>
      </c>
      <c r="F745" s="2" t="s">
        <v>10</v>
      </c>
      <c r="G745" s="2" t="s">
        <v>11</v>
      </c>
      <c r="H745" s="2">
        <v>30000000</v>
      </c>
      <c r="I745" s="2">
        <v>6.1</v>
      </c>
      <c r="J745" s="3">
        <v>2047570</v>
      </c>
      <c r="K745">
        <f t="shared" si="30"/>
        <v>1.3775047412552699E-3</v>
      </c>
      <c r="R745" s="12" t="str">
        <f ca="1">IFERROR(__xludf.DUMMYFUNCTION("""COMPUTED_VALUE"""),"Joy ")</f>
        <v>Joy </v>
      </c>
      <c r="S745" s="12">
        <f t="shared" si="31"/>
        <v>-1955468</v>
      </c>
    </row>
    <row r="746" spans="1:19" x14ac:dyDescent="0.3">
      <c r="A746" s="2" t="s">
        <v>742</v>
      </c>
      <c r="B746" s="2">
        <v>236</v>
      </c>
      <c r="C746" s="3">
        <v>47887943</v>
      </c>
      <c r="D746" s="3" t="s">
        <v>6051</v>
      </c>
      <c r="E746" s="2" t="s">
        <v>3091</v>
      </c>
      <c r="F746" s="2" t="s">
        <v>10</v>
      </c>
      <c r="G746" s="2" t="s">
        <v>11</v>
      </c>
      <c r="H746" s="2">
        <v>22000000</v>
      </c>
      <c r="I746" s="2">
        <v>8</v>
      </c>
      <c r="J746" s="3">
        <v>2060953</v>
      </c>
      <c r="K746">
        <f t="shared" si="30"/>
        <v>1.3775047412552699E-3</v>
      </c>
      <c r="R746" s="12" t="str">
        <f ca="1">IFERROR(__xludf.DUMMYFUNCTION("""COMPUTED_VALUE"""),"London Has Fallen ")</f>
        <v>London Has Fallen </v>
      </c>
      <c r="S746" s="12">
        <f t="shared" si="31"/>
        <v>62234992</v>
      </c>
    </row>
    <row r="747" spans="1:19" x14ac:dyDescent="0.3">
      <c r="A747" s="2" t="s">
        <v>4504</v>
      </c>
      <c r="B747" s="2">
        <v>42</v>
      </c>
      <c r="C747" s="3">
        <v>66600000</v>
      </c>
      <c r="D747" s="3" t="s">
        <v>6052</v>
      </c>
      <c r="E747" s="2" t="s">
        <v>4505</v>
      </c>
      <c r="F747" s="2" t="s">
        <v>10</v>
      </c>
      <c r="G747" s="2" t="s">
        <v>16</v>
      </c>
      <c r="H747" s="2">
        <v>6000000</v>
      </c>
      <c r="I747" s="2">
        <v>6.5</v>
      </c>
      <c r="J747" s="3">
        <v>2062066</v>
      </c>
      <c r="K747">
        <f t="shared" si="30"/>
        <v>1.3775047412552699E-3</v>
      </c>
      <c r="R747" s="12" t="str">
        <f ca="1">IFERROR(__xludf.DUMMYFUNCTION("""COMPUTED_VALUE"""),"Alien: Resurrection ")</f>
        <v>Alien: Resurrection </v>
      </c>
      <c r="S747" s="12">
        <f t="shared" si="31"/>
        <v>-15739409</v>
      </c>
    </row>
    <row r="748" spans="1:19" x14ac:dyDescent="0.3">
      <c r="A748" s="2" t="s">
        <v>3040</v>
      </c>
      <c r="B748" s="2">
        <v>125</v>
      </c>
      <c r="C748" s="3">
        <v>141319195</v>
      </c>
      <c r="D748" s="3" t="s">
        <v>6053</v>
      </c>
      <c r="E748" s="2" t="s">
        <v>3928</v>
      </c>
      <c r="F748" s="2" t="s">
        <v>10</v>
      </c>
      <c r="G748" s="2" t="s">
        <v>16</v>
      </c>
      <c r="H748" s="2">
        <v>11000000</v>
      </c>
      <c r="I748" s="2">
        <v>7.7</v>
      </c>
      <c r="J748" s="3">
        <v>2073984</v>
      </c>
      <c r="K748">
        <f t="shared" si="30"/>
        <v>1.3775047412552699E-3</v>
      </c>
      <c r="R748" s="12" t="str">
        <f ca="1">IFERROR(__xludf.DUMMYFUNCTION("""COMPUTED_VALUE"""),"Shooter ")</f>
        <v>Shooter </v>
      </c>
      <c r="S748" s="12">
        <f t="shared" si="31"/>
        <v>-38295584</v>
      </c>
    </row>
    <row r="749" spans="1:19" x14ac:dyDescent="0.3">
      <c r="A749" s="2" t="s">
        <v>2308</v>
      </c>
      <c r="B749" s="2">
        <v>135</v>
      </c>
      <c r="C749" s="3">
        <v>72455275</v>
      </c>
      <c r="D749" s="3" t="s">
        <v>5999</v>
      </c>
      <c r="E749" s="2" t="s">
        <v>2382</v>
      </c>
      <c r="F749" s="2" t="s">
        <v>10</v>
      </c>
      <c r="G749" s="2" t="s">
        <v>11</v>
      </c>
      <c r="H749" s="2">
        <v>28000000</v>
      </c>
      <c r="I749" s="2">
        <v>7.5</v>
      </c>
      <c r="J749" s="3">
        <v>2077046</v>
      </c>
      <c r="K749">
        <f t="shared" si="30"/>
        <v>1.3775047412552699E-3</v>
      </c>
      <c r="R749" s="12" t="str">
        <f ca="1">IFERROR(__xludf.DUMMYFUNCTION("""COMPUTED_VALUE"""),"The Boxtrolls ")</f>
        <v>The Boxtrolls </v>
      </c>
      <c r="S749" s="12">
        <f t="shared" si="31"/>
        <v>20682070</v>
      </c>
    </row>
    <row r="750" spans="1:19" x14ac:dyDescent="0.3">
      <c r="A750" s="2" t="s">
        <v>5587</v>
      </c>
      <c r="B750" s="2">
        <v>90</v>
      </c>
      <c r="C750" s="3">
        <v>42345531</v>
      </c>
      <c r="D750" s="3" t="s">
        <v>6054</v>
      </c>
      <c r="E750" s="2" t="s">
        <v>5588</v>
      </c>
      <c r="F750" s="2" t="s">
        <v>10</v>
      </c>
      <c r="G750" s="2" t="s">
        <v>11</v>
      </c>
      <c r="H750" s="2">
        <v>270000</v>
      </c>
      <c r="I750" s="2">
        <v>6.4</v>
      </c>
      <c r="J750" s="3">
        <v>2086345</v>
      </c>
      <c r="K750">
        <f t="shared" si="30"/>
        <v>1.3775047412552699E-3</v>
      </c>
      <c r="R750" s="12" t="str">
        <f ca="1">IFERROR(__xludf.DUMMYFUNCTION("""COMPUTED_VALUE"""),"Practical Magic ")</f>
        <v>Practical Magic </v>
      </c>
      <c r="S750" s="12">
        <f t="shared" si="31"/>
        <v>41866727</v>
      </c>
    </row>
    <row r="751" spans="1:19" x14ac:dyDescent="0.3">
      <c r="A751" s="2" t="s">
        <v>5425</v>
      </c>
      <c r="B751" s="2">
        <v>123</v>
      </c>
      <c r="C751" s="3">
        <v>43929341</v>
      </c>
      <c r="D751" s="3" t="s">
        <v>6055</v>
      </c>
      <c r="E751" s="2" t="s">
        <v>5426</v>
      </c>
      <c r="F751" s="2" t="s">
        <v>5427</v>
      </c>
      <c r="G751" s="2" t="s">
        <v>3631</v>
      </c>
      <c r="H751" s="2">
        <v>500000</v>
      </c>
      <c r="I751" s="2">
        <v>8.4</v>
      </c>
      <c r="J751" s="3">
        <v>2104000</v>
      </c>
      <c r="K751">
        <f t="shared" si="30"/>
        <v>1.3775047412552699E-3</v>
      </c>
      <c r="R751" s="12" t="str">
        <f ca="1">IFERROR(__xludf.DUMMYFUNCTION("""COMPUTED_VALUE"""),"The Lego Movie ")</f>
        <v>The Lego Movie </v>
      </c>
      <c r="S751" s="12">
        <f t="shared" si="31"/>
        <v>95564731</v>
      </c>
    </row>
    <row r="752" spans="1:19" x14ac:dyDescent="0.3">
      <c r="A752" s="2" t="s">
        <v>114</v>
      </c>
      <c r="B752" s="2">
        <v>123</v>
      </c>
      <c r="C752" s="3">
        <v>32541719</v>
      </c>
      <c r="D752" s="3" t="s">
        <v>6056</v>
      </c>
      <c r="E752" s="2" t="s">
        <v>2050</v>
      </c>
      <c r="F752" s="2" t="s">
        <v>10</v>
      </c>
      <c r="G752" s="2" t="s">
        <v>11</v>
      </c>
      <c r="H752" s="2">
        <v>35000000</v>
      </c>
      <c r="I752" s="2">
        <v>7.4</v>
      </c>
      <c r="J752" s="3">
        <v>2119994</v>
      </c>
      <c r="K752">
        <f t="shared" si="30"/>
        <v>1.3775047412552699E-3</v>
      </c>
      <c r="R752" s="12" t="str">
        <f ca="1">IFERROR(__xludf.DUMMYFUNCTION("""COMPUTED_VALUE"""),"Miss Congeniality 2: Armed and Fabulous ")</f>
        <v>Miss Congeniality 2: Armed and Fabulous </v>
      </c>
      <c r="S752" s="12">
        <f t="shared" si="31"/>
        <v>25066497</v>
      </c>
    </row>
    <row r="753" spans="1:19" x14ac:dyDescent="0.3">
      <c r="A753" s="2" t="s">
        <v>1549</v>
      </c>
      <c r="B753" s="2">
        <v>90</v>
      </c>
      <c r="C753" s="3">
        <v>70098138</v>
      </c>
      <c r="D753" s="3" t="s">
        <v>6057</v>
      </c>
      <c r="E753" s="2" t="s">
        <v>2637</v>
      </c>
      <c r="F753" s="2" t="s">
        <v>10</v>
      </c>
      <c r="G753" s="2" t="s">
        <v>11</v>
      </c>
      <c r="H753" s="2">
        <v>25000000</v>
      </c>
      <c r="I753" s="2">
        <v>4</v>
      </c>
      <c r="J753" s="3">
        <v>2122561</v>
      </c>
      <c r="K753">
        <f t="shared" si="30"/>
        <v>1.3775047412552699E-3</v>
      </c>
      <c r="R753" s="12" t="str">
        <f ca="1">IFERROR(__xludf.DUMMYFUNCTION("""COMPUTED_VALUE"""),"Reign of Fire ")</f>
        <v>Reign of Fire </v>
      </c>
      <c r="S753" s="12">
        <f t="shared" si="31"/>
        <v>-11923562</v>
      </c>
    </row>
    <row r="754" spans="1:19" x14ac:dyDescent="0.3">
      <c r="A754" s="2" t="s">
        <v>4659</v>
      </c>
      <c r="B754" s="2">
        <v>92</v>
      </c>
      <c r="C754" s="3">
        <v>13337299</v>
      </c>
      <c r="D754" s="3" t="s">
        <v>5913</v>
      </c>
      <c r="E754" s="2" t="s">
        <v>4660</v>
      </c>
      <c r="F754" s="2" t="s">
        <v>10</v>
      </c>
      <c r="G754" s="2" t="s">
        <v>11</v>
      </c>
      <c r="H754" s="2">
        <v>5000000</v>
      </c>
      <c r="I754" s="2">
        <v>3.5</v>
      </c>
      <c r="J754" s="3">
        <v>2126511</v>
      </c>
      <c r="K754">
        <f t="shared" si="30"/>
        <v>1.3775047412552699E-3</v>
      </c>
      <c r="R754" s="12" t="str">
        <f ca="1">IFERROR(__xludf.DUMMYFUNCTION("""COMPUTED_VALUE"""),"Gangster Squad ")</f>
        <v>Gangster Squad </v>
      </c>
      <c r="S754" s="12">
        <f t="shared" si="31"/>
        <v>115825435</v>
      </c>
    </row>
    <row r="755" spans="1:19" x14ac:dyDescent="0.3">
      <c r="A755" s="2" t="s">
        <v>1063</v>
      </c>
      <c r="B755" s="2">
        <v>90</v>
      </c>
      <c r="C755" s="3">
        <v>66528842</v>
      </c>
      <c r="D755" s="3" t="s">
        <v>6058</v>
      </c>
      <c r="E755" s="2" t="s">
        <v>3464</v>
      </c>
      <c r="F755" s="2" t="s">
        <v>10</v>
      </c>
      <c r="G755" s="2" t="s">
        <v>11</v>
      </c>
      <c r="H755" s="2">
        <v>15000000</v>
      </c>
      <c r="I755" s="2">
        <v>6.7</v>
      </c>
      <c r="J755" s="3">
        <v>2148212</v>
      </c>
      <c r="K755">
        <f t="shared" si="30"/>
        <v>1.3775047412552699E-3</v>
      </c>
      <c r="R755" s="12" t="str">
        <f ca="1">IFERROR(__xludf.DUMMYFUNCTION("""COMPUTED_VALUE"""),"Year One ")</f>
        <v>Year One </v>
      </c>
      <c r="S755" s="12">
        <f t="shared" si="31"/>
        <v>20360866</v>
      </c>
    </row>
    <row r="756" spans="1:19" x14ac:dyDescent="0.3">
      <c r="A756" s="2" t="s">
        <v>376</v>
      </c>
      <c r="B756" s="2">
        <v>122</v>
      </c>
      <c r="C756" s="3">
        <v>8324748</v>
      </c>
      <c r="D756" s="3" t="s">
        <v>5813</v>
      </c>
      <c r="E756" s="2" t="s">
        <v>1480</v>
      </c>
      <c r="F756" s="2" t="s">
        <v>10</v>
      </c>
      <c r="G756" s="2" t="s">
        <v>11</v>
      </c>
      <c r="H756" s="2">
        <v>55000000</v>
      </c>
      <c r="I756" s="2">
        <v>7.8</v>
      </c>
      <c r="J756" s="3">
        <v>2154540</v>
      </c>
      <c r="K756">
        <f t="shared" si="30"/>
        <v>1.3775047412552699E-3</v>
      </c>
      <c r="R756" s="12" t="str">
        <f ca="1">IFERROR(__xludf.DUMMYFUNCTION("""COMPUTED_VALUE"""),"Invictus ")</f>
        <v>Invictus </v>
      </c>
      <c r="S756" s="12">
        <f t="shared" si="31"/>
        <v>91110575</v>
      </c>
    </row>
    <row r="757" spans="1:19" x14ac:dyDescent="0.3">
      <c r="A757" s="2" t="s">
        <v>501</v>
      </c>
      <c r="B757" s="2">
        <v>96</v>
      </c>
      <c r="C757" s="3">
        <v>5480318</v>
      </c>
      <c r="D757" s="3" t="s">
        <v>6056</v>
      </c>
      <c r="E757" s="2" t="s">
        <v>4022</v>
      </c>
      <c r="F757" s="2" t="s">
        <v>10</v>
      </c>
      <c r="G757" s="2" t="s">
        <v>11</v>
      </c>
      <c r="H757" s="2">
        <v>11000000</v>
      </c>
      <c r="I757" s="2">
        <v>7.1</v>
      </c>
      <c r="J757" s="3">
        <v>2175312</v>
      </c>
      <c r="K757">
        <f t="shared" si="30"/>
        <v>1.3775047412552699E-3</v>
      </c>
      <c r="R757" s="12" t="str">
        <f ca="1">IFERROR(__xludf.DUMMYFUNCTION("""COMPUTED_VALUE"""),"Duplicity ")</f>
        <v>Duplicity </v>
      </c>
      <c r="S757" s="12">
        <f t="shared" si="31"/>
        <v>-93116461</v>
      </c>
    </row>
    <row r="758" spans="1:19" x14ac:dyDescent="0.3">
      <c r="A758" s="2" t="s">
        <v>4428</v>
      </c>
      <c r="B758" s="2">
        <v>108</v>
      </c>
      <c r="C758" s="3">
        <v>100685880</v>
      </c>
      <c r="D758" s="3" t="s">
        <v>6059</v>
      </c>
      <c r="E758" s="2" t="s">
        <v>4429</v>
      </c>
      <c r="F758" s="2" t="s">
        <v>10</v>
      </c>
      <c r="G758" s="2" t="s">
        <v>11</v>
      </c>
      <c r="H758" s="2">
        <v>6800000</v>
      </c>
      <c r="I758" s="2">
        <v>7</v>
      </c>
      <c r="J758" s="3">
        <v>2181290</v>
      </c>
      <c r="K758">
        <f t="shared" si="30"/>
        <v>1.3775047412552699E-3</v>
      </c>
      <c r="R758" s="12" t="str">
        <f ca="1">IFERROR(__xludf.DUMMYFUNCTION("""COMPUTED_VALUE"""),"My Favorite Martian ")</f>
        <v>My Favorite Martian </v>
      </c>
      <c r="S758" s="12">
        <f t="shared" si="31"/>
        <v>-15305027</v>
      </c>
    </row>
    <row r="759" spans="1:19" x14ac:dyDescent="0.3">
      <c r="A759" s="2" t="s">
        <v>1400</v>
      </c>
      <c r="B759" s="2">
        <v>127</v>
      </c>
      <c r="C759" s="3">
        <v>55350897</v>
      </c>
      <c r="D759" s="3" t="s">
        <v>6060</v>
      </c>
      <c r="E759" s="2" t="s">
        <v>2276</v>
      </c>
      <c r="F759" s="2" t="s">
        <v>10</v>
      </c>
      <c r="G759" s="2" t="s">
        <v>11</v>
      </c>
      <c r="H759" s="2">
        <v>30000000</v>
      </c>
      <c r="I759" s="2">
        <v>7</v>
      </c>
      <c r="J759" s="3">
        <v>2185266</v>
      </c>
      <c r="K759">
        <f t="shared" si="30"/>
        <v>1.3775047412552699E-3</v>
      </c>
      <c r="R759" s="12" t="str">
        <f ca="1">IFERROR(__xludf.DUMMYFUNCTION("""COMPUTED_VALUE"""),"The Sentinel ")</f>
        <v>The Sentinel </v>
      </c>
      <c r="S759" s="12">
        <f t="shared" si="31"/>
        <v>25762229</v>
      </c>
    </row>
    <row r="760" spans="1:19" x14ac:dyDescent="0.3">
      <c r="A760" s="2" t="s">
        <v>810</v>
      </c>
      <c r="B760" s="2">
        <v>134</v>
      </c>
      <c r="C760" s="3">
        <v>125531634</v>
      </c>
      <c r="D760" s="3" t="s">
        <v>6061</v>
      </c>
      <c r="E760" s="2" t="s">
        <v>832</v>
      </c>
      <c r="F760" s="2" t="s">
        <v>10</v>
      </c>
      <c r="G760" s="2" t="s">
        <v>11</v>
      </c>
      <c r="H760" s="2">
        <v>75000000</v>
      </c>
      <c r="I760" s="2">
        <v>6</v>
      </c>
      <c r="J760" s="3">
        <v>2199853</v>
      </c>
      <c r="K760">
        <f t="shared" si="30"/>
        <v>1.3775047412552699E-3</v>
      </c>
      <c r="R760" s="12" t="str">
        <f ca="1">IFERROR(__xludf.DUMMYFUNCTION("""COMPUTED_VALUE"""),"Planet 51 ")</f>
        <v>Planet 51 </v>
      </c>
      <c r="S760" s="12">
        <f t="shared" si="31"/>
        <v>39735548</v>
      </c>
    </row>
    <row r="761" spans="1:19" x14ac:dyDescent="0.3">
      <c r="A761" s="2" t="s">
        <v>3547</v>
      </c>
      <c r="B761" s="2">
        <v>98</v>
      </c>
      <c r="C761" s="3">
        <v>47860214</v>
      </c>
      <c r="D761" s="3" t="s">
        <v>6062</v>
      </c>
      <c r="E761" s="2" t="s">
        <v>3548</v>
      </c>
      <c r="F761" s="2" t="s">
        <v>10</v>
      </c>
      <c r="G761" s="2" t="s">
        <v>11</v>
      </c>
      <c r="H761" s="2">
        <v>15000000</v>
      </c>
      <c r="I761" s="2">
        <v>5.3</v>
      </c>
      <c r="J761" s="3">
        <v>2201412</v>
      </c>
      <c r="K761">
        <f t="shared" si="30"/>
        <v>1.3775047412552699E-3</v>
      </c>
      <c r="R761" s="12" t="str">
        <f ca="1">IFERROR(__xludf.DUMMYFUNCTION("""COMPUTED_VALUE"""),"Star Trek: Nemesis ")</f>
        <v>Star Trek: Nemesis </v>
      </c>
      <c r="S761" s="12">
        <f t="shared" si="31"/>
        <v>-38308189</v>
      </c>
    </row>
    <row r="762" spans="1:19" x14ac:dyDescent="0.3">
      <c r="A762" s="2" t="s">
        <v>4692</v>
      </c>
      <c r="B762" s="2">
        <v>112</v>
      </c>
      <c r="C762" s="3">
        <v>40064955</v>
      </c>
      <c r="D762" s="3" t="s">
        <v>5940</v>
      </c>
      <c r="E762" s="2" t="s">
        <v>4693</v>
      </c>
      <c r="F762" s="2" t="s">
        <v>10</v>
      </c>
      <c r="G762" s="2" t="s">
        <v>11</v>
      </c>
      <c r="H762" s="2">
        <v>5000000</v>
      </c>
      <c r="I762" s="2">
        <v>7</v>
      </c>
      <c r="J762" s="3">
        <v>2203641</v>
      </c>
      <c r="K762">
        <f t="shared" si="30"/>
        <v>1.3775047412552699E-3</v>
      </c>
      <c r="R762" s="12" t="str">
        <f ca="1">IFERROR(__xludf.DUMMYFUNCTION("""COMPUTED_VALUE"""),"Intolerable Cruelty ")</f>
        <v>Intolerable Cruelty </v>
      </c>
      <c r="S762" s="12">
        <f t="shared" si="31"/>
        <v>-3713572</v>
      </c>
    </row>
    <row r="763" spans="1:19" x14ac:dyDescent="0.3">
      <c r="A763" s="2" t="s">
        <v>2069</v>
      </c>
      <c r="B763" s="2">
        <v>134</v>
      </c>
      <c r="C763" s="3">
        <v>72279690</v>
      </c>
      <c r="D763" s="3" t="s">
        <v>5765</v>
      </c>
      <c r="E763" s="2" t="s">
        <v>3063</v>
      </c>
      <c r="F763" s="2" t="s">
        <v>2071</v>
      </c>
      <c r="G763" s="2" t="s">
        <v>771</v>
      </c>
      <c r="H763" s="2">
        <v>2400000000</v>
      </c>
      <c r="I763" s="2">
        <v>8.4</v>
      </c>
      <c r="J763" s="3">
        <v>2207975</v>
      </c>
      <c r="K763">
        <f t="shared" si="30"/>
        <v>1.3775047412552699E-3</v>
      </c>
      <c r="R763" s="12" t="str">
        <f ca="1">IFERROR(__xludf.DUMMYFUNCTION("""COMPUTED_VALUE"""),"Edge of Darkness ")</f>
        <v>Edge of Darkness </v>
      </c>
      <c r="S763" s="12">
        <f t="shared" si="31"/>
        <v>29700000</v>
      </c>
    </row>
    <row r="764" spans="1:19" x14ac:dyDescent="0.3">
      <c r="A764" s="2" t="s">
        <v>1425</v>
      </c>
      <c r="B764" s="2">
        <v>99</v>
      </c>
      <c r="C764" s="3">
        <v>2775593</v>
      </c>
      <c r="D764" s="3" t="s">
        <v>5971</v>
      </c>
      <c r="E764" s="2" t="s">
        <v>1799</v>
      </c>
      <c r="F764" s="2" t="s">
        <v>10</v>
      </c>
      <c r="G764" s="2" t="s">
        <v>11</v>
      </c>
      <c r="H764" s="2">
        <v>40000000</v>
      </c>
      <c r="I764" s="2">
        <v>5.9</v>
      </c>
      <c r="J764" s="3">
        <v>2208939</v>
      </c>
      <c r="K764">
        <f t="shared" si="30"/>
        <v>1.3775047412552699E-3</v>
      </c>
      <c r="R764" s="12" t="str">
        <f ca="1">IFERROR(__xludf.DUMMYFUNCTION("""COMPUTED_VALUE"""),"The Relic ")</f>
        <v>The Relic </v>
      </c>
      <c r="S764" s="12">
        <f t="shared" si="31"/>
        <v>68306065</v>
      </c>
    </row>
    <row r="765" spans="1:19" x14ac:dyDescent="0.3">
      <c r="A765" s="2" t="s">
        <v>89</v>
      </c>
      <c r="B765" s="2">
        <v>111</v>
      </c>
      <c r="C765" s="3">
        <v>81150692</v>
      </c>
      <c r="D765" s="3" t="s">
        <v>6063</v>
      </c>
      <c r="E765" s="2" t="s">
        <v>3022</v>
      </c>
      <c r="F765" s="2" t="s">
        <v>10</v>
      </c>
      <c r="G765" s="2" t="s">
        <v>11</v>
      </c>
      <c r="H765" s="2">
        <v>20000000</v>
      </c>
      <c r="I765" s="2">
        <v>6.8</v>
      </c>
      <c r="J765" s="3">
        <v>2221809</v>
      </c>
      <c r="K765">
        <f t="shared" si="30"/>
        <v>1.3775047412552699E-3</v>
      </c>
      <c r="R765" s="12" t="str">
        <f ca="1">IFERROR(__xludf.DUMMYFUNCTION("""COMPUTED_VALUE"""),"Analyze That ")</f>
        <v>Analyze That </v>
      </c>
      <c r="S765" s="12">
        <f t="shared" si="31"/>
        <v>-20459044</v>
      </c>
    </row>
    <row r="766" spans="1:19" x14ac:dyDescent="0.3">
      <c r="A766" s="2" t="s">
        <v>126</v>
      </c>
      <c r="B766" s="2">
        <v>95</v>
      </c>
      <c r="C766" s="3">
        <v>14983572</v>
      </c>
      <c r="D766" s="3" t="s">
        <v>5893</v>
      </c>
      <c r="E766" s="2" t="s">
        <v>4676</v>
      </c>
      <c r="F766" s="2" t="s">
        <v>10</v>
      </c>
      <c r="G766" s="2" t="s">
        <v>11</v>
      </c>
      <c r="H766" s="2">
        <v>5000000</v>
      </c>
      <c r="I766" s="2">
        <v>6.4</v>
      </c>
      <c r="J766" s="3">
        <v>2221994</v>
      </c>
      <c r="K766">
        <f t="shared" si="30"/>
        <v>1.3775047412552699E-3</v>
      </c>
      <c r="R766" s="12" t="str">
        <f ca="1">IFERROR(__xludf.DUMMYFUNCTION("""COMPUTED_VALUE"""),"Righteous Kill ")</f>
        <v>Righteous Kill </v>
      </c>
      <c r="S766" s="12">
        <f t="shared" si="31"/>
        <v>135069408</v>
      </c>
    </row>
    <row r="767" spans="1:19" x14ac:dyDescent="0.3">
      <c r="A767" s="2" t="s">
        <v>139</v>
      </c>
      <c r="B767" s="2">
        <v>107</v>
      </c>
      <c r="C767" s="3">
        <v>34290142</v>
      </c>
      <c r="D767" s="3" t="s">
        <v>5835</v>
      </c>
      <c r="E767" s="2" t="s">
        <v>3082</v>
      </c>
      <c r="F767" s="2" t="s">
        <v>10</v>
      </c>
      <c r="G767" s="2" t="s">
        <v>11</v>
      </c>
      <c r="H767" s="2">
        <v>20000000</v>
      </c>
      <c r="I767" s="2">
        <v>6.4</v>
      </c>
      <c r="J767" s="3">
        <v>2222647</v>
      </c>
      <c r="K767">
        <f t="shared" si="30"/>
        <v>1.3775047412552699E-3</v>
      </c>
      <c r="R767" s="12" t="str">
        <f ca="1">IFERROR(__xludf.DUMMYFUNCTION("""COMPUTED_VALUE"""),"Mercury Rising ")</f>
        <v>Mercury Rising </v>
      </c>
      <c r="S767" s="12">
        <f t="shared" si="31"/>
        <v>119234747</v>
      </c>
    </row>
    <row r="768" spans="1:19" x14ac:dyDescent="0.3">
      <c r="A768" s="2" t="s">
        <v>248</v>
      </c>
      <c r="B768" s="2">
        <v>135</v>
      </c>
      <c r="C768" s="3">
        <v>100491683</v>
      </c>
      <c r="D768" s="3" t="s">
        <v>5852</v>
      </c>
      <c r="E768" s="2" t="s">
        <v>2400</v>
      </c>
      <c r="F768" s="2" t="s">
        <v>10</v>
      </c>
      <c r="G768" s="2" t="s">
        <v>504</v>
      </c>
      <c r="H768" s="2">
        <v>28000000</v>
      </c>
      <c r="I768" s="2">
        <v>7.8</v>
      </c>
      <c r="J768" s="3">
        <v>2223990</v>
      </c>
      <c r="K768">
        <f t="shared" si="30"/>
        <v>1.3775047412552699E-3</v>
      </c>
      <c r="R768" s="12" t="str">
        <f ca="1">IFERROR(__xludf.DUMMYFUNCTION("""COMPUTED_VALUE"""),"The Soloist ")</f>
        <v>The Soloist </v>
      </c>
      <c r="S768" s="12">
        <f t="shared" si="31"/>
        <v>25887943</v>
      </c>
    </row>
    <row r="769" spans="1:19" x14ac:dyDescent="0.3">
      <c r="A769" s="2" t="s">
        <v>1812</v>
      </c>
      <c r="B769" s="2">
        <v>119</v>
      </c>
      <c r="C769" s="3">
        <v>31743332</v>
      </c>
      <c r="D769" s="3" t="s">
        <v>6064</v>
      </c>
      <c r="E769" s="2" t="s">
        <v>1813</v>
      </c>
      <c r="F769" s="2" t="s">
        <v>10</v>
      </c>
      <c r="G769" s="2" t="s">
        <v>16</v>
      </c>
      <c r="H769" s="2">
        <v>36000000</v>
      </c>
      <c r="I769" s="2">
        <v>4.7</v>
      </c>
      <c r="J769" s="3">
        <v>2246000</v>
      </c>
      <c r="K769">
        <f t="shared" si="30"/>
        <v>1.3775047412552699E-3</v>
      </c>
      <c r="R769" s="12" t="str">
        <f ca="1">IFERROR(__xludf.DUMMYFUNCTION("""COMPUTED_VALUE"""),"The Legend of Bagger Vance ")</f>
        <v>The Legend of Bagger Vance </v>
      </c>
      <c r="S769" s="12">
        <f t="shared" si="31"/>
        <v>60600000</v>
      </c>
    </row>
    <row r="770" spans="1:19" x14ac:dyDescent="0.3">
      <c r="A770" s="2" t="s">
        <v>1400</v>
      </c>
      <c r="B770" s="2">
        <v>114</v>
      </c>
      <c r="C770" s="3">
        <v>69772969</v>
      </c>
      <c r="D770" s="3" t="s">
        <v>5940</v>
      </c>
      <c r="E770" s="2" t="s">
        <v>1401</v>
      </c>
      <c r="F770" s="2" t="s">
        <v>10</v>
      </c>
      <c r="G770" s="2" t="s">
        <v>11</v>
      </c>
      <c r="H770" s="2">
        <v>50000000</v>
      </c>
      <c r="I770" s="2">
        <v>6.5</v>
      </c>
      <c r="J770" s="3">
        <v>2268296</v>
      </c>
      <c r="K770">
        <f t="shared" ref="K770:K833" si="32">CORREL(H$2:H$3941,J$2:J$3941)</f>
        <v>1.3775047412552699E-3</v>
      </c>
      <c r="R770" s="12" t="str">
        <f ca="1">IFERROR(__xludf.DUMMYFUNCTION("""COMPUTED_VALUE"""),"Almost Famous ")</f>
        <v>Almost Famous </v>
      </c>
      <c r="S770" s="12">
        <f t="shared" si="31"/>
        <v>130319195</v>
      </c>
    </row>
    <row r="771" spans="1:19" x14ac:dyDescent="0.3">
      <c r="A771" s="2" t="s">
        <v>69</v>
      </c>
      <c r="B771" s="2">
        <v>90</v>
      </c>
      <c r="C771" s="3">
        <v>61644321</v>
      </c>
      <c r="D771" s="3" t="s">
        <v>6065</v>
      </c>
      <c r="E771" s="2" t="s">
        <v>555</v>
      </c>
      <c r="F771" s="2" t="s">
        <v>10</v>
      </c>
      <c r="G771" s="2" t="s">
        <v>11</v>
      </c>
      <c r="H771" s="2">
        <v>90000000</v>
      </c>
      <c r="I771" s="2">
        <v>6.6</v>
      </c>
      <c r="J771" s="3">
        <v>2275557</v>
      </c>
      <c r="K771">
        <f t="shared" si="32"/>
        <v>1.3775047412552699E-3</v>
      </c>
      <c r="R771" s="12" t="str">
        <f ca="1">IFERROR(__xludf.DUMMYFUNCTION("""COMPUTED_VALUE"""),"xXx: State of the Union ")</f>
        <v>xXx: State of the Union </v>
      </c>
      <c r="S771" s="12">
        <f t="shared" si="31"/>
        <v>44455275</v>
      </c>
    </row>
    <row r="772" spans="1:19" x14ac:dyDescent="0.3">
      <c r="A772" s="2" t="s">
        <v>603</v>
      </c>
      <c r="B772" s="2">
        <v>110</v>
      </c>
      <c r="C772" s="3">
        <v>111505642</v>
      </c>
      <c r="D772" s="3" t="s">
        <v>6066</v>
      </c>
      <c r="E772" s="2" t="s">
        <v>604</v>
      </c>
      <c r="F772" s="2" t="s">
        <v>10</v>
      </c>
      <c r="G772" s="2" t="s">
        <v>16</v>
      </c>
      <c r="H772" s="2">
        <v>90000000</v>
      </c>
      <c r="I772" s="2">
        <v>4.4000000000000004</v>
      </c>
      <c r="J772" s="3">
        <v>2283276</v>
      </c>
      <c r="K772">
        <f t="shared" si="32"/>
        <v>1.3775047412552699E-3</v>
      </c>
      <c r="R772" s="12" t="str">
        <f ca="1">IFERROR(__xludf.DUMMYFUNCTION("""COMPUTED_VALUE"""),"Priest ")</f>
        <v>Priest </v>
      </c>
      <c r="S772" s="12">
        <f t="shared" si="31"/>
        <v>42075531</v>
      </c>
    </row>
    <row r="773" spans="1:19" x14ac:dyDescent="0.3">
      <c r="A773" s="2" t="s">
        <v>2597</v>
      </c>
      <c r="B773" s="2">
        <v>121</v>
      </c>
      <c r="C773" s="3">
        <v>31655091</v>
      </c>
      <c r="D773" s="3" t="s">
        <v>6019</v>
      </c>
      <c r="E773" s="2" t="s">
        <v>2598</v>
      </c>
      <c r="F773" s="2" t="s">
        <v>10</v>
      </c>
      <c r="G773" s="2" t="s">
        <v>11</v>
      </c>
      <c r="H773" s="2">
        <v>25000000</v>
      </c>
      <c r="I773" s="2">
        <v>7.3</v>
      </c>
      <c r="J773" s="3">
        <v>2298191</v>
      </c>
      <c r="K773">
        <f t="shared" si="32"/>
        <v>1.3775047412552699E-3</v>
      </c>
      <c r="R773" s="12" t="str">
        <f ca="1">IFERROR(__xludf.DUMMYFUNCTION("""COMPUTED_VALUE"""),"Sinbad: Legend of the Seven Seas ")</f>
        <v>Sinbad: Legend of the Seven Seas </v>
      </c>
      <c r="S773" s="12">
        <f t="shared" si="31"/>
        <v>43429341</v>
      </c>
    </row>
    <row r="774" spans="1:19" x14ac:dyDescent="0.3">
      <c r="A774" s="2" t="s">
        <v>248</v>
      </c>
      <c r="B774" s="2">
        <v>123</v>
      </c>
      <c r="C774" s="3">
        <v>161029270</v>
      </c>
      <c r="D774" s="3" t="s">
        <v>6067</v>
      </c>
      <c r="E774" s="2" t="s">
        <v>2231</v>
      </c>
      <c r="F774" s="2" t="s">
        <v>10</v>
      </c>
      <c r="G774" s="2" t="s">
        <v>16</v>
      </c>
      <c r="H774" s="2">
        <v>30000000</v>
      </c>
      <c r="I774" s="2">
        <v>7.8</v>
      </c>
      <c r="J774" s="3">
        <v>2300000</v>
      </c>
      <c r="K774">
        <f t="shared" si="32"/>
        <v>1.3775047412552699E-3</v>
      </c>
      <c r="R774" s="12" t="str">
        <f ca="1">IFERROR(__xludf.DUMMYFUNCTION("""COMPUTED_VALUE"""),"Event Horizon ")</f>
        <v>Event Horizon </v>
      </c>
      <c r="S774" s="12">
        <f t="shared" si="31"/>
        <v>-2458281</v>
      </c>
    </row>
    <row r="775" spans="1:19" x14ac:dyDescent="0.3">
      <c r="A775" s="2" t="s">
        <v>4865</v>
      </c>
      <c r="B775" s="2">
        <v>129</v>
      </c>
      <c r="C775" s="3">
        <v>144833357</v>
      </c>
      <c r="D775" s="3" t="s">
        <v>6068</v>
      </c>
      <c r="E775" s="2" t="s">
        <v>4866</v>
      </c>
      <c r="F775" s="2" t="s">
        <v>723</v>
      </c>
      <c r="G775" s="2" t="s">
        <v>4867</v>
      </c>
      <c r="H775" s="2">
        <v>2000000</v>
      </c>
      <c r="I775" s="2">
        <v>8.1999999999999993</v>
      </c>
      <c r="J775" s="3">
        <v>2301777</v>
      </c>
      <c r="K775">
        <f t="shared" si="32"/>
        <v>1.3775047412552699E-3</v>
      </c>
      <c r="R775" s="12" t="str">
        <f ca="1">IFERROR(__xludf.DUMMYFUNCTION("""COMPUTED_VALUE"""),"Dragonfly ")</f>
        <v>Dragonfly </v>
      </c>
      <c r="S775" s="12">
        <f t="shared" si="31"/>
        <v>45098138</v>
      </c>
    </row>
    <row r="776" spans="1:19" x14ac:dyDescent="0.3">
      <c r="A776" s="2" t="s">
        <v>4293</v>
      </c>
      <c r="B776" s="2">
        <v>108</v>
      </c>
      <c r="C776" s="3">
        <v>35231365</v>
      </c>
      <c r="D776" s="3" t="s">
        <v>6069</v>
      </c>
      <c r="E776" s="2" t="s">
        <v>4294</v>
      </c>
      <c r="F776" s="2" t="s">
        <v>10</v>
      </c>
      <c r="G776" s="2" t="s">
        <v>11</v>
      </c>
      <c r="H776" s="3">
        <v>7605668</v>
      </c>
      <c r="I776" s="2">
        <v>6.5</v>
      </c>
      <c r="J776" s="3">
        <v>2315683</v>
      </c>
      <c r="K776">
        <f t="shared" si="32"/>
        <v>1.3775047412552699E-3</v>
      </c>
      <c r="R776" s="12" t="str">
        <f ca="1">IFERROR(__xludf.DUMMYFUNCTION("""COMPUTED_VALUE"""),"The Black Dahlia ")</f>
        <v>The Black Dahlia </v>
      </c>
      <c r="S776" s="12">
        <f t="shared" si="31"/>
        <v>8337299</v>
      </c>
    </row>
    <row r="777" spans="1:19" x14ac:dyDescent="0.3">
      <c r="A777" s="2" t="s">
        <v>2216</v>
      </c>
      <c r="B777" s="2">
        <v>112</v>
      </c>
      <c r="C777" s="2">
        <v>4839383</v>
      </c>
      <c r="D777" s="3" t="s">
        <v>5849</v>
      </c>
      <c r="E777" s="2" t="s">
        <v>3347</v>
      </c>
      <c r="F777" s="2" t="s">
        <v>10</v>
      </c>
      <c r="G777" s="2" t="s">
        <v>11</v>
      </c>
      <c r="H777" s="2">
        <v>16000000</v>
      </c>
      <c r="I777" s="2">
        <v>6.6</v>
      </c>
      <c r="J777" s="3">
        <v>2319187</v>
      </c>
      <c r="K777">
        <f t="shared" si="32"/>
        <v>1.3775047412552699E-3</v>
      </c>
      <c r="R777" s="12" t="str">
        <f ca="1">IFERROR(__xludf.DUMMYFUNCTION("""COMPUTED_VALUE"""),"Flyboys ")</f>
        <v>Flyboys </v>
      </c>
      <c r="S777" s="12">
        <f t="shared" si="31"/>
        <v>51528842</v>
      </c>
    </row>
    <row r="778" spans="1:19" x14ac:dyDescent="0.3">
      <c r="A778" s="2" t="s">
        <v>3249</v>
      </c>
      <c r="B778" s="2">
        <v>90</v>
      </c>
      <c r="C778" s="3">
        <v>47852604</v>
      </c>
      <c r="D778" s="3" t="s">
        <v>520</v>
      </c>
      <c r="E778" s="2" t="s">
        <v>3250</v>
      </c>
      <c r="F778" s="2" t="s">
        <v>10</v>
      </c>
      <c r="G778" s="2" t="s">
        <v>71</v>
      </c>
      <c r="H778" s="2">
        <v>20000000</v>
      </c>
      <c r="I778" s="2">
        <v>5.6</v>
      </c>
      <c r="J778" s="3">
        <v>2326407</v>
      </c>
      <c r="K778">
        <f t="shared" si="32"/>
        <v>1.3775047412552699E-3</v>
      </c>
      <c r="R778" s="12" t="str">
        <f ca="1">IFERROR(__xludf.DUMMYFUNCTION("""COMPUTED_VALUE"""),"The Last Castle ")</f>
        <v>The Last Castle </v>
      </c>
      <c r="S778" s="12">
        <f t="shared" si="31"/>
        <v>-46675252</v>
      </c>
    </row>
    <row r="779" spans="1:19" x14ac:dyDescent="0.3">
      <c r="A779" s="2" t="s">
        <v>1782</v>
      </c>
      <c r="B779" s="2">
        <v>125</v>
      </c>
      <c r="C779" s="3">
        <v>55291815</v>
      </c>
      <c r="D779" s="3" t="s">
        <v>6008</v>
      </c>
      <c r="E779" s="2" t="s">
        <v>3499</v>
      </c>
      <c r="F779" s="2" t="s">
        <v>10</v>
      </c>
      <c r="G779" s="2" t="s">
        <v>11</v>
      </c>
      <c r="H779" s="2">
        <v>20000000</v>
      </c>
      <c r="I779" s="2">
        <v>6.6</v>
      </c>
      <c r="J779" s="3">
        <v>2331318</v>
      </c>
      <c r="K779">
        <f t="shared" si="32"/>
        <v>1.3775047412552699E-3</v>
      </c>
      <c r="R779" s="12" t="str">
        <f ca="1">IFERROR(__xludf.DUMMYFUNCTION("""COMPUTED_VALUE"""),"Supernova ")</f>
        <v>Supernova </v>
      </c>
      <c r="S779" s="12">
        <f t="shared" si="31"/>
        <v>-5519682</v>
      </c>
    </row>
    <row r="780" spans="1:19" x14ac:dyDescent="0.3">
      <c r="A780" s="2" t="s">
        <v>3701</v>
      </c>
      <c r="B780" s="2">
        <v>99</v>
      </c>
      <c r="C780" s="3">
        <v>69688384</v>
      </c>
      <c r="D780" s="3" t="s">
        <v>5825</v>
      </c>
      <c r="E780" s="2" t="s">
        <v>3702</v>
      </c>
      <c r="F780" s="2" t="s">
        <v>10</v>
      </c>
      <c r="G780" s="2" t="s">
        <v>11</v>
      </c>
      <c r="H780" s="2">
        <v>13000000</v>
      </c>
      <c r="I780" s="2">
        <v>6</v>
      </c>
      <c r="J780" s="3">
        <v>2338695</v>
      </c>
      <c r="K780">
        <f t="shared" si="32"/>
        <v>1.3775047412552699E-3</v>
      </c>
      <c r="R780" s="12" t="str">
        <f ca="1">IFERROR(__xludf.DUMMYFUNCTION("""COMPUTED_VALUE"""),"Winter's Tale ")</f>
        <v>Winter's Tale </v>
      </c>
      <c r="S780" s="12">
        <f t="shared" si="31"/>
        <v>93885880</v>
      </c>
    </row>
    <row r="781" spans="1:19" x14ac:dyDescent="0.3">
      <c r="A781" s="2" t="s">
        <v>207</v>
      </c>
      <c r="B781" s="2">
        <v>92</v>
      </c>
      <c r="C781" s="3">
        <v>66488090</v>
      </c>
      <c r="D781" s="3" t="s">
        <v>5892</v>
      </c>
      <c r="E781" s="2" t="s">
        <v>303</v>
      </c>
      <c r="F781" s="2" t="s">
        <v>10</v>
      </c>
      <c r="G781" s="2" t="s">
        <v>11</v>
      </c>
      <c r="H781" s="2">
        <v>132000000</v>
      </c>
      <c r="I781" s="2">
        <v>6.7</v>
      </c>
      <c r="J781" s="3">
        <v>2344847</v>
      </c>
      <c r="K781">
        <f t="shared" si="32"/>
        <v>1.3775047412552699E-3</v>
      </c>
      <c r="R781" s="12" t="str">
        <f ca="1">IFERROR(__xludf.DUMMYFUNCTION("""COMPUTED_VALUE"""),"The Mortal Instruments: City of Bones ")</f>
        <v>The Mortal Instruments: City of Bones </v>
      </c>
      <c r="S781" s="12">
        <f t="shared" si="31"/>
        <v>25350897</v>
      </c>
    </row>
    <row r="782" spans="1:19" x14ac:dyDescent="0.3">
      <c r="A782" s="2" t="s">
        <v>1303</v>
      </c>
      <c r="B782" s="2">
        <v>141</v>
      </c>
      <c r="C782" s="3">
        <v>31670931</v>
      </c>
      <c r="D782" s="3" t="s">
        <v>520</v>
      </c>
      <c r="E782" s="2" t="s">
        <v>1394</v>
      </c>
      <c r="F782" s="2" t="s">
        <v>10</v>
      </c>
      <c r="G782" s="2" t="s">
        <v>11</v>
      </c>
      <c r="H782" s="2">
        <v>50000000</v>
      </c>
      <c r="I782" s="2">
        <v>7.4</v>
      </c>
      <c r="J782" s="3">
        <v>2353728</v>
      </c>
      <c r="K782">
        <f t="shared" si="32"/>
        <v>1.3775047412552699E-3</v>
      </c>
      <c r="R782" s="12" t="str">
        <f ca="1">IFERROR(__xludf.DUMMYFUNCTION("""COMPUTED_VALUE"""),"Meet Dave ")</f>
        <v>Meet Dave </v>
      </c>
      <c r="S782" s="12">
        <f t="shared" si="31"/>
        <v>50531634</v>
      </c>
    </row>
    <row r="783" spans="1:19" x14ac:dyDescent="0.3">
      <c r="A783" s="2" t="s">
        <v>193</v>
      </c>
      <c r="B783" s="2">
        <v>115</v>
      </c>
      <c r="C783" s="3">
        <v>167780960</v>
      </c>
      <c r="D783" s="3" t="s">
        <v>5752</v>
      </c>
      <c r="E783" s="2" t="s">
        <v>1866</v>
      </c>
      <c r="F783" s="2" t="s">
        <v>10</v>
      </c>
      <c r="G783" s="2" t="s">
        <v>11</v>
      </c>
      <c r="H783" s="2">
        <v>38000000</v>
      </c>
      <c r="I783" s="2">
        <v>5.6</v>
      </c>
      <c r="J783" s="3">
        <v>2360184</v>
      </c>
      <c r="K783">
        <f t="shared" si="32"/>
        <v>1.3775047412552699E-3</v>
      </c>
      <c r="R783" s="12" t="str">
        <f ca="1">IFERROR(__xludf.DUMMYFUNCTION("""COMPUTED_VALUE"""),"Dark Water ")</f>
        <v>Dark Water </v>
      </c>
      <c r="S783" s="12">
        <f t="shared" si="31"/>
        <v>32860214</v>
      </c>
    </row>
    <row r="784" spans="1:19" x14ac:dyDescent="0.3">
      <c r="A784" s="2" t="s">
        <v>3329</v>
      </c>
      <c r="B784" s="2">
        <v>94</v>
      </c>
      <c r="C784" s="3">
        <v>119078393</v>
      </c>
      <c r="D784" s="3" t="s">
        <v>6070</v>
      </c>
      <c r="E784" s="2" t="s">
        <v>3330</v>
      </c>
      <c r="F784" s="2" t="s">
        <v>10</v>
      </c>
      <c r="G784" s="2" t="s">
        <v>11</v>
      </c>
      <c r="H784" s="2">
        <v>16000000</v>
      </c>
      <c r="I784" s="2">
        <v>5.3</v>
      </c>
      <c r="J784" s="3">
        <v>2365931</v>
      </c>
      <c r="K784">
        <f t="shared" si="32"/>
        <v>1.3775047412552699E-3</v>
      </c>
      <c r="R784" s="12" t="str">
        <f ca="1">IFERROR(__xludf.DUMMYFUNCTION("""COMPUTED_VALUE"""),"Edtv ")</f>
        <v>Edtv </v>
      </c>
      <c r="S784" s="12">
        <f t="shared" si="31"/>
        <v>35064955</v>
      </c>
    </row>
    <row r="785" spans="1:19" x14ac:dyDescent="0.3">
      <c r="A785" s="2" t="s">
        <v>1078</v>
      </c>
      <c r="B785" s="2">
        <v>94</v>
      </c>
      <c r="C785" s="3">
        <v>40048332</v>
      </c>
      <c r="D785" s="3" t="s">
        <v>5843</v>
      </c>
      <c r="E785" s="2" t="s">
        <v>1079</v>
      </c>
      <c r="F785" s="2" t="s">
        <v>10</v>
      </c>
      <c r="G785" s="2" t="s">
        <v>11</v>
      </c>
      <c r="H785" s="2">
        <v>60000000</v>
      </c>
      <c r="I785" s="2">
        <v>5.4</v>
      </c>
      <c r="J785" s="3">
        <v>2412045</v>
      </c>
      <c r="K785">
        <f t="shared" si="32"/>
        <v>1.3775047412552699E-3</v>
      </c>
      <c r="R785" s="12" t="str">
        <f ca="1">IFERROR(__xludf.DUMMYFUNCTION("""COMPUTED_VALUE"""),"Inkheart ")</f>
        <v>Inkheart </v>
      </c>
      <c r="S785" s="12">
        <f t="shared" si="31"/>
        <v>-2327720310</v>
      </c>
    </row>
    <row r="786" spans="1:19" x14ac:dyDescent="0.3">
      <c r="A786" s="2" t="s">
        <v>3959</v>
      </c>
      <c r="B786" s="2">
        <v>150</v>
      </c>
      <c r="C786" s="3">
        <v>88200225</v>
      </c>
      <c r="D786" s="3" t="s">
        <v>6071</v>
      </c>
      <c r="E786" s="2" t="s">
        <v>4232</v>
      </c>
      <c r="F786" s="2" t="s">
        <v>10</v>
      </c>
      <c r="G786" s="2" t="s">
        <v>11</v>
      </c>
      <c r="H786" s="2">
        <v>8500000</v>
      </c>
      <c r="I786" s="2">
        <v>6.7</v>
      </c>
      <c r="J786" s="3">
        <v>2426851</v>
      </c>
      <c r="K786">
        <f t="shared" si="32"/>
        <v>1.3775047412552699E-3</v>
      </c>
      <c r="R786" s="12" t="str">
        <f ca="1">IFERROR(__xludf.DUMMYFUNCTION("""COMPUTED_VALUE"""),"The Spirit ")</f>
        <v>The Spirit </v>
      </c>
      <c r="S786" s="12">
        <f t="shared" si="31"/>
        <v>-37224407</v>
      </c>
    </row>
    <row r="787" spans="1:19" x14ac:dyDescent="0.3">
      <c r="A787" s="2" t="s">
        <v>684</v>
      </c>
      <c r="B787" s="2">
        <v>136</v>
      </c>
      <c r="C787" s="3">
        <v>179020854</v>
      </c>
      <c r="D787" s="3" t="s">
        <v>6072</v>
      </c>
      <c r="E787" s="2" t="s">
        <v>899</v>
      </c>
      <c r="F787" s="2" t="s">
        <v>10</v>
      </c>
      <c r="G787" s="2" t="s">
        <v>11</v>
      </c>
      <c r="H787" s="2">
        <v>75000000</v>
      </c>
      <c r="I787" s="2">
        <v>5.9</v>
      </c>
      <c r="J787" s="3">
        <v>2428241</v>
      </c>
      <c r="K787">
        <f t="shared" si="32"/>
        <v>1.3775047412552699E-3</v>
      </c>
      <c r="R787" s="12" t="str">
        <f ca="1">IFERROR(__xludf.DUMMYFUNCTION("""COMPUTED_VALUE"""),"Mortdecai ")</f>
        <v>Mortdecai </v>
      </c>
      <c r="S787" s="12">
        <f t="shared" si="31"/>
        <v>61150692</v>
      </c>
    </row>
    <row r="788" spans="1:19" x14ac:dyDescent="0.3">
      <c r="A788" s="2" t="s">
        <v>574</v>
      </c>
      <c r="B788" s="2">
        <v>96</v>
      </c>
      <c r="C788" s="3">
        <v>37035845</v>
      </c>
      <c r="D788" s="3" t="s">
        <v>6073</v>
      </c>
      <c r="E788" s="2" t="s">
        <v>2786</v>
      </c>
      <c r="F788" s="2" t="s">
        <v>10</v>
      </c>
      <c r="G788" s="2" t="s">
        <v>11</v>
      </c>
      <c r="H788" s="2">
        <v>22000000</v>
      </c>
      <c r="I788" s="2">
        <v>5.9</v>
      </c>
      <c r="J788" s="3">
        <v>2428883</v>
      </c>
      <c r="K788">
        <f t="shared" si="32"/>
        <v>1.3775047412552699E-3</v>
      </c>
      <c r="R788" s="12" t="str">
        <f ca="1">IFERROR(__xludf.DUMMYFUNCTION("""COMPUTED_VALUE"""),"In the Name of the King: A Dungeon Siege Tale ")</f>
        <v>In the Name of the King: A Dungeon Siege Tale </v>
      </c>
      <c r="S788" s="12">
        <f t="shared" si="31"/>
        <v>9983572</v>
      </c>
    </row>
    <row r="789" spans="1:19" x14ac:dyDescent="0.3">
      <c r="A789" s="2" t="s">
        <v>4931</v>
      </c>
      <c r="B789" s="2">
        <v>97</v>
      </c>
      <c r="C789" s="3">
        <v>81022333</v>
      </c>
      <c r="D789" s="3" t="s">
        <v>5940</v>
      </c>
      <c r="E789" s="2" t="s">
        <v>4932</v>
      </c>
      <c r="F789" s="2" t="s">
        <v>10</v>
      </c>
      <c r="G789" s="2" t="s">
        <v>11</v>
      </c>
      <c r="H789" s="2">
        <v>3000000</v>
      </c>
      <c r="I789" s="2">
        <v>6.5</v>
      </c>
      <c r="J789" s="3">
        <v>2445646</v>
      </c>
      <c r="K789">
        <f t="shared" si="32"/>
        <v>1.3775047412552699E-3</v>
      </c>
      <c r="R789" s="12" t="str">
        <f ca="1">IFERROR(__xludf.DUMMYFUNCTION("""COMPUTED_VALUE"""),"Beyond Borders ")</f>
        <v>Beyond Borders </v>
      </c>
      <c r="S789" s="12">
        <f t="shared" si="31"/>
        <v>14290142</v>
      </c>
    </row>
    <row r="790" spans="1:19" x14ac:dyDescent="0.3">
      <c r="A790" s="2" t="s">
        <v>1856</v>
      </c>
      <c r="B790" s="2">
        <v>93</v>
      </c>
      <c r="C790" s="3">
        <v>41895491</v>
      </c>
      <c r="D790" s="3" t="s">
        <v>6002</v>
      </c>
      <c r="E790" s="2" t="s">
        <v>1857</v>
      </c>
      <c r="F790" s="2" t="s">
        <v>10</v>
      </c>
      <c r="G790" s="2" t="s">
        <v>11</v>
      </c>
      <c r="H790" s="2">
        <v>39000000</v>
      </c>
      <c r="I790" s="2">
        <v>5.7</v>
      </c>
      <c r="J790" s="3">
        <v>2474000</v>
      </c>
      <c r="K790">
        <f t="shared" si="32"/>
        <v>1.3775047412552699E-3</v>
      </c>
      <c r="R790" s="12" t="str">
        <f ca="1">IFERROR(__xludf.DUMMYFUNCTION("""COMPUTED_VALUE"""),"The Great Raid ")</f>
        <v>The Great Raid </v>
      </c>
      <c r="S790" s="12">
        <f t="shared" si="31"/>
        <v>72491683</v>
      </c>
    </row>
    <row r="791" spans="1:19" x14ac:dyDescent="0.3">
      <c r="A791" s="2" t="s">
        <v>5283</v>
      </c>
      <c r="B791" s="2">
        <v>89</v>
      </c>
      <c r="C791" s="3">
        <v>56724080</v>
      </c>
      <c r="D791" s="3" t="s">
        <v>520</v>
      </c>
      <c r="E791" s="2" t="s">
        <v>5284</v>
      </c>
      <c r="F791" s="2" t="s">
        <v>10</v>
      </c>
      <c r="G791" s="2" t="s">
        <v>11</v>
      </c>
      <c r="H791" s="2">
        <v>1000000</v>
      </c>
      <c r="I791" s="2">
        <v>6.7</v>
      </c>
      <c r="J791" s="3">
        <v>2483955</v>
      </c>
      <c r="K791">
        <f t="shared" si="32"/>
        <v>1.3775047412552699E-3</v>
      </c>
      <c r="R791" s="12" t="str">
        <f ca="1">IFERROR(__xludf.DUMMYFUNCTION("""COMPUTED_VALUE"""),"Deadpool ")</f>
        <v>Deadpool </v>
      </c>
      <c r="S791" s="12">
        <f t="shared" si="31"/>
        <v>-4256668</v>
      </c>
    </row>
    <row r="792" spans="1:19" x14ac:dyDescent="0.3">
      <c r="A792" s="2" t="s">
        <v>157</v>
      </c>
      <c r="B792" s="2">
        <v>115</v>
      </c>
      <c r="C792" s="3">
        <v>110416702</v>
      </c>
      <c r="D792" s="3" t="s">
        <v>6074</v>
      </c>
      <c r="E792" s="2" t="s">
        <v>548</v>
      </c>
      <c r="F792" s="2" t="s">
        <v>10</v>
      </c>
      <c r="G792" s="2" t="s">
        <v>11</v>
      </c>
      <c r="H792" s="2">
        <v>92000000</v>
      </c>
      <c r="I792" s="2">
        <v>8</v>
      </c>
      <c r="J792" s="3">
        <v>2506446</v>
      </c>
      <c r="K792">
        <f t="shared" si="32"/>
        <v>1.3775047412552699E-3</v>
      </c>
      <c r="R792" s="12" t="str">
        <f ca="1">IFERROR(__xludf.DUMMYFUNCTION("""COMPUTED_VALUE"""),"Holy Man ")</f>
        <v>Holy Man </v>
      </c>
      <c r="S792" s="12">
        <f t="shared" si="31"/>
        <v>19772969</v>
      </c>
    </row>
    <row r="793" spans="1:19" x14ac:dyDescent="0.3">
      <c r="A793" s="2" t="s">
        <v>3696</v>
      </c>
      <c r="B793" s="2">
        <v>82</v>
      </c>
      <c r="C793" s="3">
        <v>131144183</v>
      </c>
      <c r="D793" s="3" t="s">
        <v>6075</v>
      </c>
      <c r="E793" s="2" t="s">
        <v>3697</v>
      </c>
      <c r="F793" s="2" t="s">
        <v>10</v>
      </c>
      <c r="G793" s="2" t="s">
        <v>71</v>
      </c>
      <c r="H793" s="2">
        <v>13000000</v>
      </c>
      <c r="I793" s="2">
        <v>6.4</v>
      </c>
      <c r="J793" s="3">
        <v>2508841</v>
      </c>
      <c r="K793">
        <f t="shared" si="32"/>
        <v>1.3775047412552699E-3</v>
      </c>
      <c r="R793" s="12" t="str">
        <f ca="1">IFERROR(__xludf.DUMMYFUNCTION("""COMPUTED_VALUE"""),"American Sniper ")</f>
        <v>American Sniper </v>
      </c>
      <c r="S793" s="12">
        <f t="shared" ref="S793:S856" si="33">C771-H771</f>
        <v>-28355679</v>
      </c>
    </row>
    <row r="794" spans="1:19" x14ac:dyDescent="0.3">
      <c r="A794" s="2" t="s">
        <v>1356</v>
      </c>
      <c r="B794" s="2">
        <v>105</v>
      </c>
      <c r="C794" s="3">
        <v>110332737</v>
      </c>
      <c r="D794" s="3" t="s">
        <v>5934</v>
      </c>
      <c r="E794" s="2" t="s">
        <v>2531</v>
      </c>
      <c r="F794" s="2" t="s">
        <v>10</v>
      </c>
      <c r="G794" s="2" t="s">
        <v>11</v>
      </c>
      <c r="H794" s="2">
        <v>25000000</v>
      </c>
      <c r="I794" s="2">
        <v>6.1</v>
      </c>
      <c r="J794" s="3">
        <v>2557668</v>
      </c>
      <c r="K794">
        <f t="shared" si="32"/>
        <v>1.3775047412552699E-3</v>
      </c>
      <c r="R794" s="12" t="str">
        <f ca="1">IFERROR(__xludf.DUMMYFUNCTION("""COMPUTED_VALUE"""),"Goosebumps ")</f>
        <v>Goosebumps </v>
      </c>
      <c r="S794" s="12">
        <f t="shared" si="33"/>
        <v>21505642</v>
      </c>
    </row>
    <row r="795" spans="1:19" x14ac:dyDescent="0.3">
      <c r="A795" s="2" t="s">
        <v>2708</v>
      </c>
      <c r="B795" s="2">
        <v>89</v>
      </c>
      <c r="C795" s="3">
        <v>57011847</v>
      </c>
      <c r="D795" s="3" t="s">
        <v>5869</v>
      </c>
      <c r="E795" s="2" t="s">
        <v>4954</v>
      </c>
      <c r="F795" s="2" t="s">
        <v>10</v>
      </c>
      <c r="G795" s="2" t="s">
        <v>11</v>
      </c>
      <c r="H795" s="2">
        <v>3000000</v>
      </c>
      <c r="I795" s="2">
        <v>6.6</v>
      </c>
      <c r="J795" s="3">
        <v>2600000</v>
      </c>
      <c r="K795">
        <f t="shared" si="32"/>
        <v>1.3775047412552699E-3</v>
      </c>
      <c r="R795" s="12" t="str">
        <f ca="1">IFERROR(__xludf.DUMMYFUNCTION("""COMPUTED_VALUE"""),"Just Like Heaven ")</f>
        <v>Just Like Heaven </v>
      </c>
      <c r="S795" s="12">
        <f t="shared" si="33"/>
        <v>6655091</v>
      </c>
    </row>
    <row r="796" spans="1:19" x14ac:dyDescent="0.3">
      <c r="A796" s="2" t="s">
        <v>2502</v>
      </c>
      <c r="B796" s="2">
        <v>121</v>
      </c>
      <c r="C796" s="3">
        <v>88625922</v>
      </c>
      <c r="D796" s="3" t="s">
        <v>6076</v>
      </c>
      <c r="E796" s="2" t="s">
        <v>2671</v>
      </c>
      <c r="F796" s="2" t="s">
        <v>10</v>
      </c>
      <c r="G796" s="2" t="s">
        <v>71</v>
      </c>
      <c r="H796" s="2">
        <v>25000000</v>
      </c>
      <c r="I796" s="2">
        <v>6.6</v>
      </c>
      <c r="J796" s="3">
        <v>2601847</v>
      </c>
      <c r="K796">
        <f t="shared" si="32"/>
        <v>1.3775047412552699E-3</v>
      </c>
      <c r="R796" s="12" t="str">
        <f ca="1">IFERROR(__xludf.DUMMYFUNCTION("""COMPUTED_VALUE"""),"The Flintstones in Viva Rock Vegas ")</f>
        <v>The Flintstones in Viva Rock Vegas </v>
      </c>
      <c r="S796" s="12">
        <f t="shared" si="33"/>
        <v>131029270</v>
      </c>
    </row>
    <row r="797" spans="1:19" x14ac:dyDescent="0.3">
      <c r="A797" s="2" t="s">
        <v>43</v>
      </c>
      <c r="B797" s="2">
        <v>99</v>
      </c>
      <c r="C797" s="3">
        <v>144795350</v>
      </c>
      <c r="D797" s="3" t="s">
        <v>5869</v>
      </c>
      <c r="E797" s="2" t="s">
        <v>2175</v>
      </c>
      <c r="F797" s="2" t="s">
        <v>10</v>
      </c>
      <c r="G797" s="2" t="s">
        <v>11</v>
      </c>
      <c r="H797" s="2">
        <v>38000000</v>
      </c>
      <c r="I797" s="2">
        <v>6.8</v>
      </c>
      <c r="J797" s="3">
        <v>2694973</v>
      </c>
      <c r="K797">
        <f t="shared" si="32"/>
        <v>1.3775047412552699E-3</v>
      </c>
      <c r="R797" s="12" t="str">
        <f ca="1">IFERROR(__xludf.DUMMYFUNCTION("""COMPUTED_VALUE"""),"Rambo III ")</f>
        <v>Rambo III </v>
      </c>
      <c r="S797" s="12">
        <f t="shared" si="33"/>
        <v>142833357</v>
      </c>
    </row>
    <row r="798" spans="1:19" x14ac:dyDescent="0.3">
      <c r="A798" s="2" t="s">
        <v>443</v>
      </c>
      <c r="B798" s="2">
        <v>101</v>
      </c>
      <c r="C798" s="3">
        <v>91030827</v>
      </c>
      <c r="D798" s="3" t="s">
        <v>6017</v>
      </c>
      <c r="E798" s="2" t="s">
        <v>2040</v>
      </c>
      <c r="F798" s="2" t="s">
        <v>10</v>
      </c>
      <c r="G798" s="2" t="s">
        <v>11</v>
      </c>
      <c r="H798" s="2">
        <v>35000000</v>
      </c>
      <c r="I798" s="2">
        <v>5.5</v>
      </c>
      <c r="J798" s="3">
        <v>2706659</v>
      </c>
      <c r="K798">
        <f t="shared" si="32"/>
        <v>1.3775047412552699E-3</v>
      </c>
      <c r="R798" s="12" t="str">
        <f ca="1">IFERROR(__xludf.DUMMYFUNCTION("""COMPUTED_VALUE"""),"Leatherheads ")</f>
        <v>Leatherheads </v>
      </c>
      <c r="S798" s="12">
        <f t="shared" si="33"/>
        <v>27625697</v>
      </c>
    </row>
    <row r="799" spans="1:19" x14ac:dyDescent="0.3">
      <c r="A799" s="2" t="s">
        <v>1748</v>
      </c>
      <c r="B799" s="2">
        <v>120</v>
      </c>
      <c r="C799" s="3">
        <v>25863915</v>
      </c>
      <c r="D799" s="3" t="s">
        <v>6048</v>
      </c>
      <c r="E799" s="2" t="s">
        <v>2034</v>
      </c>
      <c r="F799" s="2" t="s">
        <v>10</v>
      </c>
      <c r="G799" s="2" t="s">
        <v>11</v>
      </c>
      <c r="H799" s="2">
        <v>35000000</v>
      </c>
      <c r="I799" s="2">
        <v>6.7</v>
      </c>
      <c r="J799" s="3">
        <v>2708188</v>
      </c>
      <c r="K799">
        <f t="shared" si="32"/>
        <v>1.3775047412552699E-3</v>
      </c>
      <c r="R799" s="12" t="str">
        <f ca="1">IFERROR(__xludf.DUMMYFUNCTION("""COMPUTED_VALUE"""),"Did You Hear About the Morgans? ")</f>
        <v>Did You Hear About the Morgans? </v>
      </c>
      <c r="S799" s="12">
        <f t="shared" si="33"/>
        <v>-11160617</v>
      </c>
    </row>
    <row r="800" spans="1:19" x14ac:dyDescent="0.3">
      <c r="A800" s="2" t="s">
        <v>231</v>
      </c>
      <c r="B800" s="2">
        <v>131</v>
      </c>
      <c r="C800" s="3">
        <v>80281096</v>
      </c>
      <c r="D800" s="3" t="s">
        <v>5785</v>
      </c>
      <c r="E800" s="2" t="s">
        <v>232</v>
      </c>
      <c r="F800" s="2" t="s">
        <v>10</v>
      </c>
      <c r="G800" s="2" t="s">
        <v>233</v>
      </c>
      <c r="H800" s="2">
        <v>150000000</v>
      </c>
      <c r="I800" s="2">
        <v>7.4</v>
      </c>
      <c r="J800" s="3">
        <v>2711210</v>
      </c>
      <c r="K800">
        <f t="shared" si="32"/>
        <v>1.3775047412552699E-3</v>
      </c>
      <c r="R800" s="12" t="str">
        <f ca="1">IFERROR(__xludf.DUMMYFUNCTION("""COMPUTED_VALUE"""),"The Internship ")</f>
        <v>The Internship </v>
      </c>
      <c r="S800" s="12">
        <f t="shared" si="33"/>
        <v>27852604</v>
      </c>
    </row>
    <row r="801" spans="1:19" x14ac:dyDescent="0.3">
      <c r="A801" s="2" t="s">
        <v>2565</v>
      </c>
      <c r="B801" s="2">
        <v>97</v>
      </c>
      <c r="C801" s="3">
        <v>159578352</v>
      </c>
      <c r="D801" s="3" t="s">
        <v>5773</v>
      </c>
      <c r="E801" s="2" t="s">
        <v>2566</v>
      </c>
      <c r="F801" s="2" t="s">
        <v>10</v>
      </c>
      <c r="G801" s="2" t="s">
        <v>11</v>
      </c>
      <c r="H801" s="2">
        <v>25000000</v>
      </c>
      <c r="I801" s="2">
        <v>5.5</v>
      </c>
      <c r="J801" s="3">
        <v>2712293</v>
      </c>
      <c r="K801">
        <f t="shared" si="32"/>
        <v>1.3775047412552699E-3</v>
      </c>
      <c r="R801" s="12" t="str">
        <f ca="1">IFERROR(__xludf.DUMMYFUNCTION("""COMPUTED_VALUE"""),"Resident Evil: Afterlife ")</f>
        <v>Resident Evil: Afterlife </v>
      </c>
      <c r="S801" s="12">
        <f t="shared" si="33"/>
        <v>35291815</v>
      </c>
    </row>
    <row r="802" spans="1:19" x14ac:dyDescent="0.3">
      <c r="A802" s="2" t="s">
        <v>795</v>
      </c>
      <c r="B802" s="2">
        <v>102</v>
      </c>
      <c r="C802" s="3">
        <v>20246959</v>
      </c>
      <c r="D802" s="3" t="s">
        <v>5849</v>
      </c>
      <c r="E802" s="2" t="s">
        <v>796</v>
      </c>
      <c r="F802" s="2" t="s">
        <v>10</v>
      </c>
      <c r="G802" s="2" t="s">
        <v>11</v>
      </c>
      <c r="H802" s="2">
        <v>75000000</v>
      </c>
      <c r="I802" s="2">
        <v>7.1</v>
      </c>
      <c r="J802" s="3">
        <v>2775593</v>
      </c>
      <c r="K802">
        <f t="shared" si="32"/>
        <v>1.3775047412552699E-3</v>
      </c>
      <c r="R802" s="12" t="str">
        <f ca="1">IFERROR(__xludf.DUMMYFUNCTION("""COMPUTED_VALUE"""),"Red Tails ")</f>
        <v>Red Tails </v>
      </c>
      <c r="S802" s="12">
        <f t="shared" si="33"/>
        <v>56688384</v>
      </c>
    </row>
    <row r="803" spans="1:19" x14ac:dyDescent="0.3">
      <c r="A803" s="2" t="s">
        <v>3845</v>
      </c>
      <c r="B803" s="2">
        <v>109</v>
      </c>
      <c r="C803" s="3">
        <v>87856565</v>
      </c>
      <c r="D803" s="3" t="s">
        <v>5891</v>
      </c>
      <c r="E803" s="2" t="s">
        <v>3846</v>
      </c>
      <c r="F803" s="2" t="s">
        <v>10</v>
      </c>
      <c r="G803" s="2" t="s">
        <v>16</v>
      </c>
      <c r="H803" s="2">
        <v>12000000</v>
      </c>
      <c r="I803" s="2">
        <v>7</v>
      </c>
      <c r="J803" s="3">
        <v>2800000</v>
      </c>
      <c r="K803">
        <f t="shared" si="32"/>
        <v>1.3775047412552699E-3</v>
      </c>
      <c r="R803" s="12" t="str">
        <f ca="1">IFERROR(__xludf.DUMMYFUNCTION("""COMPUTED_VALUE"""),"The Devil's Advocate ")</f>
        <v>The Devil's Advocate </v>
      </c>
      <c r="S803" s="12">
        <f t="shared" si="33"/>
        <v>-65511910</v>
      </c>
    </row>
    <row r="804" spans="1:19" x14ac:dyDescent="0.3">
      <c r="A804" s="2" t="s">
        <v>1617</v>
      </c>
      <c r="B804" s="2">
        <v>105</v>
      </c>
      <c r="C804" s="3">
        <v>50800000</v>
      </c>
      <c r="D804" s="3" t="s">
        <v>5857</v>
      </c>
      <c r="E804" s="2" t="s">
        <v>1694</v>
      </c>
      <c r="F804" s="2" t="s">
        <v>10</v>
      </c>
      <c r="G804" s="2" t="s">
        <v>11</v>
      </c>
      <c r="H804" s="2">
        <v>40000000</v>
      </c>
      <c r="I804" s="2">
        <v>7.1</v>
      </c>
      <c r="J804" s="3">
        <v>2807854</v>
      </c>
      <c r="K804">
        <f t="shared" si="32"/>
        <v>1.3775047412552699E-3</v>
      </c>
      <c r="R804" s="12" t="str">
        <f ca="1">IFERROR(__xludf.DUMMYFUNCTION("""COMPUTED_VALUE"""),"That's My Boy ")</f>
        <v>That's My Boy </v>
      </c>
      <c r="S804" s="12">
        <f t="shared" si="33"/>
        <v>-18329069</v>
      </c>
    </row>
    <row r="805" spans="1:19" x14ac:dyDescent="0.3">
      <c r="A805" s="2" t="s">
        <v>574</v>
      </c>
      <c r="B805" s="2">
        <v>113</v>
      </c>
      <c r="C805" s="3">
        <v>164435221</v>
      </c>
      <c r="D805" s="3" t="s">
        <v>5892</v>
      </c>
      <c r="E805" s="2" t="s">
        <v>575</v>
      </c>
      <c r="F805" s="2" t="s">
        <v>10</v>
      </c>
      <c r="G805" s="2" t="s">
        <v>11</v>
      </c>
      <c r="H805" s="2">
        <v>90000000</v>
      </c>
      <c r="I805" s="2">
        <v>5.5</v>
      </c>
      <c r="J805" s="3">
        <v>2808000</v>
      </c>
      <c r="K805">
        <f t="shared" si="32"/>
        <v>1.3775047412552699E-3</v>
      </c>
      <c r="R805" s="12" t="str">
        <f ca="1">IFERROR(__xludf.DUMMYFUNCTION("""COMPUTED_VALUE"""),"DragonHeart ")</f>
        <v>DragonHeart </v>
      </c>
      <c r="S805" s="12">
        <f t="shared" si="33"/>
        <v>129780960</v>
      </c>
    </row>
    <row r="806" spans="1:19" x14ac:dyDescent="0.3">
      <c r="A806" s="2" t="s">
        <v>1405</v>
      </c>
      <c r="B806" s="2">
        <v>119</v>
      </c>
      <c r="C806" s="3">
        <v>125603360</v>
      </c>
      <c r="D806" s="3" t="s">
        <v>6041</v>
      </c>
      <c r="E806" s="2" t="s">
        <v>1406</v>
      </c>
      <c r="F806" s="2" t="s">
        <v>10</v>
      </c>
      <c r="G806" s="2" t="s">
        <v>11</v>
      </c>
      <c r="H806" s="2">
        <v>50000000</v>
      </c>
      <c r="I806" s="2">
        <v>6.6</v>
      </c>
      <c r="J806" s="3">
        <v>2812029</v>
      </c>
      <c r="K806">
        <f t="shared" si="32"/>
        <v>1.3775047412552699E-3</v>
      </c>
      <c r="R806" s="12" t="str">
        <f ca="1">IFERROR(__xludf.DUMMYFUNCTION("""COMPUTED_VALUE"""),"After the Sunset ")</f>
        <v>After the Sunset </v>
      </c>
      <c r="S806" s="12">
        <f t="shared" si="33"/>
        <v>103078393</v>
      </c>
    </row>
    <row r="807" spans="1:19" x14ac:dyDescent="0.3">
      <c r="A807" s="2" t="s">
        <v>3295</v>
      </c>
      <c r="B807" s="2">
        <v>120</v>
      </c>
      <c r="C807" s="3">
        <v>50728000</v>
      </c>
      <c r="D807" s="3" t="s">
        <v>5797</v>
      </c>
      <c r="E807" s="2" t="s">
        <v>3296</v>
      </c>
      <c r="F807" s="2" t="s">
        <v>10</v>
      </c>
      <c r="G807" s="2" t="s">
        <v>16</v>
      </c>
      <c r="H807" s="2">
        <v>16500000</v>
      </c>
      <c r="I807" s="2">
        <v>7.1</v>
      </c>
      <c r="J807" s="3">
        <v>2832826</v>
      </c>
      <c r="K807">
        <f t="shared" si="32"/>
        <v>1.3775047412552699E-3</v>
      </c>
      <c r="R807" s="12" t="str">
        <f ca="1">IFERROR(__xludf.DUMMYFUNCTION("""COMPUTED_VALUE"""),"Ghost Rider: Spirit of Vengeance ")</f>
        <v>Ghost Rider: Spirit of Vengeance </v>
      </c>
      <c r="S807" s="12">
        <f t="shared" si="33"/>
        <v>-19951668</v>
      </c>
    </row>
    <row r="808" spans="1:19" x14ac:dyDescent="0.3">
      <c r="A808" s="2" t="s">
        <v>3545</v>
      </c>
      <c r="B808" s="2">
        <v>94</v>
      </c>
      <c r="C808" s="3">
        <v>124870275</v>
      </c>
      <c r="D808" s="3" t="s">
        <v>351</v>
      </c>
      <c r="E808" s="2" t="s">
        <v>4690</v>
      </c>
      <c r="F808" s="2" t="s">
        <v>10</v>
      </c>
      <c r="G808" s="2" t="s">
        <v>932</v>
      </c>
      <c r="H808" s="2">
        <v>5000000</v>
      </c>
      <c r="I808" s="2">
        <v>7.7</v>
      </c>
      <c r="J808" s="3">
        <v>2833383</v>
      </c>
      <c r="K808">
        <f t="shared" si="32"/>
        <v>1.3775047412552699E-3</v>
      </c>
      <c r="R808" s="12" t="str">
        <f ca="1">IFERROR(__xludf.DUMMYFUNCTION("""COMPUTED_VALUE"""),"Captain Corelli's Mandolin ")</f>
        <v>Captain Corelli's Mandolin </v>
      </c>
      <c r="S808" s="12">
        <f t="shared" si="33"/>
        <v>79700225</v>
      </c>
    </row>
    <row r="809" spans="1:19" x14ac:dyDescent="0.3">
      <c r="A809" s="2" t="s">
        <v>2793</v>
      </c>
      <c r="B809" s="2">
        <v>98</v>
      </c>
      <c r="C809" s="3">
        <v>48006503</v>
      </c>
      <c r="D809" s="3" t="s">
        <v>520</v>
      </c>
      <c r="E809" s="2" t="s">
        <v>2794</v>
      </c>
      <c r="F809" s="2" t="s">
        <v>10</v>
      </c>
      <c r="G809" s="2" t="s">
        <v>71</v>
      </c>
      <c r="H809" s="2">
        <v>22000000</v>
      </c>
      <c r="I809" s="2">
        <v>5.3</v>
      </c>
      <c r="J809" s="3">
        <v>2835886</v>
      </c>
      <c r="K809">
        <f t="shared" si="32"/>
        <v>1.3775047412552699E-3</v>
      </c>
      <c r="R809" s="12" t="str">
        <f ca="1">IFERROR(__xludf.DUMMYFUNCTION("""COMPUTED_VALUE"""),"The Pacifier ")</f>
        <v>The Pacifier </v>
      </c>
      <c r="S809" s="12">
        <f t="shared" si="33"/>
        <v>104020854</v>
      </c>
    </row>
    <row r="810" spans="1:19" x14ac:dyDescent="0.3">
      <c r="A810" s="2" t="s">
        <v>1272</v>
      </c>
      <c r="B810" s="2">
        <v>175</v>
      </c>
      <c r="C810" s="3">
        <v>27400000</v>
      </c>
      <c r="D810" s="3" t="s">
        <v>5778</v>
      </c>
      <c r="E810" s="2" t="s">
        <v>4352</v>
      </c>
      <c r="F810" s="2" t="s">
        <v>10</v>
      </c>
      <c r="G810" s="2" t="s">
        <v>11</v>
      </c>
      <c r="H810" s="2">
        <v>6000000</v>
      </c>
      <c r="I810" s="2">
        <v>9.1999999999999993</v>
      </c>
      <c r="J810" s="3">
        <v>2840417</v>
      </c>
      <c r="K810">
        <f t="shared" si="32"/>
        <v>1.3775047412552699E-3</v>
      </c>
      <c r="R810" s="12" t="str">
        <f ca="1">IFERROR(__xludf.DUMMYFUNCTION("""COMPUTED_VALUE"""),"Walking Tall ")</f>
        <v>Walking Tall </v>
      </c>
      <c r="S810" s="12">
        <f t="shared" si="33"/>
        <v>15035845</v>
      </c>
    </row>
    <row r="811" spans="1:19" x14ac:dyDescent="0.3">
      <c r="A811" s="2" t="s">
        <v>799</v>
      </c>
      <c r="B811" s="2">
        <v>123</v>
      </c>
      <c r="C811" s="3">
        <v>100768056</v>
      </c>
      <c r="D811" s="3" t="s">
        <v>5776</v>
      </c>
      <c r="E811" s="2" t="s">
        <v>4176</v>
      </c>
      <c r="F811" s="2" t="s">
        <v>10</v>
      </c>
      <c r="G811" s="2" t="s">
        <v>11</v>
      </c>
      <c r="H811" s="2">
        <v>9000000</v>
      </c>
      <c r="I811" s="2">
        <v>6.8</v>
      </c>
      <c r="J811" s="3">
        <v>2848578</v>
      </c>
      <c r="K811">
        <f t="shared" si="32"/>
        <v>1.3775047412552699E-3</v>
      </c>
      <c r="R811" s="12" t="str">
        <f ca="1">IFERROR(__xludf.DUMMYFUNCTION("""COMPUTED_VALUE"""),"Forrest Gump ")</f>
        <v>Forrest Gump </v>
      </c>
      <c r="S811" s="12">
        <f t="shared" si="33"/>
        <v>78022333</v>
      </c>
    </row>
    <row r="812" spans="1:19" x14ac:dyDescent="0.3">
      <c r="A812" s="2" t="s">
        <v>762</v>
      </c>
      <c r="B812" s="2">
        <v>99</v>
      </c>
      <c r="C812" s="3">
        <v>36833473</v>
      </c>
      <c r="D812" s="3" t="s">
        <v>5811</v>
      </c>
      <c r="E812" s="2" t="s">
        <v>1280</v>
      </c>
      <c r="F812" s="2" t="s">
        <v>10</v>
      </c>
      <c r="G812" s="2" t="s">
        <v>199</v>
      </c>
      <c r="H812" s="2">
        <v>46000000</v>
      </c>
      <c r="I812" s="2">
        <v>5.9</v>
      </c>
      <c r="J812" s="3">
        <v>2849142</v>
      </c>
      <c r="K812">
        <f t="shared" si="32"/>
        <v>1.3775047412552699E-3</v>
      </c>
      <c r="R812" s="12" t="str">
        <f ca="1">IFERROR(__xludf.DUMMYFUNCTION("""COMPUTED_VALUE"""),"Alvin and the Chipmunks ")</f>
        <v>Alvin and the Chipmunks </v>
      </c>
      <c r="S812" s="12">
        <f t="shared" si="33"/>
        <v>2895491</v>
      </c>
    </row>
    <row r="813" spans="1:19" x14ac:dyDescent="0.3">
      <c r="A813" s="2" t="s">
        <v>280</v>
      </c>
      <c r="B813" s="2">
        <v>112</v>
      </c>
      <c r="C813" s="3">
        <v>126930660</v>
      </c>
      <c r="D813" s="3" t="s">
        <v>6077</v>
      </c>
      <c r="E813" s="2" t="s">
        <v>3190</v>
      </c>
      <c r="F813" s="2" t="s">
        <v>10</v>
      </c>
      <c r="G813" s="2" t="s">
        <v>11</v>
      </c>
      <c r="H813" s="2">
        <v>18000000</v>
      </c>
      <c r="I813" s="2">
        <v>7.5</v>
      </c>
      <c r="J813" s="3">
        <v>2850263</v>
      </c>
      <c r="K813">
        <f t="shared" si="32"/>
        <v>1.3775047412552699E-3</v>
      </c>
      <c r="R813" s="12" t="str">
        <f ca="1">IFERROR(__xludf.DUMMYFUNCTION("""COMPUTED_VALUE"""),"Meet the Parents ")</f>
        <v>Meet the Parents </v>
      </c>
      <c r="S813" s="12">
        <f t="shared" si="33"/>
        <v>55724080</v>
      </c>
    </row>
    <row r="814" spans="1:19" x14ac:dyDescent="0.3">
      <c r="A814" s="2" t="s">
        <v>4330</v>
      </c>
      <c r="B814" s="2">
        <v>97</v>
      </c>
      <c r="C814" s="3">
        <v>193136719</v>
      </c>
      <c r="D814" s="3" t="s">
        <v>5753</v>
      </c>
      <c r="E814" s="2" t="s">
        <v>4331</v>
      </c>
      <c r="F814" s="2" t="s">
        <v>10</v>
      </c>
      <c r="G814" s="2" t="s">
        <v>11</v>
      </c>
      <c r="H814" s="2">
        <v>7500000</v>
      </c>
      <c r="I814" s="2">
        <v>3.1</v>
      </c>
      <c r="J814" s="3">
        <v>2856622</v>
      </c>
      <c r="K814">
        <f t="shared" si="32"/>
        <v>1.3775047412552699E-3</v>
      </c>
      <c r="R814" s="12" t="str">
        <f ca="1">IFERROR(__xludf.DUMMYFUNCTION("""COMPUTED_VALUE"""),"Pocahontas ")</f>
        <v>Pocahontas </v>
      </c>
      <c r="S814" s="12">
        <f t="shared" si="33"/>
        <v>18416702</v>
      </c>
    </row>
    <row r="815" spans="1:19" x14ac:dyDescent="0.3">
      <c r="A815" s="2" t="s">
        <v>5002</v>
      </c>
      <c r="B815" s="2">
        <v>87</v>
      </c>
      <c r="C815" s="3">
        <v>125548685</v>
      </c>
      <c r="D815" s="3" t="s">
        <v>5785</v>
      </c>
      <c r="E815" s="2" t="s">
        <v>5003</v>
      </c>
      <c r="F815" s="2" t="s">
        <v>10</v>
      </c>
      <c r="G815" s="2" t="s">
        <v>11</v>
      </c>
      <c r="H815" s="2">
        <v>2500000</v>
      </c>
      <c r="I815" s="2">
        <v>5.0999999999999996</v>
      </c>
      <c r="J815" s="3">
        <v>2859955</v>
      </c>
      <c r="K815">
        <f t="shared" si="32"/>
        <v>1.3775047412552699E-3</v>
      </c>
      <c r="R815" s="12" t="str">
        <f ca="1">IFERROR(__xludf.DUMMYFUNCTION("""COMPUTED_VALUE"""),"Superman ")</f>
        <v>Superman </v>
      </c>
      <c r="S815" s="12">
        <f t="shared" si="33"/>
        <v>118144183</v>
      </c>
    </row>
    <row r="816" spans="1:19" x14ac:dyDescent="0.3">
      <c r="A816" s="2" t="s">
        <v>1288</v>
      </c>
      <c r="B816" s="2">
        <v>93</v>
      </c>
      <c r="C816" s="3">
        <v>11883495</v>
      </c>
      <c r="D816" s="3" t="s">
        <v>5752</v>
      </c>
      <c r="E816" s="2" t="s">
        <v>1404</v>
      </c>
      <c r="F816" s="2" t="s">
        <v>10</v>
      </c>
      <c r="G816" s="2" t="s">
        <v>11</v>
      </c>
      <c r="H816" s="2">
        <v>50000000</v>
      </c>
      <c r="I816" s="2">
        <v>3.5</v>
      </c>
      <c r="J816" s="3">
        <v>2869369</v>
      </c>
      <c r="K816">
        <f t="shared" si="32"/>
        <v>1.3775047412552699E-3</v>
      </c>
      <c r="R816" s="12" t="str">
        <f ca="1">IFERROR(__xludf.DUMMYFUNCTION("""COMPUTED_VALUE"""),"The Nutty Professor ")</f>
        <v>The Nutty Professor </v>
      </c>
      <c r="S816" s="12">
        <f t="shared" si="33"/>
        <v>85332737</v>
      </c>
    </row>
    <row r="817" spans="1:19" x14ac:dyDescent="0.3">
      <c r="A817" s="2" t="s">
        <v>1643</v>
      </c>
      <c r="B817" s="2">
        <v>107</v>
      </c>
      <c r="C817" s="3">
        <v>181395380</v>
      </c>
      <c r="D817" s="3" t="s">
        <v>5779</v>
      </c>
      <c r="E817" s="2" t="s">
        <v>2112</v>
      </c>
      <c r="F817" s="2" t="s">
        <v>10</v>
      </c>
      <c r="G817" s="2" t="s">
        <v>11</v>
      </c>
      <c r="H817" s="2">
        <v>32000000</v>
      </c>
      <c r="I817" s="2">
        <v>6.7</v>
      </c>
      <c r="J817" s="3">
        <v>2882062</v>
      </c>
      <c r="K817">
        <f t="shared" si="32"/>
        <v>1.3775047412552699E-3</v>
      </c>
      <c r="R817" s="12" t="str">
        <f ca="1">IFERROR(__xludf.DUMMYFUNCTION("""COMPUTED_VALUE"""),"Hitch ")</f>
        <v>Hitch </v>
      </c>
      <c r="S817" s="12">
        <f t="shared" si="33"/>
        <v>54011847</v>
      </c>
    </row>
    <row r="818" spans="1:19" x14ac:dyDescent="0.3">
      <c r="A818" s="2" t="s">
        <v>965</v>
      </c>
      <c r="B818" s="2">
        <v>116</v>
      </c>
      <c r="C818" s="3">
        <v>87704396</v>
      </c>
      <c r="D818" s="3" t="s">
        <v>6045</v>
      </c>
      <c r="E818" s="2" t="s">
        <v>2508</v>
      </c>
      <c r="F818" s="2" t="s">
        <v>10</v>
      </c>
      <c r="G818" s="2" t="s">
        <v>11</v>
      </c>
      <c r="H818" s="2">
        <v>33000000</v>
      </c>
      <c r="I818" s="2">
        <v>8.1999999999999993</v>
      </c>
      <c r="J818" s="3">
        <v>2892582</v>
      </c>
      <c r="K818">
        <f t="shared" si="32"/>
        <v>1.3775047412552699E-3</v>
      </c>
      <c r="R818" s="12" t="str">
        <f ca="1">IFERROR(__xludf.DUMMYFUNCTION("""COMPUTED_VALUE"""),"George of the Jungle ")</f>
        <v>George of the Jungle </v>
      </c>
      <c r="S818" s="12">
        <f t="shared" si="33"/>
        <v>63625922</v>
      </c>
    </row>
    <row r="819" spans="1:19" x14ac:dyDescent="0.3">
      <c r="A819" s="2" t="s">
        <v>126</v>
      </c>
      <c r="B819" s="2">
        <v>124</v>
      </c>
      <c r="C819" s="3">
        <v>16118077</v>
      </c>
      <c r="D819" s="3" t="s">
        <v>6078</v>
      </c>
      <c r="E819" s="2" t="s">
        <v>145</v>
      </c>
      <c r="F819" s="2" t="s">
        <v>10</v>
      </c>
      <c r="G819" s="2" t="s">
        <v>11</v>
      </c>
      <c r="H819" s="2">
        <v>200000000</v>
      </c>
      <c r="I819" s="2">
        <v>7</v>
      </c>
      <c r="J819" s="3">
        <v>2899970</v>
      </c>
      <c r="K819">
        <f t="shared" si="32"/>
        <v>1.3775047412552699E-3</v>
      </c>
      <c r="R819" s="12" t="str">
        <f ca="1">IFERROR(__xludf.DUMMYFUNCTION("""COMPUTED_VALUE"""),"American Wedding ")</f>
        <v>American Wedding </v>
      </c>
      <c r="S819" s="12">
        <f t="shared" si="33"/>
        <v>106795350</v>
      </c>
    </row>
    <row r="820" spans="1:19" x14ac:dyDescent="0.3">
      <c r="A820" s="2" t="s">
        <v>1443</v>
      </c>
      <c r="B820" s="2">
        <v>115</v>
      </c>
      <c r="C820" s="3">
        <v>100448498</v>
      </c>
      <c r="D820" s="3" t="s">
        <v>5999</v>
      </c>
      <c r="E820" s="2" t="s">
        <v>1444</v>
      </c>
      <c r="F820" s="2" t="s">
        <v>10</v>
      </c>
      <c r="G820" s="2" t="s">
        <v>11</v>
      </c>
      <c r="H820" s="2">
        <v>50000000</v>
      </c>
      <c r="I820" s="2">
        <v>6.2</v>
      </c>
      <c r="J820" s="3">
        <v>2912363</v>
      </c>
      <c r="K820">
        <f t="shared" si="32"/>
        <v>1.3775047412552699E-3</v>
      </c>
      <c r="R820" s="12" t="str">
        <f ca="1">IFERROR(__xludf.DUMMYFUNCTION("""COMPUTED_VALUE"""),"Captain Phillips ")</f>
        <v>Captain Phillips </v>
      </c>
      <c r="S820" s="12">
        <f t="shared" si="33"/>
        <v>56030827</v>
      </c>
    </row>
    <row r="821" spans="1:19" x14ac:dyDescent="0.3">
      <c r="A821" s="2" t="s">
        <v>632</v>
      </c>
      <c r="B821" s="2">
        <v>109</v>
      </c>
      <c r="C821" s="3">
        <v>66468315</v>
      </c>
      <c r="D821" s="3" t="s">
        <v>6079</v>
      </c>
      <c r="E821" s="2" t="s">
        <v>850</v>
      </c>
      <c r="F821" s="2" t="s">
        <v>10</v>
      </c>
      <c r="G821" s="2" t="s">
        <v>504</v>
      </c>
      <c r="H821" s="2">
        <v>59660000</v>
      </c>
      <c r="I821" s="2">
        <v>7.1</v>
      </c>
      <c r="J821" s="3">
        <v>2921738</v>
      </c>
      <c r="K821">
        <f t="shared" si="32"/>
        <v>1.3775047412552699E-3</v>
      </c>
      <c r="R821" s="12" t="str">
        <f ca="1">IFERROR(__xludf.DUMMYFUNCTION("""COMPUTED_VALUE"""),"Date Night ")</f>
        <v>Date Night </v>
      </c>
      <c r="S821" s="12">
        <f t="shared" si="33"/>
        <v>-9136085</v>
      </c>
    </row>
    <row r="822" spans="1:19" x14ac:dyDescent="0.3">
      <c r="A822" s="2" t="s">
        <v>5677</v>
      </c>
      <c r="B822" s="2">
        <v>77</v>
      </c>
      <c r="C822" s="3">
        <v>93749203</v>
      </c>
      <c r="D822" s="3" t="s">
        <v>5805</v>
      </c>
      <c r="E822" s="2" t="s">
        <v>5678</v>
      </c>
      <c r="F822" s="2" t="s">
        <v>10</v>
      </c>
      <c r="G822" s="2" t="s">
        <v>11</v>
      </c>
      <c r="H822" s="3">
        <v>474544677</v>
      </c>
      <c r="I822" s="2">
        <v>7.6</v>
      </c>
      <c r="J822" s="3">
        <v>2926565</v>
      </c>
      <c r="K822">
        <f t="shared" si="32"/>
        <v>1.3775047412552699E-3</v>
      </c>
      <c r="R822" s="12" t="str">
        <f ca="1">IFERROR(__xludf.DUMMYFUNCTION("""COMPUTED_VALUE"""),"Casper ")</f>
        <v>Casper </v>
      </c>
      <c r="S822" s="12">
        <f t="shared" si="33"/>
        <v>-69718904</v>
      </c>
    </row>
    <row r="823" spans="1:19" x14ac:dyDescent="0.3">
      <c r="A823" s="2" t="s">
        <v>5069</v>
      </c>
      <c r="B823" s="2">
        <v>111</v>
      </c>
      <c r="C823" s="3">
        <v>161087183</v>
      </c>
      <c r="D823" s="3" t="s">
        <v>5890</v>
      </c>
      <c r="E823" s="2" t="s">
        <v>5666</v>
      </c>
      <c r="F823" s="2" t="s">
        <v>10</v>
      </c>
      <c r="G823" s="2" t="s">
        <v>11</v>
      </c>
      <c r="H823" s="2">
        <v>7830000</v>
      </c>
      <c r="I823" s="2">
        <v>6.7</v>
      </c>
      <c r="J823" s="3">
        <v>2938208</v>
      </c>
      <c r="K823">
        <f t="shared" si="32"/>
        <v>1.3775047412552699E-3</v>
      </c>
      <c r="R823" s="12" t="str">
        <f ca="1">IFERROR(__xludf.DUMMYFUNCTION("""COMPUTED_VALUE"""),"The Equalizer ")</f>
        <v>The Equalizer </v>
      </c>
      <c r="S823" s="12">
        <f t="shared" si="33"/>
        <v>134578352</v>
      </c>
    </row>
    <row r="824" spans="1:19" x14ac:dyDescent="0.3">
      <c r="A824" s="2" t="s">
        <v>3963</v>
      </c>
      <c r="B824" s="2">
        <v>109</v>
      </c>
      <c r="C824" s="3">
        <v>13264986</v>
      </c>
      <c r="D824" s="3" t="s">
        <v>5778</v>
      </c>
      <c r="E824" s="2" t="s">
        <v>3964</v>
      </c>
      <c r="F824" s="2" t="s">
        <v>10</v>
      </c>
      <c r="G824" s="2" t="s">
        <v>504</v>
      </c>
      <c r="H824" s="2">
        <v>10000000</v>
      </c>
      <c r="I824" s="2">
        <v>6.1</v>
      </c>
      <c r="J824" s="3">
        <v>2954405</v>
      </c>
      <c r="K824">
        <f t="shared" si="32"/>
        <v>1.3775047412552699E-3</v>
      </c>
      <c r="R824" s="12" t="str">
        <f ca="1">IFERROR(__xludf.DUMMYFUNCTION("""COMPUTED_VALUE"""),"Maid in Manhattan ")</f>
        <v>Maid in Manhattan </v>
      </c>
      <c r="S824" s="12">
        <f t="shared" si="33"/>
        <v>-54753041</v>
      </c>
    </row>
    <row r="825" spans="1:19" x14ac:dyDescent="0.3">
      <c r="A825" s="2" t="s">
        <v>3732</v>
      </c>
      <c r="B825" s="2">
        <v>115</v>
      </c>
      <c r="C825" s="3">
        <v>58328680</v>
      </c>
      <c r="D825" s="3" t="s">
        <v>6041</v>
      </c>
      <c r="E825" s="2" t="s">
        <v>3733</v>
      </c>
      <c r="F825" s="2" t="s">
        <v>10</v>
      </c>
      <c r="G825" s="2" t="s">
        <v>1840</v>
      </c>
      <c r="H825" s="2">
        <v>12620000</v>
      </c>
      <c r="I825" s="2">
        <v>6.8</v>
      </c>
      <c r="J825" s="3">
        <v>2955039</v>
      </c>
      <c r="K825">
        <f t="shared" si="32"/>
        <v>1.3775047412552699E-3</v>
      </c>
      <c r="R825" s="12" t="str">
        <f ca="1">IFERROR(__xludf.DUMMYFUNCTION("""COMPUTED_VALUE"""),"Crimson Tide ")</f>
        <v>Crimson Tide </v>
      </c>
      <c r="S825" s="12">
        <f t="shared" si="33"/>
        <v>75856565</v>
      </c>
    </row>
    <row r="826" spans="1:19" x14ac:dyDescent="0.3">
      <c r="A826" s="2" t="s">
        <v>1365</v>
      </c>
      <c r="B826" s="2">
        <v>113</v>
      </c>
      <c r="C826" s="3">
        <v>90800000</v>
      </c>
      <c r="D826" s="3" t="s">
        <v>520</v>
      </c>
      <c r="E826" s="2" t="s">
        <v>1366</v>
      </c>
      <c r="F826" s="2" t="s">
        <v>10</v>
      </c>
      <c r="G826" s="2" t="s">
        <v>11</v>
      </c>
      <c r="H826" s="2">
        <v>50000000</v>
      </c>
      <c r="I826" s="2">
        <v>6.3</v>
      </c>
      <c r="J826" s="3">
        <v>2956000</v>
      </c>
      <c r="K826">
        <f t="shared" si="32"/>
        <v>1.3775047412552699E-3</v>
      </c>
      <c r="R826" s="12" t="str">
        <f ca="1">IFERROR(__xludf.DUMMYFUNCTION("""COMPUTED_VALUE"""),"The Pursuit of Happyness ")</f>
        <v>The Pursuit of Happyness </v>
      </c>
      <c r="S826" s="12">
        <f t="shared" si="33"/>
        <v>10800000</v>
      </c>
    </row>
    <row r="827" spans="1:19" x14ac:dyDescent="0.3">
      <c r="A827" s="2" t="s">
        <v>67</v>
      </c>
      <c r="B827" s="2">
        <v>113</v>
      </c>
      <c r="C827" s="3">
        <v>115000000</v>
      </c>
      <c r="D827" s="3" t="s">
        <v>6035</v>
      </c>
      <c r="E827" s="2" t="s">
        <v>230</v>
      </c>
      <c r="F827" s="2" t="s">
        <v>10</v>
      </c>
      <c r="G827" s="2" t="s">
        <v>11</v>
      </c>
      <c r="H827" s="2">
        <v>100000000</v>
      </c>
      <c r="I827" s="2">
        <v>6.2</v>
      </c>
      <c r="J827" s="3">
        <v>2957978</v>
      </c>
      <c r="K827">
        <f t="shared" si="32"/>
        <v>1.3775047412552699E-3</v>
      </c>
      <c r="R827" s="12" t="str">
        <f ca="1">IFERROR(__xludf.DUMMYFUNCTION("""COMPUTED_VALUE"""),"Flightplan ")</f>
        <v>Flightplan </v>
      </c>
      <c r="S827" s="12">
        <f t="shared" si="33"/>
        <v>74435221</v>
      </c>
    </row>
    <row r="828" spans="1:19" x14ac:dyDescent="0.3">
      <c r="A828" s="2" t="s">
        <v>43</v>
      </c>
      <c r="B828" s="2">
        <v>105</v>
      </c>
      <c r="C828" s="3">
        <v>100446895</v>
      </c>
      <c r="D828" s="3" t="s">
        <v>5779</v>
      </c>
      <c r="E828" s="2" t="s">
        <v>2160</v>
      </c>
      <c r="F828" s="2" t="s">
        <v>10</v>
      </c>
      <c r="G828" s="2" t="s">
        <v>11</v>
      </c>
      <c r="H828" s="2">
        <v>30250000</v>
      </c>
      <c r="I828" s="2">
        <v>6.9</v>
      </c>
      <c r="J828" s="3">
        <v>2961991</v>
      </c>
      <c r="K828">
        <f t="shared" si="32"/>
        <v>1.3775047412552699E-3</v>
      </c>
      <c r="R828" s="12" t="str">
        <f ca="1">IFERROR(__xludf.DUMMYFUNCTION("""COMPUTED_VALUE"""),"Disclosure ")</f>
        <v>Disclosure </v>
      </c>
      <c r="S828" s="12">
        <f t="shared" si="33"/>
        <v>75603360</v>
      </c>
    </row>
    <row r="829" spans="1:19" x14ac:dyDescent="0.3">
      <c r="A829" s="2" t="s">
        <v>4641</v>
      </c>
      <c r="B829" s="2">
        <v>93</v>
      </c>
      <c r="C829" s="3">
        <v>26830000</v>
      </c>
      <c r="D829" s="3" t="s">
        <v>5913</v>
      </c>
      <c r="E829" s="2" t="s">
        <v>4642</v>
      </c>
      <c r="F829" s="2" t="s">
        <v>10</v>
      </c>
      <c r="G829" s="2" t="s">
        <v>11</v>
      </c>
      <c r="H829" s="2">
        <v>5000000</v>
      </c>
      <c r="I829" s="2">
        <v>4.9000000000000004</v>
      </c>
      <c r="J829" s="3">
        <v>2963012</v>
      </c>
      <c r="K829">
        <f t="shared" si="32"/>
        <v>1.3775047412552699E-3</v>
      </c>
      <c r="R829" s="12" t="str">
        <f ca="1">IFERROR(__xludf.DUMMYFUNCTION("""COMPUTED_VALUE"""),"City of Angels ")</f>
        <v>City of Angels </v>
      </c>
      <c r="S829" s="12">
        <f t="shared" si="33"/>
        <v>34228000</v>
      </c>
    </row>
    <row r="830" spans="1:19" x14ac:dyDescent="0.3">
      <c r="A830" s="2" t="s">
        <v>965</v>
      </c>
      <c r="B830" s="2">
        <v>130</v>
      </c>
      <c r="C830" s="3">
        <v>18821279</v>
      </c>
      <c r="D830" s="3" t="s">
        <v>5846</v>
      </c>
      <c r="E830" s="2" t="s">
        <v>966</v>
      </c>
      <c r="F830" s="2" t="s">
        <v>10</v>
      </c>
      <c r="G830" s="2" t="s">
        <v>11</v>
      </c>
      <c r="H830" s="2">
        <v>65000000</v>
      </c>
      <c r="I830" s="2">
        <v>6.4</v>
      </c>
      <c r="J830" s="3">
        <v>2975649</v>
      </c>
      <c r="K830">
        <f t="shared" si="32"/>
        <v>1.3775047412552699E-3</v>
      </c>
      <c r="R830" s="12" t="str">
        <f ca="1">IFERROR(__xludf.DUMMYFUNCTION("""COMPUTED_VALUE"""),"Kill Bill: Vol. 1 ")</f>
        <v>Kill Bill: Vol. 1 </v>
      </c>
      <c r="S830" s="12">
        <f t="shared" si="33"/>
        <v>119870275</v>
      </c>
    </row>
    <row r="831" spans="1:19" x14ac:dyDescent="0.3">
      <c r="A831" s="2" t="s">
        <v>2345</v>
      </c>
      <c r="B831" s="2">
        <v>87</v>
      </c>
      <c r="C831" s="3">
        <v>100468793</v>
      </c>
      <c r="D831" s="3" t="s">
        <v>6080</v>
      </c>
      <c r="E831" s="2" t="s">
        <v>2346</v>
      </c>
      <c r="F831" s="2" t="s">
        <v>10</v>
      </c>
      <c r="G831" s="2" t="s">
        <v>11</v>
      </c>
      <c r="H831" s="2">
        <v>21000000</v>
      </c>
      <c r="I831" s="2">
        <v>4.8</v>
      </c>
      <c r="J831" s="3">
        <v>3000000</v>
      </c>
      <c r="K831">
        <f t="shared" si="32"/>
        <v>1.3775047412552699E-3</v>
      </c>
      <c r="R831" s="12" t="str">
        <f ca="1">IFERROR(__xludf.DUMMYFUNCTION("""COMPUTED_VALUE"""),"Bowfinger ")</f>
        <v>Bowfinger </v>
      </c>
      <c r="S831" s="12">
        <f t="shared" si="33"/>
        <v>26006503</v>
      </c>
    </row>
    <row r="832" spans="1:19" x14ac:dyDescent="0.3">
      <c r="A832" s="2" t="s">
        <v>1191</v>
      </c>
      <c r="B832" s="2">
        <v>124</v>
      </c>
      <c r="C832" s="3">
        <v>145000989</v>
      </c>
      <c r="D832" s="3" t="s">
        <v>6081</v>
      </c>
      <c r="E832" s="2" t="s">
        <v>3977</v>
      </c>
      <c r="F832" s="2" t="s">
        <v>10</v>
      </c>
      <c r="G832" s="2" t="s">
        <v>16</v>
      </c>
      <c r="H832" s="2">
        <v>10000000</v>
      </c>
      <c r="I832" s="2">
        <v>7.3</v>
      </c>
      <c r="J832" s="3">
        <v>3000000</v>
      </c>
      <c r="K832">
        <f t="shared" si="32"/>
        <v>1.3775047412552699E-3</v>
      </c>
      <c r="R832" s="12" t="str">
        <f ca="1">IFERROR(__xludf.DUMMYFUNCTION("""COMPUTED_VALUE"""),"Kill Bill: Vol. 2 ")</f>
        <v>Kill Bill: Vol. 2 </v>
      </c>
      <c r="S832" s="12">
        <f t="shared" si="33"/>
        <v>21400000</v>
      </c>
    </row>
    <row r="833" spans="1:19" x14ac:dyDescent="0.3">
      <c r="A833" s="2" t="s">
        <v>632</v>
      </c>
      <c r="B833" s="2">
        <v>136</v>
      </c>
      <c r="C833" s="3">
        <v>64172251</v>
      </c>
      <c r="D833" s="3" t="s">
        <v>5992</v>
      </c>
      <c r="E833" s="2" t="s">
        <v>891</v>
      </c>
      <c r="F833" s="2" t="s">
        <v>10</v>
      </c>
      <c r="G833" s="2" t="s">
        <v>11</v>
      </c>
      <c r="H833" s="2">
        <v>70000000</v>
      </c>
      <c r="I833" s="2">
        <v>7</v>
      </c>
      <c r="J833" s="3">
        <v>3014541</v>
      </c>
      <c r="K833">
        <f t="shared" si="32"/>
        <v>1.3775047412552699E-3</v>
      </c>
      <c r="R833" s="12" t="str">
        <f ca="1">IFERROR(__xludf.DUMMYFUNCTION("""COMPUTED_VALUE"""),"Tango &amp; Cash ")</f>
        <v>Tango &amp; Cash </v>
      </c>
      <c r="S833" s="12">
        <f t="shared" si="33"/>
        <v>91768056</v>
      </c>
    </row>
    <row r="834" spans="1:19" x14ac:dyDescent="0.3">
      <c r="A834" s="2" t="s">
        <v>4525</v>
      </c>
      <c r="B834" s="2">
        <v>96</v>
      </c>
      <c r="C834" s="3">
        <v>72219395</v>
      </c>
      <c r="D834" s="3" t="s">
        <v>5795</v>
      </c>
      <c r="E834" s="2" t="s">
        <v>4526</v>
      </c>
      <c r="F834" s="2" t="s">
        <v>10</v>
      </c>
      <c r="G834" s="2" t="s">
        <v>199</v>
      </c>
      <c r="H834" s="2">
        <v>6000000</v>
      </c>
      <c r="I834" s="2">
        <v>5.3</v>
      </c>
      <c r="J834" s="3">
        <v>3029081</v>
      </c>
      <c r="K834">
        <f t="shared" ref="K834:K897" si="34">CORREL(H$2:H$3941,J$2:J$3941)</f>
        <v>1.3775047412552699E-3</v>
      </c>
      <c r="R834" s="12" t="str">
        <f ca="1">IFERROR(__xludf.DUMMYFUNCTION("""COMPUTED_VALUE"""),"Death Becomes Her ")</f>
        <v>Death Becomes Her </v>
      </c>
      <c r="S834" s="12">
        <f t="shared" si="33"/>
        <v>-9166527</v>
      </c>
    </row>
    <row r="835" spans="1:19" x14ac:dyDescent="0.3">
      <c r="A835" s="2" t="s">
        <v>228</v>
      </c>
      <c r="B835" s="2">
        <v>83</v>
      </c>
      <c r="C835" s="3">
        <v>57262492</v>
      </c>
      <c r="D835" s="3" t="s">
        <v>5898</v>
      </c>
      <c r="E835" s="2" t="s">
        <v>3312</v>
      </c>
      <c r="F835" s="2" t="s">
        <v>10</v>
      </c>
      <c r="G835" s="2" t="s">
        <v>11</v>
      </c>
      <c r="H835" s="2">
        <v>16000000</v>
      </c>
      <c r="I835" s="2">
        <v>5.9</v>
      </c>
      <c r="J835" s="3">
        <v>3029870</v>
      </c>
      <c r="K835">
        <f t="shared" si="34"/>
        <v>1.3775047412552699E-3</v>
      </c>
      <c r="R835" s="12" t="str">
        <f ca="1">IFERROR(__xludf.DUMMYFUNCTION("""COMPUTED_VALUE"""),"Shanghai Noon ")</f>
        <v>Shanghai Noon </v>
      </c>
      <c r="S835" s="12">
        <f t="shared" si="33"/>
        <v>108930660</v>
      </c>
    </row>
    <row r="836" spans="1:19" x14ac:dyDescent="0.3">
      <c r="A836" s="2" t="s">
        <v>1604</v>
      </c>
      <c r="B836" s="2">
        <v>104</v>
      </c>
      <c r="C836" s="3">
        <v>50693162</v>
      </c>
      <c r="D836" s="3" t="s">
        <v>5754</v>
      </c>
      <c r="E836" s="2" t="s">
        <v>5009</v>
      </c>
      <c r="F836" s="2" t="s">
        <v>10</v>
      </c>
      <c r="G836" s="2" t="s">
        <v>11</v>
      </c>
      <c r="H836" s="2">
        <v>2500000</v>
      </c>
      <c r="I836" s="2">
        <v>7.1</v>
      </c>
      <c r="J836" s="3">
        <v>3034181</v>
      </c>
      <c r="K836">
        <f t="shared" si="34"/>
        <v>1.3775047412552699E-3</v>
      </c>
      <c r="R836" s="12" t="str">
        <f ca="1">IFERROR(__xludf.DUMMYFUNCTION("""COMPUTED_VALUE"""),"Executive Decision ")</f>
        <v>Executive Decision </v>
      </c>
      <c r="S836" s="12">
        <f t="shared" si="33"/>
        <v>185636719</v>
      </c>
    </row>
    <row r="837" spans="1:19" x14ac:dyDescent="0.3">
      <c r="A837" s="2" t="s">
        <v>104</v>
      </c>
      <c r="B837" s="2">
        <v>120</v>
      </c>
      <c r="C837" s="3">
        <v>55153403</v>
      </c>
      <c r="D837" s="3" t="s">
        <v>6082</v>
      </c>
      <c r="E837" s="2" t="s">
        <v>3951</v>
      </c>
      <c r="F837" s="2" t="s">
        <v>10</v>
      </c>
      <c r="G837" s="2" t="s">
        <v>11</v>
      </c>
      <c r="H837" s="2">
        <v>10500000</v>
      </c>
      <c r="I837" s="2">
        <v>7.9</v>
      </c>
      <c r="J837" s="3">
        <v>3041803</v>
      </c>
      <c r="K837">
        <f t="shared" si="34"/>
        <v>1.3775047412552699E-3</v>
      </c>
      <c r="R837" s="12" t="str">
        <f ca="1">IFERROR(__xludf.DUMMYFUNCTION("""COMPUTED_VALUE"""),"Mr. Popper's Penguins ")</f>
        <v>Mr. Popper's Penguins </v>
      </c>
      <c r="S837" s="12">
        <f t="shared" si="33"/>
        <v>123048685</v>
      </c>
    </row>
    <row r="838" spans="1:19" x14ac:dyDescent="0.3">
      <c r="A838" s="2" t="s">
        <v>623</v>
      </c>
      <c r="B838" s="2">
        <v>120</v>
      </c>
      <c r="C838" s="3">
        <v>57300000</v>
      </c>
      <c r="D838" s="3" t="s">
        <v>6083</v>
      </c>
      <c r="E838" s="2" t="s">
        <v>626</v>
      </c>
      <c r="F838" s="2" t="s">
        <v>10</v>
      </c>
      <c r="G838" s="2" t="s">
        <v>11</v>
      </c>
      <c r="H838" s="2">
        <v>85000000</v>
      </c>
      <c r="I838" s="2">
        <v>6.6</v>
      </c>
      <c r="J838" s="3">
        <v>3047539</v>
      </c>
      <c r="K838">
        <f t="shared" si="34"/>
        <v>1.3775047412552699E-3</v>
      </c>
      <c r="R838" s="12" t="str">
        <f ca="1">IFERROR(__xludf.DUMMYFUNCTION("""COMPUTED_VALUE"""),"The Forbidden Kingdom ")</f>
        <v>The Forbidden Kingdom </v>
      </c>
      <c r="S838" s="12">
        <f t="shared" si="33"/>
        <v>-38116505</v>
      </c>
    </row>
    <row r="839" spans="1:19" x14ac:dyDescent="0.3">
      <c r="A839" s="2" t="s">
        <v>574</v>
      </c>
      <c r="B839" s="2">
        <v>75</v>
      </c>
      <c r="C839" s="3">
        <v>80270227</v>
      </c>
      <c r="D839" s="3" t="s">
        <v>5974</v>
      </c>
      <c r="E839" s="2" t="s">
        <v>1974</v>
      </c>
      <c r="F839" s="2" t="s">
        <v>10</v>
      </c>
      <c r="G839" s="2" t="s">
        <v>11</v>
      </c>
      <c r="H839" s="2">
        <v>33000000</v>
      </c>
      <c r="I839" s="2">
        <v>5.6</v>
      </c>
      <c r="J839" s="3">
        <v>3049135</v>
      </c>
      <c r="K839">
        <f t="shared" si="34"/>
        <v>1.3775047412552699E-3</v>
      </c>
      <c r="R839" s="12" t="str">
        <f ca="1">IFERROR(__xludf.DUMMYFUNCTION("""COMPUTED_VALUE"""),"Free Birds ")</f>
        <v>Free Birds </v>
      </c>
      <c r="S839" s="12">
        <f t="shared" si="33"/>
        <v>149395380</v>
      </c>
    </row>
    <row r="840" spans="1:19" x14ac:dyDescent="0.3">
      <c r="A840" s="2" t="s">
        <v>5090</v>
      </c>
      <c r="B840" s="2">
        <v>90</v>
      </c>
      <c r="C840" s="3">
        <v>115802596</v>
      </c>
      <c r="D840" s="3" t="s">
        <v>6084</v>
      </c>
      <c r="E840" s="2" t="s">
        <v>5091</v>
      </c>
      <c r="F840" s="2" t="s">
        <v>5092</v>
      </c>
      <c r="G840" s="2" t="s">
        <v>5093</v>
      </c>
      <c r="H840" s="2">
        <v>1500000</v>
      </c>
      <c r="I840" s="2">
        <v>8</v>
      </c>
      <c r="J840" s="3">
        <v>3050934</v>
      </c>
      <c r="K840">
        <f t="shared" si="34"/>
        <v>1.3775047412552699E-3</v>
      </c>
      <c r="R840" s="12" t="str">
        <f ca="1">IFERROR(__xludf.DUMMYFUNCTION("""COMPUTED_VALUE"""),"Alien 3 ")</f>
        <v>Alien 3 </v>
      </c>
      <c r="S840" s="12">
        <f t="shared" si="33"/>
        <v>54704396</v>
      </c>
    </row>
    <row r="841" spans="1:19" x14ac:dyDescent="0.3">
      <c r="A841" s="2" t="s">
        <v>705</v>
      </c>
      <c r="B841" s="2">
        <v>110</v>
      </c>
      <c r="C841" s="3">
        <v>43894863</v>
      </c>
      <c r="D841" s="3" t="s">
        <v>6085</v>
      </c>
      <c r="E841" s="2" t="s">
        <v>2639</v>
      </c>
      <c r="F841" s="2" t="s">
        <v>10</v>
      </c>
      <c r="G841" s="2" t="s">
        <v>11</v>
      </c>
      <c r="H841" s="2">
        <v>25000000</v>
      </c>
      <c r="I841" s="2">
        <v>6.8</v>
      </c>
      <c r="J841" s="3">
        <v>3058380</v>
      </c>
      <c r="K841">
        <f t="shared" si="34"/>
        <v>1.3775047412552699E-3</v>
      </c>
      <c r="R841" s="12" t="str">
        <f ca="1">IFERROR(__xludf.DUMMYFUNCTION("""COMPUTED_VALUE"""),"Evita ")</f>
        <v>Evita </v>
      </c>
      <c r="S841" s="12">
        <f t="shared" si="33"/>
        <v>-183881923</v>
      </c>
    </row>
    <row r="842" spans="1:19" x14ac:dyDescent="0.3">
      <c r="A842" s="2" t="s">
        <v>915</v>
      </c>
      <c r="B842" s="2">
        <v>124</v>
      </c>
      <c r="C842" s="3">
        <v>55184721</v>
      </c>
      <c r="D842" s="3" t="s">
        <v>5920</v>
      </c>
      <c r="E842" s="2" t="s">
        <v>1085</v>
      </c>
      <c r="F842" s="2" t="s">
        <v>10</v>
      </c>
      <c r="G842" s="2" t="s">
        <v>11</v>
      </c>
      <c r="H842" s="2">
        <v>60000000</v>
      </c>
      <c r="I842" s="2">
        <v>6.3</v>
      </c>
      <c r="J842" s="3">
        <v>3060858</v>
      </c>
      <c r="K842">
        <f t="shared" si="34"/>
        <v>1.3775047412552699E-3</v>
      </c>
      <c r="R842" s="12" t="str">
        <f ca="1">IFERROR(__xludf.DUMMYFUNCTION("""COMPUTED_VALUE"""),"Ronin ")</f>
        <v>Ronin </v>
      </c>
      <c r="S842" s="12">
        <f t="shared" si="33"/>
        <v>50448498</v>
      </c>
    </row>
    <row r="843" spans="1:19" x14ac:dyDescent="0.3">
      <c r="A843" s="2" t="s">
        <v>2138</v>
      </c>
      <c r="B843" s="2">
        <v>100</v>
      </c>
      <c r="C843" s="3">
        <v>73701902</v>
      </c>
      <c r="D843" s="3" t="s">
        <v>5767</v>
      </c>
      <c r="E843" s="2" t="s">
        <v>2139</v>
      </c>
      <c r="F843" s="2" t="s">
        <v>10</v>
      </c>
      <c r="G843" s="2" t="s">
        <v>11</v>
      </c>
      <c r="H843" s="2">
        <v>30000000</v>
      </c>
      <c r="I843" s="2">
        <v>5.9</v>
      </c>
      <c r="J843" s="3">
        <v>3064356</v>
      </c>
      <c r="K843">
        <f t="shared" si="34"/>
        <v>1.3775047412552699E-3</v>
      </c>
      <c r="R843" s="12" t="str">
        <f ca="1">IFERROR(__xludf.DUMMYFUNCTION("""COMPUTED_VALUE"""),"The Ghost and the Darkness ")</f>
        <v>The Ghost and the Darkness </v>
      </c>
      <c r="S843" s="12">
        <f t="shared" si="33"/>
        <v>6808315</v>
      </c>
    </row>
    <row r="844" spans="1:19" x14ac:dyDescent="0.3">
      <c r="A844" s="2" t="s">
        <v>519</v>
      </c>
      <c r="B844" s="2">
        <v>94</v>
      </c>
      <c r="C844" s="3">
        <v>100422786</v>
      </c>
      <c r="D844" s="3" t="s">
        <v>5754</v>
      </c>
      <c r="E844" s="2" t="s">
        <v>1006</v>
      </c>
      <c r="F844" s="2" t="s">
        <v>10</v>
      </c>
      <c r="G844" s="2" t="s">
        <v>11</v>
      </c>
      <c r="H844" s="2">
        <v>63000000</v>
      </c>
      <c r="I844" s="2">
        <v>6.2</v>
      </c>
      <c r="J844" s="3">
        <v>3071947</v>
      </c>
      <c r="K844">
        <f t="shared" si="34"/>
        <v>1.3775047412552699E-3</v>
      </c>
      <c r="R844" s="12" t="str">
        <f ca="1">IFERROR(__xludf.DUMMYFUNCTION("""COMPUTED_VALUE"""),"Paddington ")</f>
        <v>Paddington </v>
      </c>
      <c r="S844" s="12">
        <f t="shared" si="33"/>
        <v>-380795474</v>
      </c>
    </row>
    <row r="845" spans="1:19" x14ac:dyDescent="0.3">
      <c r="A845" s="2" t="s">
        <v>5484</v>
      </c>
      <c r="B845" s="2">
        <v>83</v>
      </c>
      <c r="C845" s="3">
        <v>24788807</v>
      </c>
      <c r="D845" s="3" t="s">
        <v>5894</v>
      </c>
      <c r="E845" s="2" t="s">
        <v>5485</v>
      </c>
      <c r="F845" s="2" t="s">
        <v>2983</v>
      </c>
      <c r="G845" s="2" t="s">
        <v>5486</v>
      </c>
      <c r="H845" s="3">
        <v>474544677</v>
      </c>
      <c r="I845" s="2">
        <v>7.4</v>
      </c>
      <c r="J845" s="3">
        <v>3073392</v>
      </c>
      <c r="K845">
        <f t="shared" si="34"/>
        <v>1.3775047412552699E-3</v>
      </c>
      <c r="R845" s="12" t="str">
        <f ca="1">IFERROR(__xludf.DUMMYFUNCTION("""COMPUTED_VALUE"""),"The Watch ")</f>
        <v>The Watch </v>
      </c>
      <c r="S845" s="12">
        <f t="shared" si="33"/>
        <v>153257183</v>
      </c>
    </row>
    <row r="846" spans="1:19" x14ac:dyDescent="0.3">
      <c r="A846" s="2" t="s">
        <v>707</v>
      </c>
      <c r="B846" s="2">
        <v>80</v>
      </c>
      <c r="C846" s="3">
        <v>43905746</v>
      </c>
      <c r="D846" s="3" t="s">
        <v>5849</v>
      </c>
      <c r="E846" s="2" t="s">
        <v>708</v>
      </c>
      <c r="F846" s="2" t="s">
        <v>10</v>
      </c>
      <c r="G846" s="2" t="s">
        <v>11</v>
      </c>
      <c r="H846" s="2">
        <v>80000000</v>
      </c>
      <c r="I846" s="2">
        <v>4.5999999999999996</v>
      </c>
      <c r="J846" s="3">
        <v>3074838</v>
      </c>
      <c r="K846">
        <f t="shared" si="34"/>
        <v>1.3775047412552699E-3</v>
      </c>
      <c r="R846" s="12" t="str">
        <f ca="1">IFERROR(__xludf.DUMMYFUNCTION("""COMPUTED_VALUE"""),"The Hunted ")</f>
        <v>The Hunted </v>
      </c>
      <c r="S846" s="12">
        <f t="shared" si="33"/>
        <v>3264986</v>
      </c>
    </row>
    <row r="847" spans="1:19" x14ac:dyDescent="0.3">
      <c r="A847" s="2" t="s">
        <v>1617</v>
      </c>
      <c r="B847" s="2">
        <v>90</v>
      </c>
      <c r="C847" s="3">
        <v>61490000</v>
      </c>
      <c r="D847" s="3" t="s">
        <v>5869</v>
      </c>
      <c r="E847" s="2" t="s">
        <v>1618</v>
      </c>
      <c r="F847" s="2" t="s">
        <v>10</v>
      </c>
      <c r="G847" s="2" t="s">
        <v>11</v>
      </c>
      <c r="H847" s="2">
        <v>42000000</v>
      </c>
      <c r="I847" s="2">
        <v>5.9</v>
      </c>
      <c r="J847" s="3">
        <v>3076425</v>
      </c>
      <c r="K847">
        <f t="shared" si="34"/>
        <v>1.3775047412552699E-3</v>
      </c>
      <c r="R847" s="12" t="str">
        <f ca="1">IFERROR(__xludf.DUMMYFUNCTION("""COMPUTED_VALUE"""),"Instinct ")</f>
        <v>Instinct </v>
      </c>
      <c r="S847" s="12">
        <f t="shared" si="33"/>
        <v>45708680</v>
      </c>
    </row>
    <row r="848" spans="1:19" x14ac:dyDescent="0.3">
      <c r="A848" s="2" t="s">
        <v>1017</v>
      </c>
      <c r="B848" s="2">
        <v>96</v>
      </c>
      <c r="C848" s="3">
        <v>31607598</v>
      </c>
      <c r="D848" s="3" t="s">
        <v>6086</v>
      </c>
      <c r="E848" s="2" t="s">
        <v>2312</v>
      </c>
      <c r="F848" s="2" t="s">
        <v>10</v>
      </c>
      <c r="G848" s="2" t="s">
        <v>11</v>
      </c>
      <c r="H848" s="2">
        <v>30000000</v>
      </c>
      <c r="I848" s="2">
        <v>5.6</v>
      </c>
      <c r="J848" s="3">
        <v>3081925</v>
      </c>
      <c r="K848">
        <f t="shared" si="34"/>
        <v>1.3775047412552699E-3</v>
      </c>
      <c r="R848" s="12" t="str">
        <f ca="1">IFERROR(__xludf.DUMMYFUNCTION("""COMPUTED_VALUE"""),"Stuck on You ")</f>
        <v>Stuck on You </v>
      </c>
      <c r="S848" s="12">
        <f t="shared" si="33"/>
        <v>40800000</v>
      </c>
    </row>
    <row r="849" spans="1:19" x14ac:dyDescent="0.3">
      <c r="A849" s="2" t="s">
        <v>857</v>
      </c>
      <c r="B849" s="2">
        <v>113</v>
      </c>
      <c r="C849" s="3">
        <v>56083966</v>
      </c>
      <c r="D849" s="3" t="s">
        <v>6049</v>
      </c>
      <c r="E849" s="2" t="s">
        <v>2964</v>
      </c>
      <c r="F849" s="2" t="s">
        <v>10</v>
      </c>
      <c r="G849" s="2" t="s">
        <v>11</v>
      </c>
      <c r="H849" s="2">
        <v>20000000</v>
      </c>
      <c r="I849" s="2">
        <v>5.9</v>
      </c>
      <c r="J849" s="3">
        <v>3093491</v>
      </c>
      <c r="K849">
        <f t="shared" si="34"/>
        <v>1.3775047412552699E-3</v>
      </c>
      <c r="R849" s="12" t="str">
        <f ca="1">IFERROR(__xludf.DUMMYFUNCTION("""COMPUTED_VALUE"""),"Semi-Pro ")</f>
        <v>Semi-Pro </v>
      </c>
      <c r="S849" s="12">
        <f t="shared" si="33"/>
        <v>15000000</v>
      </c>
    </row>
    <row r="850" spans="1:19" x14ac:dyDescent="0.3">
      <c r="A850" s="2" t="s">
        <v>4449</v>
      </c>
      <c r="B850" s="2">
        <v>91</v>
      </c>
      <c r="C850" s="3">
        <v>41867960</v>
      </c>
      <c r="D850" s="3" t="s">
        <v>6041</v>
      </c>
      <c r="E850" s="2" t="s">
        <v>4450</v>
      </c>
      <c r="F850" s="2" t="s">
        <v>10</v>
      </c>
      <c r="G850" s="2" t="s">
        <v>11</v>
      </c>
      <c r="H850" s="2">
        <v>6500000</v>
      </c>
      <c r="I850" s="2">
        <v>3.6</v>
      </c>
      <c r="J850" s="3">
        <v>3100650</v>
      </c>
      <c r="K850">
        <f t="shared" si="34"/>
        <v>1.3775047412552699E-3</v>
      </c>
      <c r="R850" s="12" t="str">
        <f ca="1">IFERROR(__xludf.DUMMYFUNCTION("""COMPUTED_VALUE"""),"The Pirates! Band of Misfits ")</f>
        <v>The Pirates! Band of Misfits </v>
      </c>
      <c r="S850" s="12">
        <f t="shared" si="33"/>
        <v>70196895</v>
      </c>
    </row>
    <row r="851" spans="1:19" x14ac:dyDescent="0.3">
      <c r="A851" s="2" t="s">
        <v>31</v>
      </c>
      <c r="B851" s="2">
        <v>106</v>
      </c>
      <c r="C851" s="3">
        <v>101087161</v>
      </c>
      <c r="D851" s="3" t="s">
        <v>5773</v>
      </c>
      <c r="E851" s="2" t="s">
        <v>4484</v>
      </c>
      <c r="F851" s="2" t="s">
        <v>10</v>
      </c>
      <c r="G851" s="2" t="s">
        <v>11</v>
      </c>
      <c r="H851" s="2">
        <v>6000000</v>
      </c>
      <c r="I851" s="2">
        <v>8.6</v>
      </c>
      <c r="J851" s="3">
        <v>3105269</v>
      </c>
      <c r="K851">
        <f t="shared" si="34"/>
        <v>1.3775047412552699E-3</v>
      </c>
      <c r="R851" s="12" t="str">
        <f ca="1">IFERROR(__xludf.DUMMYFUNCTION("""COMPUTED_VALUE"""),"Changeling ")</f>
        <v>Changeling </v>
      </c>
      <c r="S851" s="12">
        <f t="shared" si="33"/>
        <v>21830000</v>
      </c>
    </row>
    <row r="852" spans="1:19" x14ac:dyDescent="0.3">
      <c r="A852" s="2" t="s">
        <v>799</v>
      </c>
      <c r="B852" s="2">
        <v>109</v>
      </c>
      <c r="C852" s="3">
        <v>101702060</v>
      </c>
      <c r="D852" s="3" t="s">
        <v>6087</v>
      </c>
      <c r="E852" s="2" t="s">
        <v>1919</v>
      </c>
      <c r="F852" s="2" t="s">
        <v>10</v>
      </c>
      <c r="G852" s="2" t="s">
        <v>11</v>
      </c>
      <c r="H852" s="2">
        <v>36000000</v>
      </c>
      <c r="I852" s="2">
        <v>6.1</v>
      </c>
      <c r="J852" s="3">
        <v>3123749</v>
      </c>
      <c r="K852">
        <f t="shared" si="34"/>
        <v>1.3775047412552699E-3</v>
      </c>
      <c r="R852" s="12" t="str">
        <f ca="1">IFERROR(__xludf.DUMMYFUNCTION("""COMPUTED_VALUE"""),"Chain Reaction ")</f>
        <v>Chain Reaction </v>
      </c>
      <c r="S852" s="12">
        <f t="shared" si="33"/>
        <v>-46178721</v>
      </c>
    </row>
    <row r="853" spans="1:19" x14ac:dyDescent="0.3">
      <c r="A853" s="2" t="s">
        <v>5138</v>
      </c>
      <c r="B853" s="2">
        <v>87</v>
      </c>
      <c r="C853" s="3">
        <v>102678089</v>
      </c>
      <c r="D853" s="3" t="s">
        <v>5963</v>
      </c>
      <c r="E853" s="2" t="s">
        <v>5139</v>
      </c>
      <c r="F853" s="2" t="s">
        <v>10</v>
      </c>
      <c r="G853" s="2" t="s">
        <v>504</v>
      </c>
      <c r="H853" s="2">
        <v>1800000</v>
      </c>
      <c r="I853" s="2">
        <v>5.6</v>
      </c>
      <c r="J853" s="3">
        <v>3130592</v>
      </c>
      <c r="K853">
        <f t="shared" si="34"/>
        <v>1.3775047412552699E-3</v>
      </c>
      <c r="R853" s="12" t="str">
        <f ca="1">IFERROR(__xludf.DUMMYFUNCTION("""COMPUTED_VALUE"""),"The Fan ")</f>
        <v>The Fan </v>
      </c>
      <c r="S853" s="12">
        <f t="shared" si="33"/>
        <v>79468793</v>
      </c>
    </row>
    <row r="854" spans="1:19" x14ac:dyDescent="0.3">
      <c r="A854" s="2" t="s">
        <v>1599</v>
      </c>
      <c r="B854" s="2">
        <v>325</v>
      </c>
      <c r="C854" s="3">
        <v>47811275</v>
      </c>
      <c r="D854" s="3" t="s">
        <v>5921</v>
      </c>
      <c r="E854" s="2" t="s">
        <v>1600</v>
      </c>
      <c r="F854" s="2" t="s">
        <v>10</v>
      </c>
      <c r="G854" s="2" t="s">
        <v>11</v>
      </c>
      <c r="H854" s="2">
        <v>44000000</v>
      </c>
      <c r="I854" s="2">
        <v>6.8</v>
      </c>
      <c r="J854" s="3">
        <v>3148482</v>
      </c>
      <c r="K854">
        <f t="shared" si="34"/>
        <v>1.3775047412552699E-3</v>
      </c>
      <c r="R854" s="12" t="str">
        <f ca="1">IFERROR(__xludf.DUMMYFUNCTION("""COMPUTED_VALUE"""),"The Phantom of the Opera ")</f>
        <v>The Phantom of the Opera </v>
      </c>
      <c r="S854" s="12">
        <f t="shared" si="33"/>
        <v>135000989</v>
      </c>
    </row>
    <row r="855" spans="1:19" x14ac:dyDescent="0.3">
      <c r="A855" s="2" t="s">
        <v>4781</v>
      </c>
      <c r="B855" s="2">
        <v>93</v>
      </c>
      <c r="C855" s="3">
        <v>191616238</v>
      </c>
      <c r="D855" s="3" t="s">
        <v>5872</v>
      </c>
      <c r="E855" s="2" t="s">
        <v>4782</v>
      </c>
      <c r="F855" s="2" t="s">
        <v>10</v>
      </c>
      <c r="G855" s="2" t="s">
        <v>11</v>
      </c>
      <c r="H855" s="2">
        <v>4000000</v>
      </c>
      <c r="I855" s="2">
        <v>4.5999999999999996</v>
      </c>
      <c r="J855" s="3">
        <v>3151130</v>
      </c>
      <c r="K855">
        <f t="shared" si="34"/>
        <v>1.3775047412552699E-3</v>
      </c>
      <c r="R855" s="12" t="str">
        <f ca="1">IFERROR(__xludf.DUMMYFUNCTION("""COMPUTED_VALUE"""),"Elizabeth: The Golden Age ")</f>
        <v>Elizabeth: The Golden Age </v>
      </c>
      <c r="S855" s="12">
        <f t="shared" si="33"/>
        <v>-5827749</v>
      </c>
    </row>
    <row r="856" spans="1:19" x14ac:dyDescent="0.3">
      <c r="A856" s="2" t="s">
        <v>33</v>
      </c>
      <c r="B856" s="2">
        <v>128</v>
      </c>
      <c r="C856" s="3">
        <v>43853424</v>
      </c>
      <c r="D856" s="3" t="s">
        <v>5898</v>
      </c>
      <c r="E856" s="2" t="s">
        <v>2982</v>
      </c>
      <c r="F856" s="2" t="s">
        <v>2983</v>
      </c>
      <c r="G856" s="2" t="s">
        <v>11</v>
      </c>
      <c r="H856" s="2">
        <v>20000000</v>
      </c>
      <c r="I856" s="2">
        <v>7.6</v>
      </c>
      <c r="J856" s="3">
        <v>3169424</v>
      </c>
      <c r="K856">
        <f t="shared" si="34"/>
        <v>1.3775047412552699E-3</v>
      </c>
      <c r="R856" s="12" t="str">
        <f ca="1">IFERROR(__xludf.DUMMYFUNCTION("""COMPUTED_VALUE"""),"Æon Flux ")</f>
        <v>Æon Flux </v>
      </c>
      <c r="S856" s="12">
        <f t="shared" si="33"/>
        <v>66219395</v>
      </c>
    </row>
    <row r="857" spans="1:19" x14ac:dyDescent="0.3">
      <c r="A857" s="2" t="s">
        <v>1117</v>
      </c>
      <c r="B857" s="2">
        <v>104</v>
      </c>
      <c r="C857" s="3">
        <v>54997476</v>
      </c>
      <c r="D857" s="3" t="s">
        <v>5910</v>
      </c>
      <c r="E857" s="2" t="s">
        <v>4495</v>
      </c>
      <c r="F857" s="2" t="s">
        <v>10</v>
      </c>
      <c r="G857" s="2" t="s">
        <v>11</v>
      </c>
      <c r="H857" s="2">
        <v>6000000</v>
      </c>
      <c r="I857" s="2">
        <v>6.2</v>
      </c>
      <c r="J857" s="3">
        <v>3193102</v>
      </c>
      <c r="K857">
        <f t="shared" si="34"/>
        <v>1.3775047412552699E-3</v>
      </c>
      <c r="R857" s="12" t="str">
        <f ca="1">IFERROR(__xludf.DUMMYFUNCTION("""COMPUTED_VALUE"""),"Gods and Generals ")</f>
        <v>Gods and Generals </v>
      </c>
      <c r="S857" s="12">
        <f t="shared" ref="S857:S920" si="35">C835-H835</f>
        <v>41262492</v>
      </c>
    </row>
    <row r="858" spans="1:19" x14ac:dyDescent="0.3">
      <c r="A858" s="2" t="s">
        <v>369</v>
      </c>
      <c r="B858" s="2">
        <v>134</v>
      </c>
      <c r="C858" s="3">
        <v>34238611</v>
      </c>
      <c r="D858" s="3" t="s">
        <v>6088</v>
      </c>
      <c r="E858" s="2" t="s">
        <v>370</v>
      </c>
      <c r="F858" s="2" t="s">
        <v>10</v>
      </c>
      <c r="G858" s="2" t="s">
        <v>11</v>
      </c>
      <c r="H858" s="2">
        <v>105000000</v>
      </c>
      <c r="I858" s="2">
        <v>6.7</v>
      </c>
      <c r="J858" s="3">
        <v>3203044</v>
      </c>
      <c r="K858">
        <f t="shared" si="34"/>
        <v>1.3775047412552699E-3</v>
      </c>
      <c r="R858" s="12" t="str">
        <f ca="1">IFERROR(__xludf.DUMMYFUNCTION("""COMPUTED_VALUE"""),"Turbulence ")</f>
        <v>Turbulence </v>
      </c>
      <c r="S858" s="12">
        <f t="shared" si="35"/>
        <v>48193162</v>
      </c>
    </row>
    <row r="859" spans="1:19" x14ac:dyDescent="0.3">
      <c r="A859" s="2" t="s">
        <v>74</v>
      </c>
      <c r="B859" s="2">
        <v>129</v>
      </c>
      <c r="C859" s="3">
        <v>61400000</v>
      </c>
      <c r="D859" s="3" t="s">
        <v>6089</v>
      </c>
      <c r="E859" s="2" t="s">
        <v>2482</v>
      </c>
      <c r="F859" s="2" t="s">
        <v>10</v>
      </c>
      <c r="G859" s="2" t="s">
        <v>11</v>
      </c>
      <c r="H859" s="2">
        <v>26000000</v>
      </c>
      <c r="I859" s="2">
        <v>6.5</v>
      </c>
      <c r="J859" s="3">
        <v>3205244</v>
      </c>
      <c r="K859">
        <f t="shared" si="34"/>
        <v>1.3775047412552699E-3</v>
      </c>
      <c r="R859" s="12" t="str">
        <f ca="1">IFERROR(__xludf.DUMMYFUNCTION("""COMPUTED_VALUE"""),"Imagine That ")</f>
        <v>Imagine That </v>
      </c>
      <c r="S859" s="12">
        <f t="shared" si="35"/>
        <v>44653403</v>
      </c>
    </row>
    <row r="860" spans="1:19" x14ac:dyDescent="0.3">
      <c r="A860" s="2" t="s">
        <v>2908</v>
      </c>
      <c r="B860" s="2">
        <v>122</v>
      </c>
      <c r="C860" s="3">
        <v>186739919</v>
      </c>
      <c r="D860" s="3" t="s">
        <v>6090</v>
      </c>
      <c r="E860" s="2" t="s">
        <v>4464</v>
      </c>
      <c r="F860" s="2" t="s">
        <v>10</v>
      </c>
      <c r="G860" s="2" t="s">
        <v>16</v>
      </c>
      <c r="H860" s="2">
        <v>4500000</v>
      </c>
      <c r="I860" s="2">
        <v>7.7</v>
      </c>
      <c r="J860" s="3">
        <v>3216970</v>
      </c>
      <c r="K860">
        <f t="shared" si="34"/>
        <v>1.3775047412552699E-3</v>
      </c>
      <c r="R860" s="12" t="str">
        <f ca="1">IFERROR(__xludf.DUMMYFUNCTION("""COMPUTED_VALUE"""),"Muppets Most Wanted ")</f>
        <v>Muppets Most Wanted </v>
      </c>
      <c r="S860" s="12">
        <f t="shared" si="35"/>
        <v>-27700000</v>
      </c>
    </row>
    <row r="861" spans="1:19" x14ac:dyDescent="0.3">
      <c r="A861" s="2" t="s">
        <v>4006</v>
      </c>
      <c r="B861" s="2">
        <v>112</v>
      </c>
      <c r="C861" s="3">
        <v>81200000</v>
      </c>
      <c r="D861" s="3" t="s">
        <v>5872</v>
      </c>
      <c r="E861" s="2" t="s">
        <v>4360</v>
      </c>
      <c r="F861" s="2" t="s">
        <v>10</v>
      </c>
      <c r="G861" s="2" t="s">
        <v>11</v>
      </c>
      <c r="H861" s="2">
        <v>6600000</v>
      </c>
      <c r="I861" s="2">
        <v>5.7</v>
      </c>
      <c r="J861" s="3">
        <v>3219029</v>
      </c>
      <c r="K861">
        <f t="shared" si="34"/>
        <v>1.3775047412552699E-3</v>
      </c>
      <c r="R861" s="12" t="str">
        <f ca="1">IFERROR(__xludf.DUMMYFUNCTION("""COMPUTED_VALUE"""),"Thunderbirds ")</f>
        <v>Thunderbirds </v>
      </c>
      <c r="S861" s="12">
        <f t="shared" si="35"/>
        <v>47270227</v>
      </c>
    </row>
    <row r="862" spans="1:19" x14ac:dyDescent="0.3">
      <c r="A862" s="2" t="s">
        <v>471</v>
      </c>
      <c r="B862" s="2">
        <v>104</v>
      </c>
      <c r="C862" s="3">
        <v>40041683</v>
      </c>
      <c r="D862" s="3" t="s">
        <v>5961</v>
      </c>
      <c r="E862" s="2" t="s">
        <v>472</v>
      </c>
      <c r="F862" s="2" t="s">
        <v>10</v>
      </c>
      <c r="G862" s="2" t="s">
        <v>11</v>
      </c>
      <c r="H862" s="2">
        <v>100000000</v>
      </c>
      <c r="I862" s="2">
        <v>5.0999999999999996</v>
      </c>
      <c r="J862" s="3">
        <v>3247816</v>
      </c>
      <c r="K862">
        <f t="shared" si="34"/>
        <v>1.3775047412552699E-3</v>
      </c>
      <c r="R862" s="12" t="str">
        <f ca="1">IFERROR(__xludf.DUMMYFUNCTION("""COMPUTED_VALUE"""),"Burlesque ")</f>
        <v>Burlesque </v>
      </c>
      <c r="S862" s="12">
        <f t="shared" si="35"/>
        <v>114302596</v>
      </c>
    </row>
    <row r="863" spans="1:19" x14ac:dyDescent="0.3">
      <c r="A863" s="2" t="s">
        <v>1464</v>
      </c>
      <c r="B863" s="2">
        <v>98</v>
      </c>
      <c r="C863" s="3">
        <v>21784432</v>
      </c>
      <c r="D863" s="3" t="s">
        <v>5849</v>
      </c>
      <c r="E863" s="2" t="s">
        <v>2735</v>
      </c>
      <c r="F863" s="2" t="s">
        <v>10</v>
      </c>
      <c r="G863" s="2" t="s">
        <v>11</v>
      </c>
      <c r="H863" s="2">
        <v>23000000</v>
      </c>
      <c r="I863" s="2">
        <v>6.7</v>
      </c>
      <c r="J863" s="3">
        <v>3254172</v>
      </c>
      <c r="K863">
        <f t="shared" si="34"/>
        <v>1.3775047412552699E-3</v>
      </c>
      <c r="R863" s="12" t="str">
        <f ca="1">IFERROR(__xludf.DUMMYFUNCTION("""COMPUTED_VALUE"""),"A Very Long Engagement ")</f>
        <v>A Very Long Engagement </v>
      </c>
      <c r="S863" s="12">
        <f t="shared" si="35"/>
        <v>18894863</v>
      </c>
    </row>
    <row r="864" spans="1:19" x14ac:dyDescent="0.3">
      <c r="A864" s="2" t="s">
        <v>2308</v>
      </c>
      <c r="B864" s="2">
        <v>102</v>
      </c>
      <c r="C864" s="3">
        <v>72266306</v>
      </c>
      <c r="D864" s="3" t="s">
        <v>6091</v>
      </c>
      <c r="E864" s="2" t="s">
        <v>5570</v>
      </c>
      <c r="F864" s="2" t="s">
        <v>10</v>
      </c>
      <c r="G864" s="2" t="s">
        <v>11</v>
      </c>
      <c r="H864" s="2">
        <v>312000</v>
      </c>
      <c r="I864" s="2">
        <v>6.7</v>
      </c>
      <c r="J864" s="3">
        <v>3273588</v>
      </c>
      <c r="K864">
        <f t="shared" si="34"/>
        <v>1.3775047412552699E-3</v>
      </c>
      <c r="R864" s="12" t="str">
        <f ca="1">IFERROR(__xludf.DUMMYFUNCTION("""COMPUTED_VALUE"""),"Blade II ")</f>
        <v>Blade II </v>
      </c>
      <c r="S864" s="12">
        <f t="shared" si="35"/>
        <v>-4815279</v>
      </c>
    </row>
    <row r="865" spans="1:19" x14ac:dyDescent="0.3">
      <c r="A865" s="2" t="s">
        <v>4803</v>
      </c>
      <c r="B865" s="2">
        <v>101</v>
      </c>
      <c r="C865" s="3">
        <v>50818750</v>
      </c>
      <c r="D865" s="3" t="s">
        <v>5869</v>
      </c>
      <c r="E865" s="2" t="s">
        <v>4804</v>
      </c>
      <c r="F865" s="2" t="s">
        <v>10</v>
      </c>
      <c r="G865" s="2" t="s">
        <v>16</v>
      </c>
      <c r="H865" s="3">
        <v>121468960</v>
      </c>
      <c r="I865" s="2">
        <v>6.9</v>
      </c>
      <c r="J865" s="3">
        <v>3275443</v>
      </c>
      <c r="K865">
        <f t="shared" si="34"/>
        <v>1.3775047412552699E-3</v>
      </c>
      <c r="R865" s="12" t="str">
        <f ca="1">IFERROR(__xludf.DUMMYFUNCTION("""COMPUTED_VALUE"""),"Seven Pounds ")</f>
        <v>Seven Pounds </v>
      </c>
      <c r="S865" s="12">
        <f t="shared" si="35"/>
        <v>43701902</v>
      </c>
    </row>
    <row r="866" spans="1:19" x14ac:dyDescent="0.3">
      <c r="A866" s="2" t="s">
        <v>882</v>
      </c>
      <c r="B866" s="2">
        <v>118</v>
      </c>
      <c r="C866" s="3">
        <v>54967359</v>
      </c>
      <c r="D866" s="3" t="s">
        <v>5864</v>
      </c>
      <c r="E866" s="2" t="s">
        <v>883</v>
      </c>
      <c r="F866" s="2" t="s">
        <v>10</v>
      </c>
      <c r="G866" s="2" t="s">
        <v>11</v>
      </c>
      <c r="H866" s="2">
        <v>70000000</v>
      </c>
      <c r="I866" s="2">
        <v>6.1</v>
      </c>
      <c r="J866" s="3">
        <v>3275585</v>
      </c>
      <c r="K866">
        <f t="shared" si="34"/>
        <v>1.3775047412552699E-3</v>
      </c>
      <c r="R866" s="12" t="str">
        <f ca="1">IFERROR(__xludf.DUMMYFUNCTION("""COMPUTED_VALUE"""),"Bullet to the Head ")</f>
        <v>Bullet to the Head </v>
      </c>
      <c r="S866" s="12">
        <f t="shared" si="35"/>
        <v>37422786</v>
      </c>
    </row>
    <row r="867" spans="1:19" x14ac:dyDescent="0.3">
      <c r="A867" s="2" t="s">
        <v>1096</v>
      </c>
      <c r="B867" s="2">
        <v>122</v>
      </c>
      <c r="C867" s="3">
        <v>100328194</v>
      </c>
      <c r="D867" s="3" t="s">
        <v>6004</v>
      </c>
      <c r="E867" s="2" t="s">
        <v>2833</v>
      </c>
      <c r="F867" s="2" t="s">
        <v>10</v>
      </c>
      <c r="G867" s="2" t="s">
        <v>11</v>
      </c>
      <c r="H867" s="2">
        <v>21000000</v>
      </c>
      <c r="I867" s="2">
        <v>7.8</v>
      </c>
      <c r="J867" s="3">
        <v>3287435</v>
      </c>
      <c r="K867">
        <f t="shared" si="34"/>
        <v>1.3775047412552699E-3</v>
      </c>
      <c r="R867" s="12" t="str">
        <f ca="1">IFERROR(__xludf.DUMMYFUNCTION("""COMPUTED_VALUE"""),"The Godfather: Part III ")</f>
        <v>The Godfather: Part III </v>
      </c>
      <c r="S867" s="12">
        <f t="shared" si="35"/>
        <v>-449755870</v>
      </c>
    </row>
    <row r="868" spans="1:19" x14ac:dyDescent="0.3">
      <c r="A868" s="2" t="s">
        <v>4263</v>
      </c>
      <c r="B868" s="2">
        <v>102</v>
      </c>
      <c r="C868" s="3">
        <v>92823600</v>
      </c>
      <c r="D868" s="3" t="s">
        <v>5958</v>
      </c>
      <c r="E868" s="2" t="s">
        <v>4264</v>
      </c>
      <c r="F868" s="2" t="s">
        <v>10</v>
      </c>
      <c r="G868" s="2" t="s">
        <v>11</v>
      </c>
      <c r="H868" s="2">
        <v>7000000</v>
      </c>
      <c r="I868" s="2">
        <v>7.6</v>
      </c>
      <c r="J868" s="3">
        <v>3293258</v>
      </c>
      <c r="K868">
        <f t="shared" si="34"/>
        <v>1.3775047412552699E-3</v>
      </c>
      <c r="R868" s="12" t="str">
        <f ca="1">IFERROR(__xludf.DUMMYFUNCTION("""COMPUTED_VALUE"""),"Elizabethtown ")</f>
        <v>Elizabethtown </v>
      </c>
      <c r="S868" s="12">
        <f t="shared" si="35"/>
        <v>-36094254</v>
      </c>
    </row>
    <row r="869" spans="1:19" x14ac:dyDescent="0.3">
      <c r="A869" s="2" t="s">
        <v>1096</v>
      </c>
      <c r="B869" s="2">
        <v>114</v>
      </c>
      <c r="C869" s="3">
        <v>104354205</v>
      </c>
      <c r="D869" s="3" t="s">
        <v>6044</v>
      </c>
      <c r="E869" s="2" t="s">
        <v>1472</v>
      </c>
      <c r="F869" s="2" t="s">
        <v>10</v>
      </c>
      <c r="G869" s="2" t="s">
        <v>11</v>
      </c>
      <c r="H869" s="2">
        <v>48000000</v>
      </c>
      <c r="I869" s="2">
        <v>7.1</v>
      </c>
      <c r="J869" s="3">
        <v>3325638</v>
      </c>
      <c r="K869">
        <f t="shared" si="34"/>
        <v>1.3775047412552699E-3</v>
      </c>
      <c r="R869" s="12" t="str">
        <f ca="1">IFERROR(__xludf.DUMMYFUNCTION("""COMPUTED_VALUE"""),"You, Me and Dupree ")</f>
        <v>You, Me and Dupree </v>
      </c>
      <c r="S869" s="12">
        <f t="shared" si="35"/>
        <v>19490000</v>
      </c>
    </row>
    <row r="870" spans="1:19" x14ac:dyDescent="0.3">
      <c r="A870" s="2" t="s">
        <v>5695</v>
      </c>
      <c r="B870" s="2">
        <v>92</v>
      </c>
      <c r="C870" s="3">
        <v>54910560</v>
      </c>
      <c r="D870" s="3" t="s">
        <v>5872</v>
      </c>
      <c r="E870" s="2" t="s">
        <v>5696</v>
      </c>
      <c r="F870" s="2" t="s">
        <v>10</v>
      </c>
      <c r="G870" s="2" t="s">
        <v>11</v>
      </c>
      <c r="H870" s="3">
        <v>474544677</v>
      </c>
      <c r="I870" s="2">
        <v>7.9</v>
      </c>
      <c r="J870" s="3">
        <v>3333823</v>
      </c>
      <c r="K870">
        <f t="shared" si="34"/>
        <v>1.3775047412552699E-3</v>
      </c>
      <c r="R870" s="12" t="str">
        <f ca="1">IFERROR(__xludf.DUMMYFUNCTION("""COMPUTED_VALUE"""),"Superman II ")</f>
        <v>Superman II </v>
      </c>
      <c r="S870" s="12">
        <f t="shared" si="35"/>
        <v>1607598</v>
      </c>
    </row>
    <row r="871" spans="1:19" x14ac:dyDescent="0.3">
      <c r="A871" s="2" t="s">
        <v>2125</v>
      </c>
      <c r="B871" s="2">
        <v>98</v>
      </c>
      <c r="C871" s="3">
        <v>110222438</v>
      </c>
      <c r="D871" s="3" t="s">
        <v>5754</v>
      </c>
      <c r="E871" s="2" t="s">
        <v>2126</v>
      </c>
      <c r="F871" s="2" t="s">
        <v>10</v>
      </c>
      <c r="G871" s="2" t="s">
        <v>11</v>
      </c>
      <c r="H871" s="2">
        <v>32000000</v>
      </c>
      <c r="I871" s="2">
        <v>6.9</v>
      </c>
      <c r="J871" s="3">
        <v>3335839</v>
      </c>
      <c r="K871">
        <f t="shared" si="34"/>
        <v>1.3775047412552699E-3</v>
      </c>
      <c r="R871" s="12" t="str">
        <f ca="1">IFERROR(__xludf.DUMMYFUNCTION("""COMPUTED_VALUE"""),"Gigli ")</f>
        <v>Gigli </v>
      </c>
      <c r="S871" s="12">
        <f t="shared" si="35"/>
        <v>36083966</v>
      </c>
    </row>
    <row r="872" spans="1:19" x14ac:dyDescent="0.3">
      <c r="A872" s="2" t="s">
        <v>1157</v>
      </c>
      <c r="B872" s="2">
        <v>104</v>
      </c>
      <c r="C872" s="3">
        <v>63939454</v>
      </c>
      <c r="D872" s="3" t="s">
        <v>5838</v>
      </c>
      <c r="E872" s="2" t="s">
        <v>1727</v>
      </c>
      <c r="F872" s="2" t="s">
        <v>10</v>
      </c>
      <c r="G872" s="2" t="s">
        <v>11</v>
      </c>
      <c r="H872" s="2">
        <v>43000000</v>
      </c>
      <c r="I872" s="2">
        <v>6.5</v>
      </c>
      <c r="J872" s="3">
        <v>3347439</v>
      </c>
      <c r="K872">
        <f t="shared" si="34"/>
        <v>1.3775047412552699E-3</v>
      </c>
      <c r="R872" s="12" t="str">
        <f ca="1">IFERROR(__xludf.DUMMYFUNCTION("""COMPUTED_VALUE"""),"All the King's Men ")</f>
        <v>All the King's Men </v>
      </c>
      <c r="S872" s="12">
        <f t="shared" si="35"/>
        <v>35367960</v>
      </c>
    </row>
    <row r="873" spans="1:19" x14ac:dyDescent="0.3">
      <c r="A873" s="2" t="s">
        <v>2062</v>
      </c>
      <c r="B873" s="2">
        <v>105</v>
      </c>
      <c r="C873" s="3">
        <v>130727000</v>
      </c>
      <c r="D873" s="3" t="s">
        <v>520</v>
      </c>
      <c r="E873" s="2" t="s">
        <v>2785</v>
      </c>
      <c r="F873" s="2" t="s">
        <v>10</v>
      </c>
      <c r="G873" s="2" t="s">
        <v>11</v>
      </c>
      <c r="H873" s="2">
        <v>26000000</v>
      </c>
      <c r="I873" s="2">
        <v>6.4</v>
      </c>
      <c r="J873" s="3">
        <v>3386698</v>
      </c>
      <c r="K873">
        <f t="shared" si="34"/>
        <v>1.3775047412552699E-3</v>
      </c>
      <c r="R873" s="12" t="str">
        <f ca="1">IFERROR(__xludf.DUMMYFUNCTION("""COMPUTED_VALUE"""),"Shaft ")</f>
        <v>Shaft </v>
      </c>
      <c r="S873" s="12">
        <f t="shared" si="35"/>
        <v>95087161</v>
      </c>
    </row>
    <row r="874" spans="1:19" x14ac:dyDescent="0.3">
      <c r="A874" s="2" t="s">
        <v>3440</v>
      </c>
      <c r="B874" s="2">
        <v>100</v>
      </c>
      <c r="C874" s="3">
        <v>176483808</v>
      </c>
      <c r="D874" s="3" t="s">
        <v>5970</v>
      </c>
      <c r="E874" s="2" t="s">
        <v>3441</v>
      </c>
      <c r="F874" s="2" t="s">
        <v>10</v>
      </c>
      <c r="G874" s="2" t="s">
        <v>16</v>
      </c>
      <c r="H874" s="2">
        <v>15000000</v>
      </c>
      <c r="I874" s="2">
        <v>7</v>
      </c>
      <c r="J874" s="3">
        <v>3388210</v>
      </c>
      <c r="K874">
        <f t="shared" si="34"/>
        <v>1.3775047412552699E-3</v>
      </c>
      <c r="R874" s="12" t="str">
        <f ca="1">IFERROR(__xludf.DUMMYFUNCTION("""COMPUTED_VALUE"""),"Anastasia ")</f>
        <v>Anastasia </v>
      </c>
      <c r="S874" s="12">
        <f t="shared" si="35"/>
        <v>65702060</v>
      </c>
    </row>
    <row r="875" spans="1:19" x14ac:dyDescent="0.3">
      <c r="A875" s="2" t="s">
        <v>159</v>
      </c>
      <c r="B875" s="2">
        <v>102</v>
      </c>
      <c r="C875" s="3">
        <v>79948113</v>
      </c>
      <c r="D875" s="3" t="s">
        <v>5826</v>
      </c>
      <c r="E875" s="2" t="s">
        <v>160</v>
      </c>
      <c r="F875" s="2" t="s">
        <v>10</v>
      </c>
      <c r="G875" s="2" t="s">
        <v>11</v>
      </c>
      <c r="H875" s="2">
        <v>165000000</v>
      </c>
      <c r="I875" s="2">
        <v>7.9</v>
      </c>
      <c r="J875" s="3">
        <v>3432342</v>
      </c>
      <c r="K875">
        <f t="shared" si="34"/>
        <v>1.3775047412552699E-3</v>
      </c>
      <c r="R875" s="12" t="str">
        <f ca="1">IFERROR(__xludf.DUMMYFUNCTION("""COMPUTED_VALUE"""),"Moulin Rouge! ")</f>
        <v>Moulin Rouge! </v>
      </c>
      <c r="S875" s="12">
        <f t="shared" si="35"/>
        <v>100878089</v>
      </c>
    </row>
    <row r="876" spans="1:19" x14ac:dyDescent="0.3">
      <c r="A876" s="2" t="s">
        <v>155</v>
      </c>
      <c r="B876" s="2">
        <v>93</v>
      </c>
      <c r="C876" s="3">
        <v>61356221</v>
      </c>
      <c r="D876" s="3" t="s">
        <v>5771</v>
      </c>
      <c r="E876" s="2" t="s">
        <v>156</v>
      </c>
      <c r="F876" s="2" t="s">
        <v>10</v>
      </c>
      <c r="G876" s="2" t="s">
        <v>11</v>
      </c>
      <c r="H876" s="2">
        <v>165000000</v>
      </c>
      <c r="I876" s="2">
        <v>6.4</v>
      </c>
      <c r="J876" s="3">
        <v>3442820</v>
      </c>
      <c r="K876">
        <f t="shared" si="34"/>
        <v>1.3775047412552699E-3</v>
      </c>
      <c r="R876" s="12" t="str">
        <f ca="1">IFERROR(__xludf.DUMMYFUNCTION("""COMPUTED_VALUE"""),"Domestic Disturbance ")</f>
        <v>Domestic Disturbance </v>
      </c>
      <c r="S876" s="12">
        <f t="shared" si="35"/>
        <v>3811275</v>
      </c>
    </row>
    <row r="877" spans="1:19" x14ac:dyDescent="0.3">
      <c r="A877" s="2" t="s">
        <v>5383</v>
      </c>
      <c r="B877" s="2">
        <v>90</v>
      </c>
      <c r="C877" s="3">
        <v>119500000</v>
      </c>
      <c r="D877" s="3" t="s">
        <v>6092</v>
      </c>
      <c r="E877" s="2" t="s">
        <v>5384</v>
      </c>
      <c r="F877" s="2" t="s">
        <v>10</v>
      </c>
      <c r="G877" s="2" t="s">
        <v>11</v>
      </c>
      <c r="H877" s="2">
        <v>1000000</v>
      </c>
      <c r="I877" s="2">
        <v>5.7</v>
      </c>
      <c r="J877" s="3">
        <v>3447339</v>
      </c>
      <c r="K877">
        <f t="shared" si="34"/>
        <v>1.3775047412552699E-3</v>
      </c>
      <c r="R877" s="12" t="str">
        <f ca="1">IFERROR(__xludf.DUMMYFUNCTION("""COMPUTED_VALUE"""),"Black Mass ")</f>
        <v>Black Mass </v>
      </c>
      <c r="S877" s="12">
        <f t="shared" si="35"/>
        <v>187616238</v>
      </c>
    </row>
    <row r="878" spans="1:19" x14ac:dyDescent="0.3">
      <c r="A878" s="2" t="s">
        <v>2212</v>
      </c>
      <c r="B878" s="2">
        <v>89</v>
      </c>
      <c r="C878" s="3">
        <v>87666629</v>
      </c>
      <c r="D878" s="3" t="s">
        <v>5766</v>
      </c>
      <c r="E878" s="2" t="s">
        <v>2213</v>
      </c>
      <c r="F878" s="2" t="s">
        <v>10</v>
      </c>
      <c r="G878" s="2" t="s">
        <v>11</v>
      </c>
      <c r="H878" s="2">
        <v>30000000</v>
      </c>
      <c r="I878" s="2">
        <v>5.4</v>
      </c>
      <c r="J878" s="3">
        <v>3468572</v>
      </c>
      <c r="K878">
        <f t="shared" si="34"/>
        <v>1.3775047412552699E-3</v>
      </c>
      <c r="R878" s="12" t="str">
        <f ca="1">IFERROR(__xludf.DUMMYFUNCTION("""COMPUTED_VALUE"""),"Flags of Our Fathers ")</f>
        <v>Flags of Our Fathers </v>
      </c>
      <c r="S878" s="12">
        <f t="shared" si="35"/>
        <v>23853424</v>
      </c>
    </row>
    <row r="879" spans="1:19" x14ac:dyDescent="0.3">
      <c r="A879" s="2" t="s">
        <v>3284</v>
      </c>
      <c r="B879" s="2">
        <v>120</v>
      </c>
      <c r="C879" s="3">
        <v>34293771</v>
      </c>
      <c r="D879" s="3" t="s">
        <v>6069</v>
      </c>
      <c r="E879" s="2" t="s">
        <v>3285</v>
      </c>
      <c r="F879" s="2" t="s">
        <v>10</v>
      </c>
      <c r="G879" s="2" t="s">
        <v>504</v>
      </c>
      <c r="H879" s="2">
        <v>17000000</v>
      </c>
      <c r="I879" s="2">
        <v>6.6</v>
      </c>
      <c r="J879" s="3">
        <v>3500000</v>
      </c>
      <c r="K879">
        <f t="shared" si="34"/>
        <v>1.3775047412552699E-3</v>
      </c>
      <c r="R879" s="12" t="str">
        <f ca="1">IFERROR(__xludf.DUMMYFUNCTION("""COMPUTED_VALUE"""),"Law Abiding Citizen ")</f>
        <v>Law Abiding Citizen </v>
      </c>
      <c r="S879" s="12">
        <f t="shared" si="35"/>
        <v>48997476</v>
      </c>
    </row>
    <row r="880" spans="1:19" x14ac:dyDescent="0.3">
      <c r="A880" s="2" t="s">
        <v>3471</v>
      </c>
      <c r="B880" s="2">
        <v>84</v>
      </c>
      <c r="C880" s="3">
        <v>177575142</v>
      </c>
      <c r="D880" s="3" t="s">
        <v>5958</v>
      </c>
      <c r="E880" s="2" t="s">
        <v>3472</v>
      </c>
      <c r="F880" s="2" t="s">
        <v>10</v>
      </c>
      <c r="G880" s="2" t="s">
        <v>98</v>
      </c>
      <c r="H880" s="2">
        <v>15000000</v>
      </c>
      <c r="I880" s="2">
        <v>5.5</v>
      </c>
      <c r="J880" s="3">
        <v>3500000</v>
      </c>
      <c r="K880">
        <f t="shared" si="34"/>
        <v>1.3775047412552699E-3</v>
      </c>
      <c r="R880" s="12" t="str">
        <f ca="1">IFERROR(__xludf.DUMMYFUNCTION("""COMPUTED_VALUE"""),"Grindhouse ")</f>
        <v>Grindhouse </v>
      </c>
      <c r="S880" s="12">
        <f t="shared" si="35"/>
        <v>-70761389</v>
      </c>
    </row>
    <row r="881" spans="1:19" x14ac:dyDescent="0.3">
      <c r="A881" s="2" t="s">
        <v>3710</v>
      </c>
      <c r="B881" s="2">
        <v>120</v>
      </c>
      <c r="C881" s="3">
        <v>18761993</v>
      </c>
      <c r="D881" s="3" t="s">
        <v>5849</v>
      </c>
      <c r="E881" s="2" t="s">
        <v>3711</v>
      </c>
      <c r="F881" s="2" t="s">
        <v>751</v>
      </c>
      <c r="G881" s="2" t="s">
        <v>504</v>
      </c>
      <c r="H881" s="2">
        <v>13000000</v>
      </c>
      <c r="I881" s="2">
        <v>7.3</v>
      </c>
      <c r="J881" s="3">
        <v>3517797</v>
      </c>
      <c r="K881">
        <f t="shared" si="34"/>
        <v>1.3775047412552699E-3</v>
      </c>
      <c r="R881" s="12" t="str">
        <f ca="1">IFERROR(__xludf.DUMMYFUNCTION("""COMPUTED_VALUE"""),"Beloved ")</f>
        <v>Beloved </v>
      </c>
      <c r="S881" s="12">
        <f t="shared" si="35"/>
        <v>35400000</v>
      </c>
    </row>
    <row r="882" spans="1:19" x14ac:dyDescent="0.3">
      <c r="A882" s="2" t="s">
        <v>4711</v>
      </c>
      <c r="B882" s="2">
        <v>105</v>
      </c>
      <c r="C882" s="2">
        <v>37440</v>
      </c>
      <c r="D882" s="3" t="s">
        <v>6093</v>
      </c>
      <c r="E882" s="2" t="s">
        <v>4712</v>
      </c>
      <c r="F882" s="2" t="s">
        <v>10</v>
      </c>
      <c r="G882" s="2" t="s">
        <v>11</v>
      </c>
      <c r="H882" s="2">
        <v>5000000</v>
      </c>
      <c r="I882" s="2">
        <v>7.5</v>
      </c>
      <c r="J882" s="3">
        <v>3519627</v>
      </c>
      <c r="K882">
        <f t="shared" si="34"/>
        <v>1.3775047412552699E-3</v>
      </c>
      <c r="R882" s="12" t="str">
        <f ca="1">IFERROR(__xludf.DUMMYFUNCTION("""COMPUTED_VALUE"""),"Lucky You ")</f>
        <v>Lucky You </v>
      </c>
      <c r="S882" s="12">
        <f t="shared" si="35"/>
        <v>182239919</v>
      </c>
    </row>
    <row r="883" spans="1:19" x14ac:dyDescent="0.3">
      <c r="A883" s="2" t="s">
        <v>295</v>
      </c>
      <c r="B883" s="2">
        <v>103</v>
      </c>
      <c r="C883" s="3">
        <v>100292856</v>
      </c>
      <c r="D883" s="3" t="s">
        <v>520</v>
      </c>
      <c r="E883" s="2" t="s">
        <v>1607</v>
      </c>
      <c r="F883" s="2" t="s">
        <v>10</v>
      </c>
      <c r="G883" s="2" t="s">
        <v>504</v>
      </c>
      <c r="H883" s="2">
        <v>45000000</v>
      </c>
      <c r="I883" s="2">
        <v>7</v>
      </c>
      <c r="J883" s="3">
        <v>3559990</v>
      </c>
      <c r="K883">
        <f t="shared" si="34"/>
        <v>1.3775047412552699E-3</v>
      </c>
      <c r="R883" s="12" t="str">
        <f ca="1">IFERROR(__xludf.DUMMYFUNCTION("""COMPUTED_VALUE"""),"Catch Me If You Can ")</f>
        <v>Catch Me If You Can </v>
      </c>
      <c r="S883" s="12">
        <f t="shared" si="35"/>
        <v>74600000</v>
      </c>
    </row>
    <row r="884" spans="1:19" x14ac:dyDescent="0.3">
      <c r="A884" s="2" t="s">
        <v>2257</v>
      </c>
      <c r="B884" s="2">
        <v>149</v>
      </c>
      <c r="C884" s="3">
        <v>16115878</v>
      </c>
      <c r="D884" s="3" t="s">
        <v>5869</v>
      </c>
      <c r="E884" s="2" t="s">
        <v>5004</v>
      </c>
      <c r="F884" s="2" t="s">
        <v>10</v>
      </c>
      <c r="G884" s="2" t="s">
        <v>11</v>
      </c>
      <c r="H884" s="2">
        <v>26000000</v>
      </c>
      <c r="I884" s="2">
        <v>6.9</v>
      </c>
      <c r="J884" s="3">
        <v>3562749</v>
      </c>
      <c r="K884">
        <f t="shared" si="34"/>
        <v>1.3775047412552699E-3</v>
      </c>
      <c r="R884" s="12" t="str">
        <f ca="1">IFERROR(__xludf.DUMMYFUNCTION("""COMPUTED_VALUE"""),"Zero Dark Thirty ")</f>
        <v>Zero Dark Thirty </v>
      </c>
      <c r="S884" s="12">
        <f t="shared" si="35"/>
        <v>-59958317</v>
      </c>
    </row>
    <row r="885" spans="1:19" x14ac:dyDescent="0.3">
      <c r="A885" s="2" t="s">
        <v>1021</v>
      </c>
      <c r="B885" s="2">
        <v>125</v>
      </c>
      <c r="C885" s="3">
        <v>57386369</v>
      </c>
      <c r="D885" s="3" t="s">
        <v>6094</v>
      </c>
      <c r="E885" s="2" t="s">
        <v>1022</v>
      </c>
      <c r="F885" s="2" t="s">
        <v>10</v>
      </c>
      <c r="G885" s="2" t="s">
        <v>11</v>
      </c>
      <c r="H885" s="2">
        <v>42000000</v>
      </c>
      <c r="I885" s="2">
        <v>5.9</v>
      </c>
      <c r="J885" s="3">
        <v>3571735</v>
      </c>
      <c r="K885">
        <f t="shared" si="34"/>
        <v>1.3775047412552699E-3</v>
      </c>
      <c r="R885" s="12" t="str">
        <f ca="1">IFERROR(__xludf.DUMMYFUNCTION("""COMPUTED_VALUE"""),"The Break-Up ")</f>
        <v>The Break-Up </v>
      </c>
      <c r="S885" s="12">
        <f t="shared" si="35"/>
        <v>-1215568</v>
      </c>
    </row>
    <row r="886" spans="1:19" x14ac:dyDescent="0.3">
      <c r="A886" s="2" t="s">
        <v>2194</v>
      </c>
      <c r="B886" s="2">
        <v>96</v>
      </c>
      <c r="C886" s="3">
        <v>72077000</v>
      </c>
      <c r="D886" s="3" t="s">
        <v>5857</v>
      </c>
      <c r="E886" s="2" t="s">
        <v>4349</v>
      </c>
      <c r="F886" s="2" t="s">
        <v>10</v>
      </c>
      <c r="G886" s="2" t="s">
        <v>11</v>
      </c>
      <c r="H886" s="2">
        <v>7500000</v>
      </c>
      <c r="I886" s="2">
        <v>7.5</v>
      </c>
      <c r="J886" s="3">
        <v>3588432</v>
      </c>
      <c r="K886">
        <f t="shared" si="34"/>
        <v>1.3775047412552699E-3</v>
      </c>
      <c r="R886" s="12" t="str">
        <f ca="1">IFERROR(__xludf.DUMMYFUNCTION("""COMPUTED_VALUE"""),"Mamma Mia! ")</f>
        <v>Mamma Mia! </v>
      </c>
      <c r="S886" s="12">
        <f t="shared" si="35"/>
        <v>71954306</v>
      </c>
    </row>
    <row r="887" spans="1:19" x14ac:dyDescent="0.3">
      <c r="A887" s="2" t="s">
        <v>653</v>
      </c>
      <c r="B887" s="2">
        <v>90</v>
      </c>
      <c r="C887" s="3">
        <v>110175871</v>
      </c>
      <c r="D887" s="3" t="s">
        <v>5869</v>
      </c>
      <c r="E887" s="2" t="s">
        <v>1693</v>
      </c>
      <c r="F887" s="2" t="s">
        <v>10</v>
      </c>
      <c r="G887" s="2" t="s">
        <v>11</v>
      </c>
      <c r="H887" s="2">
        <v>40000000</v>
      </c>
      <c r="I887" s="2">
        <v>6.6</v>
      </c>
      <c r="J887" s="3">
        <v>3590010</v>
      </c>
      <c r="K887">
        <f t="shared" si="34"/>
        <v>1.3775047412552699E-3</v>
      </c>
      <c r="R887" s="12" t="str">
        <f ca="1">IFERROR(__xludf.DUMMYFUNCTION("""COMPUTED_VALUE"""),"Valentine's Day ")</f>
        <v>Valentine's Day </v>
      </c>
      <c r="S887" s="12">
        <f t="shared" si="35"/>
        <v>-70650210</v>
      </c>
    </row>
    <row r="888" spans="1:19" x14ac:dyDescent="0.3">
      <c r="A888" s="2" t="s">
        <v>963</v>
      </c>
      <c r="B888" s="2">
        <v>137</v>
      </c>
      <c r="C888" s="3">
        <v>83024900</v>
      </c>
      <c r="D888" s="3" t="s">
        <v>5874</v>
      </c>
      <c r="E888" s="2" t="s">
        <v>964</v>
      </c>
      <c r="F888" s="2" t="s">
        <v>10</v>
      </c>
      <c r="G888" s="2" t="s">
        <v>11</v>
      </c>
      <c r="H888" s="2">
        <v>65000000</v>
      </c>
      <c r="I888" s="2">
        <v>7.2</v>
      </c>
      <c r="J888" s="3">
        <v>3609278</v>
      </c>
      <c r="K888">
        <f t="shared" si="34"/>
        <v>1.3775047412552699E-3</v>
      </c>
      <c r="R888" s="12" t="str">
        <f ca="1">IFERROR(__xludf.DUMMYFUNCTION("""COMPUTED_VALUE"""),"The Dukes of Hazzard ")</f>
        <v>The Dukes of Hazzard </v>
      </c>
      <c r="S888" s="12">
        <f t="shared" si="35"/>
        <v>-15032641</v>
      </c>
    </row>
    <row r="889" spans="1:19" x14ac:dyDescent="0.3">
      <c r="A889" s="2" t="s">
        <v>1063</v>
      </c>
      <c r="B889" s="2">
        <v>115</v>
      </c>
      <c r="C889" s="3">
        <v>74787599</v>
      </c>
      <c r="D889" s="3" t="s">
        <v>6095</v>
      </c>
      <c r="E889" s="2" t="s">
        <v>1064</v>
      </c>
      <c r="F889" s="2" t="s">
        <v>10</v>
      </c>
      <c r="G889" s="2" t="s">
        <v>11</v>
      </c>
      <c r="H889" s="2">
        <v>55000000</v>
      </c>
      <c r="I889" s="2">
        <v>6.5</v>
      </c>
      <c r="J889" s="3">
        <v>3629758</v>
      </c>
      <c r="K889">
        <f t="shared" si="34"/>
        <v>1.3775047412552699E-3</v>
      </c>
      <c r="R889" s="12" t="str">
        <f ca="1">IFERROR(__xludf.DUMMYFUNCTION("""COMPUTED_VALUE"""),"The Thin Red Line ")</f>
        <v>The Thin Red Line </v>
      </c>
      <c r="S889" s="12">
        <f t="shared" si="35"/>
        <v>79328194</v>
      </c>
    </row>
    <row r="890" spans="1:19" x14ac:dyDescent="0.3">
      <c r="A890" s="2" t="s">
        <v>693</v>
      </c>
      <c r="B890" s="2">
        <v>122</v>
      </c>
      <c r="C890" s="3">
        <v>101785482</v>
      </c>
      <c r="D890" s="3" t="s">
        <v>5869</v>
      </c>
      <c r="E890" s="2" t="s">
        <v>1533</v>
      </c>
      <c r="F890" s="2" t="s">
        <v>10</v>
      </c>
      <c r="G890" s="2" t="s">
        <v>11</v>
      </c>
      <c r="H890" s="2">
        <v>35000000</v>
      </c>
      <c r="I890" s="2">
        <v>6.8</v>
      </c>
      <c r="J890" s="3">
        <v>3645438</v>
      </c>
      <c r="K890">
        <f t="shared" si="34"/>
        <v>1.3775047412552699E-3</v>
      </c>
      <c r="R890" s="12" t="str">
        <f ca="1">IFERROR(__xludf.DUMMYFUNCTION("""COMPUTED_VALUE"""),"The Change-Up ")</f>
        <v>The Change-Up </v>
      </c>
      <c r="S890" s="12">
        <f t="shared" si="35"/>
        <v>85823600</v>
      </c>
    </row>
    <row r="891" spans="1:19" x14ac:dyDescent="0.3">
      <c r="A891" s="2" t="s">
        <v>280</v>
      </c>
      <c r="B891" s="2">
        <v>138</v>
      </c>
      <c r="C891" s="3">
        <v>122512052</v>
      </c>
      <c r="D891" s="3" t="s">
        <v>5874</v>
      </c>
      <c r="E891" s="2" t="s">
        <v>281</v>
      </c>
      <c r="F891" s="2" t="s">
        <v>10</v>
      </c>
      <c r="G891" s="2" t="s">
        <v>11</v>
      </c>
      <c r="H891" s="2">
        <v>137000000</v>
      </c>
      <c r="I891" s="2">
        <v>5.7</v>
      </c>
      <c r="J891" s="3">
        <v>3650677</v>
      </c>
      <c r="K891">
        <f t="shared" si="34"/>
        <v>1.3775047412552699E-3</v>
      </c>
      <c r="R891" s="12" t="str">
        <f ca="1">IFERROR(__xludf.DUMMYFUNCTION("""COMPUTED_VALUE"""),"Man on the Moon ")</f>
        <v>Man on the Moon </v>
      </c>
      <c r="S891" s="12">
        <f t="shared" si="35"/>
        <v>56354205</v>
      </c>
    </row>
    <row r="892" spans="1:19" x14ac:dyDescent="0.3">
      <c r="A892" s="2" t="s">
        <v>128</v>
      </c>
      <c r="B892" s="2">
        <v>121</v>
      </c>
      <c r="C892" s="3">
        <v>11702090</v>
      </c>
      <c r="D892" s="3" t="s">
        <v>5940</v>
      </c>
      <c r="E892" s="2" t="s">
        <v>3167</v>
      </c>
      <c r="F892" s="2" t="s">
        <v>10</v>
      </c>
      <c r="G892" s="2" t="s">
        <v>11</v>
      </c>
      <c r="H892" s="2">
        <v>18000000</v>
      </c>
      <c r="I892" s="2">
        <v>8.3000000000000007</v>
      </c>
      <c r="J892" s="3">
        <v>3675072</v>
      </c>
      <c r="K892">
        <f t="shared" si="34"/>
        <v>1.3775047412552699E-3</v>
      </c>
      <c r="R892" s="12" t="str">
        <f ca="1">IFERROR(__xludf.DUMMYFUNCTION("""COMPUTED_VALUE"""),"Casino ")</f>
        <v>Casino </v>
      </c>
      <c r="S892" s="12">
        <f t="shared" si="35"/>
        <v>-419634117</v>
      </c>
    </row>
    <row r="893" spans="1:19" x14ac:dyDescent="0.3">
      <c r="A893" s="2" t="s">
        <v>89</v>
      </c>
      <c r="B893" s="2">
        <v>140</v>
      </c>
      <c r="C893" s="3">
        <v>34180954</v>
      </c>
      <c r="D893" s="3" t="s">
        <v>5975</v>
      </c>
      <c r="E893" s="2" t="s">
        <v>90</v>
      </c>
      <c r="F893" s="2" t="s">
        <v>10</v>
      </c>
      <c r="G893" s="2" t="s">
        <v>11</v>
      </c>
      <c r="H893" s="2">
        <v>190000000</v>
      </c>
      <c r="I893" s="2">
        <v>7.2</v>
      </c>
      <c r="J893" s="3">
        <v>3707794</v>
      </c>
      <c r="K893">
        <f t="shared" si="34"/>
        <v>1.3775047412552699E-3</v>
      </c>
      <c r="R893" s="12" t="str">
        <f ca="1">IFERROR(__xludf.DUMMYFUNCTION("""COMPUTED_VALUE"""),"From Paris with Love ")</f>
        <v>From Paris with Love </v>
      </c>
      <c r="S893" s="12">
        <f t="shared" si="35"/>
        <v>78222438</v>
      </c>
    </row>
    <row r="894" spans="1:19" x14ac:dyDescent="0.3">
      <c r="A894" s="2" t="s">
        <v>1631</v>
      </c>
      <c r="B894" s="2">
        <v>131</v>
      </c>
      <c r="C894" s="3">
        <v>87341380</v>
      </c>
      <c r="D894" s="3" t="s">
        <v>6096</v>
      </c>
      <c r="E894" s="2" t="s">
        <v>2424</v>
      </c>
      <c r="F894" s="2" t="s">
        <v>10</v>
      </c>
      <c r="G894" s="2" t="s">
        <v>16</v>
      </c>
      <c r="H894" s="2">
        <v>27500000</v>
      </c>
      <c r="I894" s="2">
        <v>6.6</v>
      </c>
      <c r="J894" s="3">
        <v>3713002</v>
      </c>
      <c r="K894">
        <f t="shared" si="34"/>
        <v>1.3775047412552699E-3</v>
      </c>
      <c r="R894" s="12" t="str">
        <f ca="1">IFERROR(__xludf.DUMMYFUNCTION("""COMPUTED_VALUE"""),"Bulletproof Monk ")</f>
        <v>Bulletproof Monk </v>
      </c>
      <c r="S894" s="12">
        <f t="shared" si="35"/>
        <v>20939454</v>
      </c>
    </row>
    <row r="895" spans="1:19" x14ac:dyDescent="0.3">
      <c r="A895" s="2" t="s">
        <v>1553</v>
      </c>
      <c r="B895" s="2">
        <v>88</v>
      </c>
      <c r="C895" s="3">
        <v>31600000</v>
      </c>
      <c r="D895" s="3" t="s">
        <v>5913</v>
      </c>
      <c r="E895" s="2" t="s">
        <v>1554</v>
      </c>
      <c r="F895" s="2" t="s">
        <v>10</v>
      </c>
      <c r="G895" s="2" t="s">
        <v>11</v>
      </c>
      <c r="H895" s="2">
        <v>50000000</v>
      </c>
      <c r="I895" s="2">
        <v>5.9</v>
      </c>
      <c r="J895" s="3">
        <v>3749061</v>
      </c>
      <c r="K895">
        <f t="shared" si="34"/>
        <v>1.3775047412552699E-3</v>
      </c>
      <c r="R895" s="12" t="str">
        <f ca="1">IFERROR(__xludf.DUMMYFUNCTION("""COMPUTED_VALUE"""),"Me, Myself &amp; Irene ")</f>
        <v>Me, Myself &amp; Irene </v>
      </c>
      <c r="S895" s="12">
        <f t="shared" si="35"/>
        <v>104727000</v>
      </c>
    </row>
    <row r="896" spans="1:19" x14ac:dyDescent="0.3">
      <c r="A896" s="2" t="s">
        <v>128</v>
      </c>
      <c r="B896" s="2">
        <v>146</v>
      </c>
      <c r="C896" s="3">
        <v>18663911</v>
      </c>
      <c r="D896" s="3" t="s">
        <v>5778</v>
      </c>
      <c r="E896" s="2" t="s">
        <v>2547</v>
      </c>
      <c r="F896" s="2" t="s">
        <v>10</v>
      </c>
      <c r="G896" s="2" t="s">
        <v>11</v>
      </c>
      <c r="H896" s="2">
        <v>25000000</v>
      </c>
      <c r="I896" s="2">
        <v>8.6999999999999993</v>
      </c>
      <c r="J896" s="3">
        <v>3752725</v>
      </c>
      <c r="K896">
        <f t="shared" si="34"/>
        <v>1.3775047412552699E-3</v>
      </c>
      <c r="R896" s="12" t="str">
        <f ca="1">IFERROR(__xludf.DUMMYFUNCTION("""COMPUTED_VALUE"""),"Barnyard ")</f>
        <v>Barnyard </v>
      </c>
      <c r="S896" s="12">
        <f t="shared" si="35"/>
        <v>161483808</v>
      </c>
    </row>
    <row r="897" spans="1:19" x14ac:dyDescent="0.3">
      <c r="A897" s="2" t="s">
        <v>5229</v>
      </c>
      <c r="B897" s="2">
        <v>135</v>
      </c>
      <c r="C897" s="3">
        <v>50668906</v>
      </c>
      <c r="D897" s="3" t="s">
        <v>5851</v>
      </c>
      <c r="E897" s="2" t="s">
        <v>5230</v>
      </c>
      <c r="F897" s="2" t="s">
        <v>5231</v>
      </c>
      <c r="G897" s="2" t="s">
        <v>11</v>
      </c>
      <c r="H897" s="2">
        <v>1592000</v>
      </c>
      <c r="I897" s="2">
        <v>7.4</v>
      </c>
      <c r="J897" s="3">
        <v>3753806</v>
      </c>
      <c r="K897">
        <f t="shared" si="34"/>
        <v>1.3775047412552699E-3</v>
      </c>
      <c r="R897" s="12" t="str">
        <f ca="1">IFERROR(__xludf.DUMMYFUNCTION("""COMPUTED_VALUE"""),"The Twilight Saga: New Moon ")</f>
        <v>The Twilight Saga: New Moon </v>
      </c>
      <c r="S897" s="12">
        <f t="shared" si="35"/>
        <v>-85051887</v>
      </c>
    </row>
    <row r="898" spans="1:19" x14ac:dyDescent="0.3">
      <c r="A898" s="2" t="s">
        <v>61</v>
      </c>
      <c r="B898" s="2">
        <v>86</v>
      </c>
      <c r="C898" s="3">
        <v>148775460</v>
      </c>
      <c r="D898" s="3" t="s">
        <v>5919</v>
      </c>
      <c r="E898" s="2" t="s">
        <v>5440</v>
      </c>
      <c r="F898" s="2" t="s">
        <v>10</v>
      </c>
      <c r="G898" s="2" t="s">
        <v>11</v>
      </c>
      <c r="H898" s="2">
        <v>750000</v>
      </c>
      <c r="I898" s="2">
        <v>7</v>
      </c>
      <c r="J898" s="3">
        <v>3773863</v>
      </c>
      <c r="K898">
        <f t="shared" ref="K898:K961" si="36">CORREL(H$2:H$3941,J$2:J$3941)</f>
        <v>1.3775047412552699E-3</v>
      </c>
      <c r="R898" s="12" t="str">
        <f ca="1">IFERROR(__xludf.DUMMYFUNCTION("""COMPUTED_VALUE"""),"Shrek ")</f>
        <v>Shrek </v>
      </c>
      <c r="S898" s="12">
        <f t="shared" si="35"/>
        <v>-103643779</v>
      </c>
    </row>
    <row r="899" spans="1:19" x14ac:dyDescent="0.3">
      <c r="A899" s="2" t="s">
        <v>1549</v>
      </c>
      <c r="B899" s="2">
        <v>105</v>
      </c>
      <c r="C899" s="3">
        <v>83000000</v>
      </c>
      <c r="D899" s="3" t="s">
        <v>5869</v>
      </c>
      <c r="E899" s="2" t="s">
        <v>2090</v>
      </c>
      <c r="F899" s="2" t="s">
        <v>10</v>
      </c>
      <c r="G899" s="2" t="s">
        <v>199</v>
      </c>
      <c r="H899" s="2">
        <v>33000000</v>
      </c>
      <c r="I899" s="2">
        <v>5.6</v>
      </c>
      <c r="J899" s="3">
        <v>3798532</v>
      </c>
      <c r="K899">
        <f t="shared" si="36"/>
        <v>1.3775047412552699E-3</v>
      </c>
      <c r="R899" s="12" t="str">
        <f ca="1">IFERROR(__xludf.DUMMYFUNCTION("""COMPUTED_VALUE"""),"The Adjustment Bureau ")</f>
        <v>The Adjustment Bureau </v>
      </c>
      <c r="S899" s="12">
        <f t="shared" si="35"/>
        <v>118500000</v>
      </c>
    </row>
    <row r="900" spans="1:19" x14ac:dyDescent="0.3">
      <c r="A900" s="2" t="s">
        <v>5478</v>
      </c>
      <c r="B900" s="2">
        <v>120</v>
      </c>
      <c r="C900" s="3">
        <v>172620724</v>
      </c>
      <c r="D900" s="3" t="s">
        <v>5849</v>
      </c>
      <c r="E900" s="2" t="s">
        <v>5479</v>
      </c>
      <c r="F900" s="2" t="s">
        <v>10</v>
      </c>
      <c r="G900" s="2" t="s">
        <v>11</v>
      </c>
      <c r="H900" s="2">
        <v>1000000</v>
      </c>
      <c r="I900" s="2">
        <v>7.1</v>
      </c>
      <c r="J900" s="3">
        <v>3799339</v>
      </c>
      <c r="K900">
        <f t="shared" si="36"/>
        <v>1.3775047412552699E-3</v>
      </c>
      <c r="R900" s="12" t="str">
        <f ca="1">IFERROR(__xludf.DUMMYFUNCTION("""COMPUTED_VALUE"""),"Robin Hood: Prince of Thieves ")</f>
        <v>Robin Hood: Prince of Thieves </v>
      </c>
      <c r="S900" s="12">
        <f t="shared" si="35"/>
        <v>57666629</v>
      </c>
    </row>
    <row r="901" spans="1:19" x14ac:dyDescent="0.3">
      <c r="A901" s="2" t="s">
        <v>2135</v>
      </c>
      <c r="B901" s="2">
        <v>107</v>
      </c>
      <c r="C901" s="3">
        <v>110008260</v>
      </c>
      <c r="D901" s="3" t="s">
        <v>5805</v>
      </c>
      <c r="E901" s="2" t="s">
        <v>2136</v>
      </c>
      <c r="F901" s="2" t="s">
        <v>10</v>
      </c>
      <c r="G901" s="2" t="s">
        <v>1840</v>
      </c>
      <c r="H901" s="2">
        <v>35000000</v>
      </c>
      <c r="I901" s="2">
        <v>3.6</v>
      </c>
      <c r="J901" s="3">
        <v>3885134</v>
      </c>
      <c r="K901">
        <f t="shared" si="36"/>
        <v>1.3775047412552699E-3</v>
      </c>
      <c r="R901" s="12" t="str">
        <f ca="1">IFERROR(__xludf.DUMMYFUNCTION("""COMPUTED_VALUE"""),"Jerry Maguire ")</f>
        <v>Jerry Maguire </v>
      </c>
      <c r="S901" s="12">
        <f t="shared" si="35"/>
        <v>17293771</v>
      </c>
    </row>
    <row r="902" spans="1:19" x14ac:dyDescent="0.3">
      <c r="A902" s="2" t="s">
        <v>868</v>
      </c>
      <c r="B902" s="2">
        <v>141</v>
      </c>
      <c r="C902" s="3">
        <v>73215310</v>
      </c>
      <c r="D902" s="3" t="s">
        <v>5975</v>
      </c>
      <c r="E902" s="2" t="s">
        <v>869</v>
      </c>
      <c r="F902" s="2" t="s">
        <v>10</v>
      </c>
      <c r="G902" s="2" t="s">
        <v>11</v>
      </c>
      <c r="H902" s="2">
        <v>68000000</v>
      </c>
      <c r="I902" s="2">
        <v>6.9</v>
      </c>
      <c r="J902" s="3">
        <v>3895664</v>
      </c>
      <c r="K902">
        <f t="shared" si="36"/>
        <v>1.3775047412552699E-3</v>
      </c>
      <c r="R902" s="12" t="str">
        <f ca="1">IFERROR(__xludf.DUMMYFUNCTION("""COMPUTED_VALUE"""),"Ted ")</f>
        <v>Ted </v>
      </c>
      <c r="S902" s="12">
        <f t="shared" si="35"/>
        <v>162575142</v>
      </c>
    </row>
    <row r="903" spans="1:19" x14ac:dyDescent="0.3">
      <c r="A903" s="2" t="s">
        <v>274</v>
      </c>
      <c r="B903" s="2">
        <v>126</v>
      </c>
      <c r="C903" s="3">
        <v>100289690</v>
      </c>
      <c r="D903" s="3" t="s">
        <v>5865</v>
      </c>
      <c r="E903" s="2" t="s">
        <v>275</v>
      </c>
      <c r="F903" s="2" t="s">
        <v>10</v>
      </c>
      <c r="G903" s="2" t="s">
        <v>11</v>
      </c>
      <c r="H903" s="2">
        <v>140000000</v>
      </c>
      <c r="I903" s="2">
        <v>5.5</v>
      </c>
      <c r="J903" s="3">
        <v>3902679</v>
      </c>
      <c r="K903">
        <f t="shared" si="36"/>
        <v>1.3775047412552699E-3</v>
      </c>
      <c r="R903" s="12" t="str">
        <f ca="1">IFERROR(__xludf.DUMMYFUNCTION("""COMPUTED_VALUE"""),"As Good as It Gets ")</f>
        <v>As Good as It Gets </v>
      </c>
      <c r="S903" s="12">
        <f t="shared" si="35"/>
        <v>5761993</v>
      </c>
    </row>
    <row r="904" spans="1:19" x14ac:dyDescent="0.3">
      <c r="A904" s="2" t="s">
        <v>3673</v>
      </c>
      <c r="B904" s="2">
        <v>91</v>
      </c>
      <c r="C904" s="3">
        <v>18882880</v>
      </c>
      <c r="D904" s="3" t="s">
        <v>5813</v>
      </c>
      <c r="E904" s="2" t="s">
        <v>3674</v>
      </c>
      <c r="F904" s="2" t="s">
        <v>10</v>
      </c>
      <c r="G904" s="2" t="s">
        <v>11</v>
      </c>
      <c r="H904" s="2">
        <v>13000000</v>
      </c>
      <c r="I904" s="2">
        <v>6.1</v>
      </c>
      <c r="J904" s="3">
        <v>3904982</v>
      </c>
      <c r="K904">
        <f t="shared" si="36"/>
        <v>1.3775047412552699E-3</v>
      </c>
      <c r="R904" s="12" t="str">
        <f ca="1">IFERROR(__xludf.DUMMYFUNCTION("""COMPUTED_VALUE"""),"Patch Adams ")</f>
        <v>Patch Adams </v>
      </c>
      <c r="S904" s="12">
        <f t="shared" si="35"/>
        <v>-4962560</v>
      </c>
    </row>
    <row r="905" spans="1:19" x14ac:dyDescent="0.3">
      <c r="A905" s="2" t="s">
        <v>1075</v>
      </c>
      <c r="B905" s="2">
        <v>91</v>
      </c>
      <c r="C905" s="3">
        <v>80170146</v>
      </c>
      <c r="D905" s="3" t="s">
        <v>5830</v>
      </c>
      <c r="E905" s="2" t="s">
        <v>1823</v>
      </c>
      <c r="F905" s="2" t="s">
        <v>10</v>
      </c>
      <c r="G905" s="2" t="s">
        <v>11</v>
      </c>
      <c r="H905" s="2">
        <v>40000000</v>
      </c>
      <c r="I905" s="2">
        <v>5.9</v>
      </c>
      <c r="J905" s="3">
        <v>3950029</v>
      </c>
      <c r="K905">
        <f t="shared" si="36"/>
        <v>1.3775047412552699E-3</v>
      </c>
      <c r="R905" s="12" t="str">
        <f ca="1">IFERROR(__xludf.DUMMYFUNCTION("""COMPUTED_VALUE"""),"Anchorman 2: The Legend Continues ")</f>
        <v>Anchorman 2: The Legend Continues </v>
      </c>
      <c r="S905" s="12">
        <f t="shared" si="35"/>
        <v>55292856</v>
      </c>
    </row>
    <row r="906" spans="1:19" x14ac:dyDescent="0.3">
      <c r="A906" s="2" t="s">
        <v>1003</v>
      </c>
      <c r="B906" s="2">
        <v>109</v>
      </c>
      <c r="C906" s="3">
        <v>47952020</v>
      </c>
      <c r="D906" s="3" t="s">
        <v>6097</v>
      </c>
      <c r="E906" s="2" t="s">
        <v>1042</v>
      </c>
      <c r="F906" s="2" t="s">
        <v>10</v>
      </c>
      <c r="G906" s="2" t="s">
        <v>11</v>
      </c>
      <c r="H906" s="2">
        <v>61000000</v>
      </c>
      <c r="I906" s="2">
        <v>6.7</v>
      </c>
      <c r="J906" s="3">
        <v>3950294</v>
      </c>
      <c r="K906">
        <f t="shared" si="36"/>
        <v>1.3775047412552699E-3</v>
      </c>
      <c r="R906" s="12" t="str">
        <f ca="1">IFERROR(__xludf.DUMMYFUNCTION("""COMPUTED_VALUE"""),"Mr. Deeds ")</f>
        <v>Mr. Deeds </v>
      </c>
      <c r="S906" s="12">
        <f t="shared" si="35"/>
        <v>-9884122</v>
      </c>
    </row>
    <row r="907" spans="1:19" x14ac:dyDescent="0.3">
      <c r="A907" s="2" t="s">
        <v>1130</v>
      </c>
      <c r="B907" s="2">
        <v>111</v>
      </c>
      <c r="C907" s="3">
        <v>41997790</v>
      </c>
      <c r="D907" s="3" t="s">
        <v>5813</v>
      </c>
      <c r="E907" s="2" t="s">
        <v>1131</v>
      </c>
      <c r="F907" s="2" t="s">
        <v>10</v>
      </c>
      <c r="G907" s="2" t="s">
        <v>11</v>
      </c>
      <c r="H907" s="2">
        <v>60000000</v>
      </c>
      <c r="I907" s="2">
        <v>6.1</v>
      </c>
      <c r="J907" s="3">
        <v>3958500</v>
      </c>
      <c r="K907">
        <f t="shared" si="36"/>
        <v>1.3775047412552699E-3</v>
      </c>
      <c r="R907" s="12" t="str">
        <f ca="1">IFERROR(__xludf.DUMMYFUNCTION("""COMPUTED_VALUE"""),"Super 8 ")</f>
        <v>Super 8 </v>
      </c>
      <c r="S907" s="12">
        <f t="shared" si="35"/>
        <v>15386369</v>
      </c>
    </row>
    <row r="908" spans="1:19" x14ac:dyDescent="0.3">
      <c r="A908" s="2" t="s">
        <v>3267</v>
      </c>
      <c r="B908" s="2">
        <v>73</v>
      </c>
      <c r="C908" s="3">
        <v>166147885</v>
      </c>
      <c r="D908" s="3" t="s">
        <v>5864</v>
      </c>
      <c r="E908" s="2" t="s">
        <v>3268</v>
      </c>
      <c r="F908" s="2" t="s">
        <v>10</v>
      </c>
      <c r="G908" s="2" t="s">
        <v>11</v>
      </c>
      <c r="H908" s="2">
        <v>17000000</v>
      </c>
      <c r="I908" s="2">
        <v>5.8</v>
      </c>
      <c r="J908" s="3">
        <v>4000000</v>
      </c>
      <c r="K908">
        <f t="shared" si="36"/>
        <v>1.3775047412552699E-3</v>
      </c>
      <c r="R908" s="12" t="str">
        <f ca="1">IFERROR(__xludf.DUMMYFUNCTION("""COMPUTED_VALUE"""),"Erin Brockovich ")</f>
        <v>Erin Brockovich </v>
      </c>
      <c r="S908" s="12">
        <f t="shared" si="35"/>
        <v>64577000</v>
      </c>
    </row>
    <row r="909" spans="1:19" x14ac:dyDescent="0.3">
      <c r="A909" s="2" t="s">
        <v>1425</v>
      </c>
      <c r="B909" s="2">
        <v>101</v>
      </c>
      <c r="C909" s="3">
        <v>69586544</v>
      </c>
      <c r="D909" s="3" t="s">
        <v>5779</v>
      </c>
      <c r="E909" s="2" t="s">
        <v>3244</v>
      </c>
      <c r="F909" s="2" t="s">
        <v>10</v>
      </c>
      <c r="G909" s="2" t="s">
        <v>11</v>
      </c>
      <c r="H909" s="2">
        <v>300000</v>
      </c>
      <c r="I909" s="2">
        <v>7.9</v>
      </c>
      <c r="J909" s="3">
        <v>4000304</v>
      </c>
      <c r="K909">
        <f t="shared" si="36"/>
        <v>1.3775047412552699E-3</v>
      </c>
      <c r="R909" s="12" t="str">
        <f ca="1">IFERROR(__xludf.DUMMYFUNCTION("""COMPUTED_VALUE"""),"How to Lose a Guy in 10 Days ")</f>
        <v>How to Lose a Guy in 10 Days </v>
      </c>
      <c r="S909" s="12">
        <f t="shared" si="35"/>
        <v>70175871</v>
      </c>
    </row>
    <row r="910" spans="1:19" x14ac:dyDescent="0.3">
      <c r="A910" s="2" t="s">
        <v>477</v>
      </c>
      <c r="B910" s="2">
        <v>137</v>
      </c>
      <c r="C910" s="3">
        <v>31598308</v>
      </c>
      <c r="D910" s="3" t="s">
        <v>6098</v>
      </c>
      <c r="E910" s="2" t="s">
        <v>5068</v>
      </c>
      <c r="F910" s="2" t="s">
        <v>3090</v>
      </c>
      <c r="G910" s="2" t="s">
        <v>199</v>
      </c>
      <c r="H910" s="2">
        <v>2000000</v>
      </c>
      <c r="I910" s="2">
        <v>8.5</v>
      </c>
      <c r="J910" s="3">
        <v>4001121</v>
      </c>
      <c r="K910">
        <f t="shared" si="36"/>
        <v>1.3775047412552699E-3</v>
      </c>
      <c r="R910" s="12" t="str">
        <f ca="1">IFERROR(__xludf.DUMMYFUNCTION("""COMPUTED_VALUE"""),"22 Jump Street ")</f>
        <v>22 Jump Street </v>
      </c>
      <c r="S910" s="12">
        <f t="shared" si="35"/>
        <v>18024900</v>
      </c>
    </row>
    <row r="911" spans="1:19" x14ac:dyDescent="0.3">
      <c r="A911" s="2" t="s">
        <v>1566</v>
      </c>
      <c r="B911" s="2">
        <v>86</v>
      </c>
      <c r="C911" s="3">
        <v>39880476</v>
      </c>
      <c r="D911" s="3" t="s">
        <v>5913</v>
      </c>
      <c r="E911" s="2" t="s">
        <v>1567</v>
      </c>
      <c r="F911" s="2" t="s">
        <v>10</v>
      </c>
      <c r="G911" s="2" t="s">
        <v>11</v>
      </c>
      <c r="H911" s="2">
        <v>45000000</v>
      </c>
      <c r="I911" s="2">
        <v>5.4</v>
      </c>
      <c r="J911" s="3">
        <v>4002955</v>
      </c>
      <c r="K911">
        <f t="shared" si="36"/>
        <v>1.3775047412552699E-3</v>
      </c>
      <c r="R911" s="12" t="str">
        <f ca="1">IFERROR(__xludf.DUMMYFUNCTION("""COMPUTED_VALUE"""),"Interview with the Vampire: The Vampire Chronicles ")</f>
        <v>Interview with the Vampire: The Vampire Chronicles </v>
      </c>
      <c r="S911" s="12">
        <f t="shared" si="35"/>
        <v>19787599</v>
      </c>
    </row>
    <row r="912" spans="1:19" x14ac:dyDescent="0.3">
      <c r="A912" s="2" t="s">
        <v>104</v>
      </c>
      <c r="B912" s="2">
        <v>130</v>
      </c>
      <c r="C912" s="3">
        <v>24741700</v>
      </c>
      <c r="D912" s="3" t="s">
        <v>6009</v>
      </c>
      <c r="E912" s="2" t="s">
        <v>3764</v>
      </c>
      <c r="F912" s="2" t="s">
        <v>10</v>
      </c>
      <c r="G912" s="2" t="s">
        <v>11</v>
      </c>
      <c r="H912" s="2">
        <v>8000000</v>
      </c>
      <c r="I912" s="2">
        <v>8</v>
      </c>
      <c r="J912" s="3">
        <v>4006906</v>
      </c>
      <c r="K912">
        <f t="shared" si="36"/>
        <v>1.3775047412552699E-3</v>
      </c>
      <c r="R912" s="12" t="str">
        <f ca="1">IFERROR(__xludf.DUMMYFUNCTION("""COMPUTED_VALUE"""),"Yes Man ")</f>
        <v>Yes Man </v>
      </c>
      <c r="S912" s="12">
        <f t="shared" si="35"/>
        <v>66785482</v>
      </c>
    </row>
    <row r="913" spans="1:19" x14ac:dyDescent="0.3">
      <c r="A913" s="2" t="s">
        <v>3159</v>
      </c>
      <c r="B913" s="2">
        <v>81</v>
      </c>
      <c r="C913" s="3">
        <v>143492840</v>
      </c>
      <c r="D913" s="3" t="s">
        <v>6041</v>
      </c>
      <c r="E913" s="2" t="s">
        <v>3160</v>
      </c>
      <c r="F913" s="2" t="s">
        <v>10</v>
      </c>
      <c r="G913" s="2" t="s">
        <v>11</v>
      </c>
      <c r="H913" s="2">
        <v>18000000</v>
      </c>
      <c r="I913" s="2">
        <v>5.3</v>
      </c>
      <c r="J913" s="3">
        <v>4007792</v>
      </c>
      <c r="K913">
        <f t="shared" si="36"/>
        <v>1.3775047412552699E-3</v>
      </c>
      <c r="R913" s="12" t="str">
        <f ca="1">IFERROR(__xludf.DUMMYFUNCTION("""COMPUTED_VALUE"""),"Central Intelligence ")</f>
        <v>Central Intelligence </v>
      </c>
      <c r="S913" s="12">
        <f t="shared" si="35"/>
        <v>-14487948</v>
      </c>
    </row>
    <row r="914" spans="1:19" x14ac:dyDescent="0.3">
      <c r="A914" s="2" t="s">
        <v>1641</v>
      </c>
      <c r="B914" s="2">
        <v>91</v>
      </c>
      <c r="C914" s="3">
        <v>59696176</v>
      </c>
      <c r="D914" s="3" t="s">
        <v>5768</v>
      </c>
      <c r="E914" s="2" t="s">
        <v>1642</v>
      </c>
      <c r="F914" s="2" t="s">
        <v>10</v>
      </c>
      <c r="G914" s="2" t="s">
        <v>11</v>
      </c>
      <c r="H914" s="2">
        <v>40000000</v>
      </c>
      <c r="I914" s="2">
        <v>5.3</v>
      </c>
      <c r="J914" s="3">
        <v>4018695</v>
      </c>
      <c r="K914">
        <f t="shared" si="36"/>
        <v>1.3775047412552699E-3</v>
      </c>
      <c r="R914" s="12" t="str">
        <f ca="1">IFERROR(__xludf.DUMMYFUNCTION("""COMPUTED_VALUE"""),"Stepmom ")</f>
        <v>Stepmom </v>
      </c>
      <c r="S914" s="12">
        <f t="shared" si="35"/>
        <v>-6297910</v>
      </c>
    </row>
    <row r="915" spans="1:19" x14ac:dyDescent="0.3">
      <c r="A915" s="2" t="s">
        <v>89</v>
      </c>
      <c r="B915" s="2">
        <v>103</v>
      </c>
      <c r="C915" s="3">
        <v>80197993</v>
      </c>
      <c r="D915" s="3" t="s">
        <v>6041</v>
      </c>
      <c r="E915" s="2" t="s">
        <v>5191</v>
      </c>
      <c r="F915" s="2" t="s">
        <v>10</v>
      </c>
      <c r="G915" s="2" t="s">
        <v>11</v>
      </c>
      <c r="H915" s="2">
        <v>1500000</v>
      </c>
      <c r="I915" s="2">
        <v>6.8</v>
      </c>
      <c r="J915" s="3">
        <v>4040588</v>
      </c>
      <c r="K915">
        <f t="shared" si="36"/>
        <v>1.3775047412552699E-3</v>
      </c>
      <c r="R915" s="12" t="str">
        <f ca="1">IFERROR(__xludf.DUMMYFUNCTION("""COMPUTED_VALUE"""),"Daddy's Home ")</f>
        <v>Daddy's Home </v>
      </c>
      <c r="S915" s="12">
        <f t="shared" si="35"/>
        <v>-155819046</v>
      </c>
    </row>
    <row r="916" spans="1:19" x14ac:dyDescent="0.3">
      <c r="A916" s="2" t="s">
        <v>2248</v>
      </c>
      <c r="B916" s="2">
        <v>88</v>
      </c>
      <c r="C916" s="3">
        <v>87100000</v>
      </c>
      <c r="D916" s="3" t="s">
        <v>5891</v>
      </c>
      <c r="E916" s="2" t="s">
        <v>2993</v>
      </c>
      <c r="F916" s="2" t="s">
        <v>10</v>
      </c>
      <c r="G916" s="2" t="s">
        <v>11</v>
      </c>
      <c r="H916" s="2">
        <v>25000000</v>
      </c>
      <c r="I916" s="2">
        <v>1.9</v>
      </c>
      <c r="J916" s="3">
        <v>4046737</v>
      </c>
      <c r="K916">
        <f t="shared" si="36"/>
        <v>1.3775047412552699E-3</v>
      </c>
      <c r="R916" s="12" t="str">
        <f ca="1">IFERROR(__xludf.DUMMYFUNCTION("""COMPUTED_VALUE"""),"Into the Woods ")</f>
        <v>Into the Woods </v>
      </c>
      <c r="S916" s="12">
        <f t="shared" si="35"/>
        <v>59841380</v>
      </c>
    </row>
    <row r="917" spans="1:19" x14ac:dyDescent="0.3">
      <c r="A917" s="2" t="s">
        <v>4009</v>
      </c>
      <c r="B917" s="2">
        <v>98</v>
      </c>
      <c r="C917" s="3">
        <v>70011073</v>
      </c>
      <c r="D917" s="3" t="s">
        <v>5997</v>
      </c>
      <c r="E917" s="2" t="s">
        <v>4010</v>
      </c>
      <c r="F917" s="2" t="s">
        <v>10</v>
      </c>
      <c r="G917" s="2" t="s">
        <v>11</v>
      </c>
      <c r="H917" s="2">
        <v>10000000</v>
      </c>
      <c r="I917" s="2">
        <v>5.9</v>
      </c>
      <c r="J917" s="3">
        <v>4063859</v>
      </c>
      <c r="K917">
        <f t="shared" si="36"/>
        <v>1.3775047412552699E-3</v>
      </c>
      <c r="R917" s="12" t="str">
        <f ca="1">IFERROR(__xludf.DUMMYFUNCTION("""COMPUTED_VALUE"""),"Inside Man ")</f>
        <v>Inside Man </v>
      </c>
      <c r="S917" s="12">
        <f t="shared" si="35"/>
        <v>-18400000</v>
      </c>
    </row>
    <row r="918" spans="1:19" x14ac:dyDescent="0.3">
      <c r="A918" s="2" t="s">
        <v>1677</v>
      </c>
      <c r="B918" s="2">
        <v>111</v>
      </c>
      <c r="C918" s="2">
        <v>38176892</v>
      </c>
      <c r="D918" s="3" t="s">
        <v>5855</v>
      </c>
      <c r="E918" s="2" t="s">
        <v>1745</v>
      </c>
      <c r="F918" s="2" t="s">
        <v>10</v>
      </c>
      <c r="G918" s="2" t="s">
        <v>11</v>
      </c>
      <c r="H918" s="2">
        <v>40000000</v>
      </c>
      <c r="I918" s="2">
        <v>6.2</v>
      </c>
      <c r="J918" s="3">
        <v>4064333</v>
      </c>
      <c r="K918">
        <f t="shared" si="36"/>
        <v>1.3775047412552699E-3</v>
      </c>
      <c r="R918" s="12" t="str">
        <f ca="1">IFERROR(__xludf.DUMMYFUNCTION("""COMPUTED_VALUE"""),"Payback ")</f>
        <v>Payback </v>
      </c>
      <c r="S918" s="12">
        <f t="shared" si="35"/>
        <v>-6336089</v>
      </c>
    </row>
    <row r="919" spans="1:19" x14ac:dyDescent="0.3">
      <c r="A919" s="2" t="s">
        <v>4975</v>
      </c>
      <c r="B919" s="2">
        <v>96</v>
      </c>
      <c r="C919" s="3">
        <v>50648679</v>
      </c>
      <c r="D919" s="3" t="s">
        <v>5778</v>
      </c>
      <c r="E919" s="2" t="s">
        <v>4976</v>
      </c>
      <c r="F919" s="2" t="s">
        <v>10</v>
      </c>
      <c r="G919" s="2" t="s">
        <v>11</v>
      </c>
      <c r="H919" s="2">
        <v>3000000</v>
      </c>
      <c r="I919" s="2">
        <v>5.9</v>
      </c>
      <c r="J919" s="3">
        <v>4068087</v>
      </c>
      <c r="K919">
        <f t="shared" si="36"/>
        <v>1.3775047412552699E-3</v>
      </c>
      <c r="R919" s="12" t="str">
        <f ca="1">IFERROR(__xludf.DUMMYFUNCTION("""COMPUTED_VALUE"""),"Congo ")</f>
        <v>Congo </v>
      </c>
      <c r="S919" s="12">
        <f t="shared" si="35"/>
        <v>49076906</v>
      </c>
    </row>
    <row r="920" spans="1:19" x14ac:dyDescent="0.3">
      <c r="A920" s="2" t="s">
        <v>4385</v>
      </c>
      <c r="B920" s="2">
        <v>112</v>
      </c>
      <c r="C920" s="3">
        <v>80050171</v>
      </c>
      <c r="D920" s="3" t="s">
        <v>5852</v>
      </c>
      <c r="E920" s="2" t="s">
        <v>4555</v>
      </c>
      <c r="F920" s="2" t="s">
        <v>10</v>
      </c>
      <c r="G920" s="2" t="s">
        <v>16</v>
      </c>
      <c r="H920" s="2">
        <v>3500159</v>
      </c>
      <c r="I920" s="2">
        <v>6.7</v>
      </c>
      <c r="J920" s="3">
        <v>4074023</v>
      </c>
      <c r="K920">
        <f t="shared" si="36"/>
        <v>1.3775047412552699E-3</v>
      </c>
      <c r="R920" s="12" t="str">
        <f ca="1">IFERROR(__xludf.DUMMYFUNCTION("""COMPUTED_VALUE"""),"Knowing ")</f>
        <v>Knowing </v>
      </c>
      <c r="S920" s="12">
        <f t="shared" si="35"/>
        <v>148025460</v>
      </c>
    </row>
    <row r="921" spans="1:19" x14ac:dyDescent="0.3">
      <c r="A921" s="2" t="s">
        <v>590</v>
      </c>
      <c r="B921" s="2">
        <v>98</v>
      </c>
      <c r="C921" s="3">
        <v>127706877</v>
      </c>
      <c r="D921" s="3" t="s">
        <v>5892</v>
      </c>
      <c r="E921" s="2" t="s">
        <v>831</v>
      </c>
      <c r="F921" s="2" t="s">
        <v>10</v>
      </c>
      <c r="G921" s="2" t="s">
        <v>11</v>
      </c>
      <c r="H921" s="2">
        <v>69000000</v>
      </c>
      <c r="I921" s="2">
        <v>5.9</v>
      </c>
      <c r="J921" s="3">
        <v>4105123</v>
      </c>
      <c r="K921">
        <f t="shared" si="36"/>
        <v>1.3775047412552699E-3</v>
      </c>
      <c r="R921" s="12" t="str">
        <f ca="1">IFERROR(__xludf.DUMMYFUNCTION("""COMPUTED_VALUE"""),"Failure to Launch ")</f>
        <v>Failure to Launch </v>
      </c>
      <c r="S921" s="12">
        <f t="shared" ref="S921:S984" si="37">C899-H899</f>
        <v>50000000</v>
      </c>
    </row>
    <row r="922" spans="1:19" x14ac:dyDescent="0.3">
      <c r="A922" s="2" t="s">
        <v>1631</v>
      </c>
      <c r="B922" s="2">
        <v>130</v>
      </c>
      <c r="C922" s="3">
        <v>100241322</v>
      </c>
      <c r="D922" s="3" t="s">
        <v>6099</v>
      </c>
      <c r="E922" s="2" t="s">
        <v>1720</v>
      </c>
      <c r="F922" s="2" t="s">
        <v>10</v>
      </c>
      <c r="G922" s="2" t="s">
        <v>16</v>
      </c>
      <c r="H922" s="2">
        <v>30000000</v>
      </c>
      <c r="I922" s="2">
        <v>6.7</v>
      </c>
      <c r="J922" s="3">
        <v>4109095</v>
      </c>
      <c r="K922">
        <f t="shared" si="36"/>
        <v>1.3775047412552699E-3</v>
      </c>
      <c r="R922" s="12" t="str">
        <f ca="1">IFERROR(__xludf.DUMMYFUNCTION("""COMPUTED_VALUE"""),"Crazy, Stupid, Love. ")</f>
        <v>Crazy, Stupid, Love. </v>
      </c>
      <c r="S922" s="12">
        <f t="shared" si="37"/>
        <v>171620724</v>
      </c>
    </row>
    <row r="923" spans="1:19" x14ac:dyDescent="0.3">
      <c r="A923" s="2" t="s">
        <v>350</v>
      </c>
      <c r="B923" s="2">
        <v>121</v>
      </c>
      <c r="C923" s="3">
        <v>63910583</v>
      </c>
      <c r="D923" s="3" t="s">
        <v>6035</v>
      </c>
      <c r="E923" s="2" t="s">
        <v>483</v>
      </c>
      <c r="F923" s="2" t="s">
        <v>10</v>
      </c>
      <c r="G923" s="2" t="s">
        <v>11</v>
      </c>
      <c r="H923" s="2">
        <v>100000000</v>
      </c>
      <c r="I923" s="2">
        <v>5.4</v>
      </c>
      <c r="J923" s="3">
        <v>4131640</v>
      </c>
      <c r="K923">
        <f t="shared" si="36"/>
        <v>1.3775047412552699E-3</v>
      </c>
      <c r="R923" s="12" t="str">
        <f ca="1">IFERROR(__xludf.DUMMYFUNCTION("""COMPUTED_VALUE"""),"Garfield ")</f>
        <v>Garfield </v>
      </c>
      <c r="S923" s="12">
        <f t="shared" si="37"/>
        <v>75008260</v>
      </c>
    </row>
    <row r="924" spans="1:19" x14ac:dyDescent="0.3">
      <c r="A924" s="2" t="s">
        <v>274</v>
      </c>
      <c r="B924" s="2">
        <v>115</v>
      </c>
      <c r="C924" s="3">
        <v>100189501</v>
      </c>
      <c r="D924" s="3" t="s">
        <v>520</v>
      </c>
      <c r="E924" s="2" t="s">
        <v>433</v>
      </c>
      <c r="F924" s="2" t="s">
        <v>10</v>
      </c>
      <c r="G924" s="2" t="s">
        <v>11</v>
      </c>
      <c r="H924" s="2">
        <v>120000000</v>
      </c>
      <c r="I924" s="2">
        <v>7.1</v>
      </c>
      <c r="J924" s="3">
        <v>4142507</v>
      </c>
      <c r="K924">
        <f t="shared" si="36"/>
        <v>1.3775047412552699E-3</v>
      </c>
      <c r="R924" s="12" t="str">
        <f ca="1">IFERROR(__xludf.DUMMYFUNCTION("""COMPUTED_VALUE"""),"Christmas with the Kranks ")</f>
        <v>Christmas with the Kranks </v>
      </c>
      <c r="S924" s="12">
        <f t="shared" si="37"/>
        <v>5215310</v>
      </c>
    </row>
    <row r="925" spans="1:19" x14ac:dyDescent="0.3">
      <c r="A925" s="2" t="s">
        <v>5621</v>
      </c>
      <c r="B925" s="2">
        <v>108</v>
      </c>
      <c r="C925" s="2"/>
      <c r="D925" s="3" t="s">
        <v>5930</v>
      </c>
      <c r="E925" s="2" t="s">
        <v>5622</v>
      </c>
      <c r="F925" s="2" t="s">
        <v>10</v>
      </c>
      <c r="G925" s="2" t="s">
        <v>11</v>
      </c>
      <c r="H925" s="2">
        <v>250000</v>
      </c>
      <c r="I925" s="2">
        <v>7.1</v>
      </c>
      <c r="J925" s="3">
        <v>4157491</v>
      </c>
      <c r="K925">
        <f t="shared" si="36"/>
        <v>1.3775047412552699E-3</v>
      </c>
      <c r="R925" s="12" t="str">
        <f ca="1">IFERROR(__xludf.DUMMYFUNCTION("""COMPUTED_VALUE"""),"Moneyball ")</f>
        <v>Moneyball </v>
      </c>
      <c r="S925" s="12">
        <f t="shared" si="37"/>
        <v>-39710310</v>
      </c>
    </row>
    <row r="926" spans="1:19" x14ac:dyDescent="0.3">
      <c r="A926" s="2" t="s">
        <v>2436</v>
      </c>
      <c r="B926" s="2">
        <v>104</v>
      </c>
      <c r="C926" s="3">
        <v>100169068</v>
      </c>
      <c r="D926" s="3" t="s">
        <v>5754</v>
      </c>
      <c r="E926" s="2" t="s">
        <v>2814</v>
      </c>
      <c r="F926" s="2" t="s">
        <v>10</v>
      </c>
      <c r="G926" s="2" t="s">
        <v>11</v>
      </c>
      <c r="H926" s="2">
        <v>22000000</v>
      </c>
      <c r="I926" s="2">
        <v>5.8</v>
      </c>
      <c r="J926" s="3">
        <v>4170647</v>
      </c>
      <c r="K926">
        <f t="shared" si="36"/>
        <v>1.3775047412552699E-3</v>
      </c>
      <c r="R926" s="12" t="str">
        <f ca="1">IFERROR(__xludf.DUMMYFUNCTION("""COMPUTED_VALUE"""),"Outbreak ")</f>
        <v>Outbreak </v>
      </c>
      <c r="S926" s="12">
        <f t="shared" si="37"/>
        <v>5882880</v>
      </c>
    </row>
    <row r="927" spans="1:19" x14ac:dyDescent="0.3">
      <c r="A927" s="2" t="s">
        <v>1737</v>
      </c>
      <c r="B927" s="2">
        <v>97</v>
      </c>
      <c r="C927" s="3">
        <v>172071312</v>
      </c>
      <c r="D927" s="3" t="s">
        <v>5776</v>
      </c>
      <c r="E927" s="2" t="s">
        <v>4015</v>
      </c>
      <c r="F927" s="2" t="s">
        <v>10</v>
      </c>
      <c r="G927" s="2" t="s">
        <v>11</v>
      </c>
      <c r="H927" s="2">
        <v>10000000</v>
      </c>
      <c r="I927" s="2">
        <v>4.4000000000000004</v>
      </c>
      <c r="J927" s="3">
        <v>4186931</v>
      </c>
      <c r="K927">
        <f t="shared" si="36"/>
        <v>1.3775047412552699E-3</v>
      </c>
      <c r="R927" s="12" t="str">
        <f ca="1">IFERROR(__xludf.DUMMYFUNCTION("""COMPUTED_VALUE"""),"Non-Stop ")</f>
        <v>Non-Stop </v>
      </c>
      <c r="S927" s="12">
        <f t="shared" si="37"/>
        <v>40170146</v>
      </c>
    </row>
    <row r="928" spans="1:19" x14ac:dyDescent="0.3">
      <c r="A928" s="2" t="s">
        <v>1631</v>
      </c>
      <c r="B928" s="2">
        <v>131</v>
      </c>
      <c r="C928" s="3">
        <v>25977365</v>
      </c>
      <c r="D928" s="3" t="s">
        <v>5811</v>
      </c>
      <c r="E928" s="2" t="s">
        <v>2227</v>
      </c>
      <c r="F928" s="2" t="s">
        <v>10</v>
      </c>
      <c r="G928" s="2" t="s">
        <v>16</v>
      </c>
      <c r="H928" s="2">
        <v>30000000</v>
      </c>
      <c r="I928" s="2">
        <v>6.3</v>
      </c>
      <c r="J928" s="3">
        <v>4190530</v>
      </c>
      <c r="K928">
        <f t="shared" si="36"/>
        <v>1.3775047412552699E-3</v>
      </c>
      <c r="R928" s="12" t="str">
        <f ca="1">IFERROR(__xludf.DUMMYFUNCTION("""COMPUTED_VALUE"""),"Race to Witch Mountain ")</f>
        <v>Race to Witch Mountain </v>
      </c>
      <c r="S928" s="12">
        <f t="shared" si="37"/>
        <v>-13047980</v>
      </c>
    </row>
    <row r="929" spans="1:19" x14ac:dyDescent="0.3">
      <c r="A929" s="2" t="s">
        <v>3591</v>
      </c>
      <c r="B929" s="2">
        <v>99</v>
      </c>
      <c r="C929" s="3">
        <v>36733909</v>
      </c>
      <c r="D929" s="3" t="s">
        <v>5894</v>
      </c>
      <c r="E929" s="2" t="s">
        <v>3592</v>
      </c>
      <c r="F929" s="2" t="s">
        <v>10</v>
      </c>
      <c r="G929" s="2" t="s">
        <v>11</v>
      </c>
      <c r="H929" s="2">
        <v>14000000</v>
      </c>
      <c r="I929" s="2">
        <v>5.5</v>
      </c>
      <c r="J929" s="3">
        <v>4193025</v>
      </c>
      <c r="K929">
        <f t="shared" si="36"/>
        <v>1.3775047412552699E-3</v>
      </c>
      <c r="R929" s="12" t="str">
        <f ca="1">IFERROR(__xludf.DUMMYFUNCTION("""COMPUTED_VALUE"""),"V for Vendetta ")</f>
        <v>V for Vendetta </v>
      </c>
      <c r="S929" s="12">
        <f t="shared" si="37"/>
        <v>-18002210</v>
      </c>
    </row>
    <row r="930" spans="1:19" x14ac:dyDescent="0.3">
      <c r="A930" s="2" t="s">
        <v>222</v>
      </c>
      <c r="B930" s="2">
        <v>105</v>
      </c>
      <c r="C930" s="3">
        <v>117224271</v>
      </c>
      <c r="D930" s="3" t="s">
        <v>5754</v>
      </c>
      <c r="E930" s="2" t="s">
        <v>529</v>
      </c>
      <c r="F930" s="2" t="s">
        <v>10</v>
      </c>
      <c r="G930" s="2" t="s">
        <v>11</v>
      </c>
      <c r="H930" s="2">
        <v>95000000</v>
      </c>
      <c r="I930" s="2">
        <v>7</v>
      </c>
      <c r="J930" s="3">
        <v>4231500</v>
      </c>
      <c r="K930">
        <f t="shared" si="36"/>
        <v>1.3775047412552699E-3</v>
      </c>
      <c r="R930" s="12" t="str">
        <f ca="1">IFERROR(__xludf.DUMMYFUNCTION("""COMPUTED_VALUE"""),"Shanghai Knights ")</f>
        <v>Shanghai Knights </v>
      </c>
      <c r="S930" s="12">
        <f t="shared" si="37"/>
        <v>149147885</v>
      </c>
    </row>
    <row r="931" spans="1:19" x14ac:dyDescent="0.3">
      <c r="A931" s="2" t="s">
        <v>197</v>
      </c>
      <c r="B931" s="2">
        <v>206</v>
      </c>
      <c r="C931" s="3">
        <v>31597131</v>
      </c>
      <c r="D931" s="3" t="s">
        <v>5920</v>
      </c>
      <c r="E931" s="2" t="s">
        <v>198</v>
      </c>
      <c r="F931" s="2" t="s">
        <v>10</v>
      </c>
      <c r="G931" s="2" t="s">
        <v>199</v>
      </c>
      <c r="H931" s="2">
        <v>155000000</v>
      </c>
      <c r="I931" s="2">
        <v>5.5</v>
      </c>
      <c r="J931" s="3">
        <v>4234040</v>
      </c>
      <c r="K931">
        <f t="shared" si="36"/>
        <v>1.3775047412552699E-3</v>
      </c>
      <c r="R931" s="12" t="str">
        <f ca="1">IFERROR(__xludf.DUMMYFUNCTION("""COMPUTED_VALUE"""),"Curious George ")</f>
        <v>Curious George </v>
      </c>
      <c r="S931" s="12">
        <f t="shared" si="37"/>
        <v>69286544</v>
      </c>
    </row>
    <row r="932" spans="1:19" x14ac:dyDescent="0.3">
      <c r="A932" s="2" t="s">
        <v>769</v>
      </c>
      <c r="B932" s="2">
        <v>87</v>
      </c>
      <c r="C932" s="2">
        <v>323505540</v>
      </c>
      <c r="D932" s="3" t="s">
        <v>5849</v>
      </c>
      <c r="E932" s="2" t="s">
        <v>770</v>
      </c>
      <c r="F932" s="2" t="s">
        <v>10</v>
      </c>
      <c r="G932" s="2" t="s">
        <v>771</v>
      </c>
      <c r="H932" s="2">
        <v>75000000</v>
      </c>
      <c r="I932" s="2">
        <v>6.8</v>
      </c>
      <c r="J932" s="3">
        <v>4235837</v>
      </c>
      <c r="K932">
        <f t="shared" si="36"/>
        <v>1.3775047412552699E-3</v>
      </c>
      <c r="R932" s="12" t="str">
        <f ca="1">IFERROR(__xludf.DUMMYFUNCTION("""COMPUTED_VALUE"""),"Herbie Fully Loaded ")</f>
        <v>Herbie Fully Loaded </v>
      </c>
      <c r="S932" s="12">
        <f t="shared" si="37"/>
        <v>29598308</v>
      </c>
    </row>
    <row r="933" spans="1:19" x14ac:dyDescent="0.3">
      <c r="A933" s="2" t="s">
        <v>1157</v>
      </c>
      <c r="B933" s="2">
        <v>107</v>
      </c>
      <c r="C933" s="3">
        <v>63826569</v>
      </c>
      <c r="D933" s="3" t="s">
        <v>6100</v>
      </c>
      <c r="E933" s="2" t="s">
        <v>1830</v>
      </c>
      <c r="F933" s="2" t="s">
        <v>10</v>
      </c>
      <c r="G933" s="2" t="s">
        <v>11</v>
      </c>
      <c r="H933" s="2">
        <v>20000000</v>
      </c>
      <c r="I933" s="2">
        <v>6.2</v>
      </c>
      <c r="J933" s="3">
        <v>4239767</v>
      </c>
      <c r="K933">
        <f t="shared" si="36"/>
        <v>1.3775047412552699E-3</v>
      </c>
      <c r="R933" s="12" t="str">
        <f ca="1">IFERROR(__xludf.DUMMYFUNCTION("""COMPUTED_VALUE"""),"Don't Say a Word ")</f>
        <v>Don't Say a Word </v>
      </c>
      <c r="S933" s="12">
        <f t="shared" si="37"/>
        <v>-5119524</v>
      </c>
    </row>
    <row r="934" spans="1:19" x14ac:dyDescent="0.3">
      <c r="A934" s="2" t="s">
        <v>2021</v>
      </c>
      <c r="B934" s="2">
        <v>82</v>
      </c>
      <c r="C934" s="3">
        <v>54758461</v>
      </c>
      <c r="D934" s="3" t="s">
        <v>5753</v>
      </c>
      <c r="E934" s="2" t="s">
        <v>5357</v>
      </c>
      <c r="F934" s="2" t="s">
        <v>10</v>
      </c>
      <c r="G934" s="2" t="s">
        <v>11</v>
      </c>
      <c r="H934" s="2">
        <v>1000000</v>
      </c>
      <c r="I934" s="2">
        <v>6</v>
      </c>
      <c r="J934" s="3">
        <v>4244155</v>
      </c>
      <c r="K934">
        <f t="shared" si="36"/>
        <v>1.3775047412552699E-3</v>
      </c>
      <c r="R934" s="12" t="str">
        <f ca="1">IFERROR(__xludf.DUMMYFUNCTION("""COMPUTED_VALUE"""),"Hansel &amp; Gretel: Witch Hunters ")</f>
        <v>Hansel &amp; Gretel: Witch Hunters </v>
      </c>
      <c r="S934" s="12">
        <f t="shared" si="37"/>
        <v>16741700</v>
      </c>
    </row>
    <row r="935" spans="1:19" x14ac:dyDescent="0.3">
      <c r="A935" s="2" t="s">
        <v>5128</v>
      </c>
      <c r="B935" s="2">
        <v>99</v>
      </c>
      <c r="C935" s="3">
        <v>33451479</v>
      </c>
      <c r="D935" s="3" t="s">
        <v>5761</v>
      </c>
      <c r="E935" s="2" t="s">
        <v>5129</v>
      </c>
      <c r="F935" s="2" t="s">
        <v>10</v>
      </c>
      <c r="G935" s="2" t="s">
        <v>11</v>
      </c>
      <c r="H935" s="2">
        <v>1900000</v>
      </c>
      <c r="I935" s="2">
        <v>7.1</v>
      </c>
      <c r="J935" s="3">
        <v>4250320</v>
      </c>
      <c r="K935">
        <f t="shared" si="36"/>
        <v>1.3775047412552699E-3</v>
      </c>
      <c r="R935" s="12" t="str">
        <f ca="1">IFERROR(__xludf.DUMMYFUNCTION("""COMPUTED_VALUE"""),"Unfaithful ")</f>
        <v>Unfaithful </v>
      </c>
      <c r="S935" s="12">
        <f t="shared" si="37"/>
        <v>125492840</v>
      </c>
    </row>
    <row r="936" spans="1:19" x14ac:dyDescent="0.3">
      <c r="A936" s="2" t="s">
        <v>218</v>
      </c>
      <c r="B936" s="2">
        <v>97</v>
      </c>
      <c r="C936" s="3">
        <v>59588068</v>
      </c>
      <c r="D936" s="3" t="s">
        <v>5881</v>
      </c>
      <c r="E936" s="2" t="s">
        <v>744</v>
      </c>
      <c r="F936" s="2" t="s">
        <v>10</v>
      </c>
      <c r="G936" s="2" t="s">
        <v>98</v>
      </c>
      <c r="H936" s="2">
        <v>80000000</v>
      </c>
      <c r="I936" s="2">
        <v>5.8</v>
      </c>
      <c r="J936" s="3">
        <v>4273372</v>
      </c>
      <c r="K936">
        <f t="shared" si="36"/>
        <v>1.3775047412552699E-3</v>
      </c>
      <c r="R936" s="12" t="str">
        <f ca="1">IFERROR(__xludf.DUMMYFUNCTION("""COMPUTED_VALUE"""),"I Am Number Four ")</f>
        <v>I Am Number Four </v>
      </c>
      <c r="S936" s="12">
        <f t="shared" si="37"/>
        <v>19696176</v>
      </c>
    </row>
    <row r="937" spans="1:19" x14ac:dyDescent="0.3">
      <c r="A937" s="2" t="s">
        <v>177</v>
      </c>
      <c r="B937" s="2">
        <v>105</v>
      </c>
      <c r="C937" s="3">
        <v>15427192</v>
      </c>
      <c r="D937" s="3" t="s">
        <v>5849</v>
      </c>
      <c r="E937" s="2" t="s">
        <v>4454</v>
      </c>
      <c r="F937" s="2" t="s">
        <v>10</v>
      </c>
      <c r="G937" s="2" t="s">
        <v>16</v>
      </c>
      <c r="H937" s="2">
        <v>4000000</v>
      </c>
      <c r="I937" s="2">
        <v>7.4</v>
      </c>
      <c r="J937" s="3">
        <v>4280577</v>
      </c>
      <c r="K937">
        <f t="shared" si="36"/>
        <v>1.3775047412552699E-3</v>
      </c>
      <c r="R937" s="12" t="str">
        <f ca="1">IFERROR(__xludf.DUMMYFUNCTION("""COMPUTED_VALUE"""),"Syriana ")</f>
        <v>Syriana </v>
      </c>
      <c r="S937" s="12">
        <f t="shared" si="37"/>
        <v>78697993</v>
      </c>
    </row>
    <row r="938" spans="1:19" x14ac:dyDescent="0.3">
      <c r="A938" s="2" t="s">
        <v>4523</v>
      </c>
      <c r="B938" s="2">
        <v>106</v>
      </c>
      <c r="C938" s="2">
        <v>3588432</v>
      </c>
      <c r="D938" s="3" t="s">
        <v>5773</v>
      </c>
      <c r="E938" s="2" t="s">
        <v>4524</v>
      </c>
      <c r="F938" s="2" t="s">
        <v>10</v>
      </c>
      <c r="G938" s="2" t="s">
        <v>11</v>
      </c>
      <c r="H938" s="2">
        <v>6000000</v>
      </c>
      <c r="I938" s="2">
        <v>6.7</v>
      </c>
      <c r="J938" s="3">
        <v>4291965</v>
      </c>
      <c r="K938">
        <f t="shared" si="36"/>
        <v>1.3775047412552699E-3</v>
      </c>
      <c r="R938" s="12" t="str">
        <f ca="1">IFERROR(__xludf.DUMMYFUNCTION("""COMPUTED_VALUE"""),"13 Hours ")</f>
        <v>13 Hours </v>
      </c>
      <c r="S938" s="12">
        <f t="shared" si="37"/>
        <v>62100000</v>
      </c>
    </row>
    <row r="939" spans="1:19" x14ac:dyDescent="0.3">
      <c r="A939" s="2" t="s">
        <v>392</v>
      </c>
      <c r="B939" s="2">
        <v>111</v>
      </c>
      <c r="C939" s="3">
        <v>87025093</v>
      </c>
      <c r="D939" s="3" t="s">
        <v>6090</v>
      </c>
      <c r="E939" s="2" t="s">
        <v>2934</v>
      </c>
      <c r="F939" s="2" t="s">
        <v>10</v>
      </c>
      <c r="G939" s="2" t="s">
        <v>16</v>
      </c>
      <c r="H939" s="2">
        <v>20000000</v>
      </c>
      <c r="I939" s="2">
        <v>7.3</v>
      </c>
      <c r="J939" s="3">
        <v>4301331</v>
      </c>
      <c r="K939">
        <f t="shared" si="36"/>
        <v>1.3775047412552699E-3</v>
      </c>
      <c r="R939" s="12" t="str">
        <f ca="1">IFERROR(__xludf.DUMMYFUNCTION("""COMPUTED_VALUE"""),"The Book of Life ")</f>
        <v>The Book of Life </v>
      </c>
      <c r="S939" s="12">
        <f t="shared" si="37"/>
        <v>60011073</v>
      </c>
    </row>
    <row r="940" spans="1:19" x14ac:dyDescent="0.3">
      <c r="A940" s="2" t="s">
        <v>1488</v>
      </c>
      <c r="B940" s="2">
        <v>128</v>
      </c>
      <c r="C940" s="3">
        <v>80150343</v>
      </c>
      <c r="D940" s="3" t="s">
        <v>6101</v>
      </c>
      <c r="E940" s="2" t="s">
        <v>1671</v>
      </c>
      <c r="F940" s="2" t="s">
        <v>10</v>
      </c>
      <c r="G940" s="2" t="s">
        <v>11</v>
      </c>
      <c r="H940" s="2">
        <v>40000000</v>
      </c>
      <c r="I940" s="2">
        <v>7.2</v>
      </c>
      <c r="J940" s="3">
        <v>4306697</v>
      </c>
      <c r="K940">
        <f t="shared" si="36"/>
        <v>1.3775047412552699E-3</v>
      </c>
      <c r="R940" s="12" t="str">
        <f ca="1">IFERROR(__xludf.DUMMYFUNCTION("""COMPUTED_VALUE"""),"Firewall ")</f>
        <v>Firewall </v>
      </c>
      <c r="S940" s="12">
        <f t="shared" si="37"/>
        <v>-1823108</v>
      </c>
    </row>
    <row r="941" spans="1:19" x14ac:dyDescent="0.3">
      <c r="A941" s="2" t="s">
        <v>1330</v>
      </c>
      <c r="B941" s="2">
        <v>112</v>
      </c>
      <c r="C941" s="3">
        <v>25440971</v>
      </c>
      <c r="D941" s="3" t="s">
        <v>5975</v>
      </c>
      <c r="E941" s="2" t="s">
        <v>4761</v>
      </c>
      <c r="F941" s="2" t="s">
        <v>10</v>
      </c>
      <c r="G941" s="2" t="s">
        <v>16</v>
      </c>
      <c r="H941" s="2">
        <v>2300000</v>
      </c>
      <c r="I941" s="2">
        <v>7.3</v>
      </c>
      <c r="J941" s="3">
        <v>4308981</v>
      </c>
      <c r="K941">
        <f t="shared" si="36"/>
        <v>1.3775047412552699E-3</v>
      </c>
      <c r="R941" s="12" t="str">
        <f ca="1">IFERROR(__xludf.DUMMYFUNCTION("""COMPUTED_VALUE"""),"Absolute Power ")</f>
        <v>Absolute Power </v>
      </c>
      <c r="S941" s="12">
        <f t="shared" si="37"/>
        <v>47648679</v>
      </c>
    </row>
    <row r="942" spans="1:19" x14ac:dyDescent="0.3">
      <c r="A942" s="2" t="s">
        <v>5078</v>
      </c>
      <c r="B942" s="2">
        <v>100</v>
      </c>
      <c r="C942" s="3">
        <v>58297830</v>
      </c>
      <c r="D942" s="3" t="s">
        <v>6102</v>
      </c>
      <c r="E942" s="2" t="s">
        <v>5079</v>
      </c>
      <c r="F942" s="2" t="s">
        <v>10</v>
      </c>
      <c r="G942" s="2" t="s">
        <v>11</v>
      </c>
      <c r="H942" s="2">
        <v>2000000</v>
      </c>
      <c r="I942" s="2">
        <v>7.2</v>
      </c>
      <c r="J942" s="3">
        <v>4350774</v>
      </c>
      <c r="K942">
        <f t="shared" si="36"/>
        <v>1.3775047412552699E-3</v>
      </c>
      <c r="R942" s="12" t="str">
        <f ca="1">IFERROR(__xludf.DUMMYFUNCTION("""COMPUTED_VALUE"""),"G.I. Jane ")</f>
        <v>G.I. Jane </v>
      </c>
      <c r="S942" s="12">
        <f t="shared" si="37"/>
        <v>76550012</v>
      </c>
    </row>
    <row r="943" spans="1:19" x14ac:dyDescent="0.3">
      <c r="A943" s="2" t="s">
        <v>5251</v>
      </c>
      <c r="B943" s="2">
        <v>91</v>
      </c>
      <c r="C943" s="3">
        <v>54696902</v>
      </c>
      <c r="D943" s="3" t="s">
        <v>5921</v>
      </c>
      <c r="E943" s="2" t="s">
        <v>5414</v>
      </c>
      <c r="F943" s="2" t="s">
        <v>10</v>
      </c>
      <c r="G943" s="2" t="s">
        <v>11</v>
      </c>
      <c r="H943" s="2">
        <v>900000</v>
      </c>
      <c r="I943" s="2">
        <v>6.4</v>
      </c>
      <c r="J943" s="3">
        <v>4356743</v>
      </c>
      <c r="K943">
        <f t="shared" si="36"/>
        <v>1.3775047412552699E-3</v>
      </c>
      <c r="R943" s="12" t="str">
        <f ca="1">IFERROR(__xludf.DUMMYFUNCTION("""COMPUTED_VALUE"""),"The Game ")</f>
        <v>The Game </v>
      </c>
      <c r="S943" s="12">
        <f t="shared" si="37"/>
        <v>58706877</v>
      </c>
    </row>
    <row r="944" spans="1:19" x14ac:dyDescent="0.3">
      <c r="A944" s="2" t="s">
        <v>1523</v>
      </c>
      <c r="B944" s="2">
        <v>112</v>
      </c>
      <c r="C944" s="3">
        <v>16097842</v>
      </c>
      <c r="D944" s="3" t="s">
        <v>5773</v>
      </c>
      <c r="E944" s="2" t="s">
        <v>3651</v>
      </c>
      <c r="F944" s="2" t="s">
        <v>10</v>
      </c>
      <c r="G944" s="2" t="s">
        <v>11</v>
      </c>
      <c r="H944" s="2">
        <v>13000000</v>
      </c>
      <c r="I944" s="2">
        <v>6.1</v>
      </c>
      <c r="J944" s="3">
        <v>4357000</v>
      </c>
      <c r="K944">
        <f t="shared" si="36"/>
        <v>1.3775047412552699E-3</v>
      </c>
      <c r="R944" s="12" t="str">
        <f ca="1">IFERROR(__xludf.DUMMYFUNCTION("""COMPUTED_VALUE"""),"Silent Hill ")</f>
        <v>Silent Hill </v>
      </c>
      <c r="S944" s="12">
        <f t="shared" si="37"/>
        <v>70241322</v>
      </c>
    </row>
    <row r="945" spans="1:19" x14ac:dyDescent="0.3">
      <c r="A945" s="2" t="s">
        <v>2069</v>
      </c>
      <c r="B945" s="2">
        <v>101</v>
      </c>
      <c r="C945" s="3">
        <v>44867349</v>
      </c>
      <c r="D945" s="3" t="s">
        <v>5910</v>
      </c>
      <c r="E945" s="2" t="s">
        <v>2070</v>
      </c>
      <c r="F945" s="2" t="s">
        <v>2071</v>
      </c>
      <c r="G945" s="2" t="s">
        <v>771</v>
      </c>
      <c r="H945" s="2">
        <v>34000000</v>
      </c>
      <c r="I945" s="2">
        <v>7.7</v>
      </c>
      <c r="J945" s="3">
        <v>4360548</v>
      </c>
      <c r="K945">
        <f t="shared" si="36"/>
        <v>1.3775047412552699E-3</v>
      </c>
      <c r="R945" s="12" t="str">
        <f ca="1">IFERROR(__xludf.DUMMYFUNCTION("""COMPUTED_VALUE"""),"The Replacements ")</f>
        <v>The Replacements </v>
      </c>
      <c r="S945" s="12">
        <f t="shared" si="37"/>
        <v>-36089417</v>
      </c>
    </row>
    <row r="946" spans="1:19" x14ac:dyDescent="0.3">
      <c r="A946" s="2" t="s">
        <v>1864</v>
      </c>
      <c r="B946" s="2">
        <v>120</v>
      </c>
      <c r="C946" s="3">
        <v>72217000</v>
      </c>
      <c r="D946" s="3" t="s">
        <v>5849</v>
      </c>
      <c r="E946" s="2" t="s">
        <v>2465</v>
      </c>
      <c r="F946" s="2" t="s">
        <v>10</v>
      </c>
      <c r="G946" s="2" t="s">
        <v>71</v>
      </c>
      <c r="H946" s="2">
        <v>23000000</v>
      </c>
      <c r="I946" s="2">
        <v>6.2</v>
      </c>
      <c r="J946" s="3">
        <v>4394936</v>
      </c>
      <c r="K946">
        <f t="shared" si="36"/>
        <v>1.3775047412552699E-3</v>
      </c>
      <c r="R946" s="12" t="str">
        <f ca="1">IFERROR(__xludf.DUMMYFUNCTION("""COMPUTED_VALUE"""),"American Reunion ")</f>
        <v>American Reunion </v>
      </c>
      <c r="S946" s="12">
        <f t="shared" si="37"/>
        <v>-19810499</v>
      </c>
    </row>
    <row r="947" spans="1:19" x14ac:dyDescent="0.3">
      <c r="A947" s="2" t="s">
        <v>1677</v>
      </c>
      <c r="B947" s="2">
        <v>107</v>
      </c>
      <c r="C947" s="2">
        <v>14637490</v>
      </c>
      <c r="D947" s="3" t="s">
        <v>5868</v>
      </c>
      <c r="E947" s="2" t="s">
        <v>2630</v>
      </c>
      <c r="F947" s="2" t="s">
        <v>10</v>
      </c>
      <c r="G947" s="2" t="s">
        <v>11</v>
      </c>
      <c r="H947" s="2">
        <v>25000000</v>
      </c>
      <c r="I947" s="2">
        <v>4.8</v>
      </c>
      <c r="J947" s="3">
        <v>4398392</v>
      </c>
      <c r="K947">
        <f t="shared" si="36"/>
        <v>1.3775047412552699E-3</v>
      </c>
      <c r="R947" s="12" t="str">
        <f ca="1">IFERROR(__xludf.DUMMYFUNCTION("""COMPUTED_VALUE"""),"The Negotiator ")</f>
        <v>The Negotiator </v>
      </c>
      <c r="S947" s="12">
        <f t="shared" si="37"/>
        <v>-250000</v>
      </c>
    </row>
    <row r="948" spans="1:19" x14ac:dyDescent="0.3">
      <c r="A948" s="2" t="s">
        <v>712</v>
      </c>
      <c r="B948" s="2">
        <v>99</v>
      </c>
      <c r="C948" s="3">
        <v>313436</v>
      </c>
      <c r="D948" s="3" t="s">
        <v>5930</v>
      </c>
      <c r="E948" s="2" t="s">
        <v>1775</v>
      </c>
      <c r="F948" s="2" t="s">
        <v>10</v>
      </c>
      <c r="G948" s="2" t="s">
        <v>11</v>
      </c>
      <c r="H948" s="2">
        <v>40000000</v>
      </c>
      <c r="I948" s="2">
        <v>5.7</v>
      </c>
      <c r="J948" s="3">
        <v>4411102</v>
      </c>
      <c r="K948">
        <f t="shared" si="36"/>
        <v>1.3775047412552699E-3</v>
      </c>
      <c r="R948" s="12" t="str">
        <f ca="1">IFERROR(__xludf.DUMMYFUNCTION("""COMPUTED_VALUE"""),"Into the Storm ")</f>
        <v>Into the Storm </v>
      </c>
      <c r="S948" s="12">
        <f t="shared" si="37"/>
        <v>78169068</v>
      </c>
    </row>
    <row r="949" spans="1:19" x14ac:dyDescent="0.3">
      <c r="A949" s="2" t="s">
        <v>3171</v>
      </c>
      <c r="B949" s="2">
        <v>123</v>
      </c>
      <c r="C949" s="3">
        <v>34126138</v>
      </c>
      <c r="D949" s="3" t="s">
        <v>5930</v>
      </c>
      <c r="E949" s="2" t="s">
        <v>3172</v>
      </c>
      <c r="F949" s="2" t="s">
        <v>10</v>
      </c>
      <c r="G949" s="2" t="s">
        <v>11</v>
      </c>
      <c r="H949" s="2">
        <v>18000000</v>
      </c>
      <c r="I949" s="2">
        <v>5</v>
      </c>
      <c r="J949" s="3">
        <v>4414535</v>
      </c>
      <c r="K949">
        <f t="shared" si="36"/>
        <v>1.3775047412552699E-3</v>
      </c>
      <c r="R949" s="12" t="str">
        <f ca="1">IFERROR(__xludf.DUMMYFUNCTION("""COMPUTED_VALUE"""),"Beverly Hills Cop III ")</f>
        <v>Beverly Hills Cop III </v>
      </c>
      <c r="S949" s="12">
        <f t="shared" si="37"/>
        <v>162071312</v>
      </c>
    </row>
    <row r="950" spans="1:19" x14ac:dyDescent="0.3">
      <c r="A950" s="2" t="s">
        <v>2689</v>
      </c>
      <c r="B950" s="2">
        <v>102</v>
      </c>
      <c r="C950" s="3">
        <v>4001121</v>
      </c>
      <c r="D950" s="3" t="s">
        <v>5930</v>
      </c>
      <c r="E950" s="2" t="s">
        <v>3377</v>
      </c>
      <c r="F950" s="2" t="s">
        <v>10</v>
      </c>
      <c r="G950" s="2" t="s">
        <v>11</v>
      </c>
      <c r="H950" s="2">
        <v>11000000</v>
      </c>
      <c r="I950" s="2">
        <v>5.9</v>
      </c>
      <c r="J950" s="3">
        <v>4426297</v>
      </c>
      <c r="K950">
        <f t="shared" si="36"/>
        <v>1.3775047412552699E-3</v>
      </c>
      <c r="R950" s="12" t="str">
        <f ca="1">IFERROR(__xludf.DUMMYFUNCTION("""COMPUTED_VALUE"""),"Gremlins 2: The New Batch ")</f>
        <v>Gremlins 2: The New Batch </v>
      </c>
      <c r="S950" s="12">
        <f t="shared" si="37"/>
        <v>-4022635</v>
      </c>
    </row>
    <row r="951" spans="1:19" x14ac:dyDescent="0.3">
      <c r="A951" s="2" t="s">
        <v>183</v>
      </c>
      <c r="B951" s="2">
        <v>293</v>
      </c>
      <c r="C951" s="2">
        <v>11433134</v>
      </c>
      <c r="D951" s="3" t="s">
        <v>5768</v>
      </c>
      <c r="E951" s="2" t="s">
        <v>3820</v>
      </c>
      <c r="F951" s="2" t="s">
        <v>3090</v>
      </c>
      <c r="G951" s="2" t="s">
        <v>3821</v>
      </c>
      <c r="H951" s="2">
        <v>14000000</v>
      </c>
      <c r="I951" s="2">
        <v>8.4</v>
      </c>
      <c r="J951" s="3">
        <v>4435083</v>
      </c>
      <c r="K951">
        <f t="shared" si="36"/>
        <v>1.3775047412552699E-3</v>
      </c>
      <c r="R951" s="12" t="str">
        <f ca="1">IFERROR(__xludf.DUMMYFUNCTION("""COMPUTED_VALUE"""),"The Judge ")</f>
        <v>The Judge </v>
      </c>
      <c r="S951" s="12">
        <f t="shared" si="37"/>
        <v>22733909</v>
      </c>
    </row>
    <row r="952" spans="1:19" x14ac:dyDescent="0.3">
      <c r="A952" s="2" t="s">
        <v>2314</v>
      </c>
      <c r="B952" s="2">
        <v>106</v>
      </c>
      <c r="C952" s="3">
        <v>59617068</v>
      </c>
      <c r="D952" s="3" t="s">
        <v>5792</v>
      </c>
      <c r="E952" s="2" t="s">
        <v>2315</v>
      </c>
      <c r="F952" s="2" t="s">
        <v>10</v>
      </c>
      <c r="G952" s="2" t="s">
        <v>11</v>
      </c>
      <c r="H952" s="2">
        <v>30000000</v>
      </c>
      <c r="I952" s="2">
        <v>6.4</v>
      </c>
      <c r="J952" s="3">
        <v>4440055</v>
      </c>
      <c r="K952">
        <f t="shared" si="36"/>
        <v>1.3775047412552699E-3</v>
      </c>
      <c r="R952" s="12" t="str">
        <f ca="1">IFERROR(__xludf.DUMMYFUNCTION("""COMPUTED_VALUE"""),"The Peacemaker ")</f>
        <v>The Peacemaker </v>
      </c>
      <c r="S952" s="12">
        <f t="shared" si="37"/>
        <v>22224271</v>
      </c>
    </row>
    <row r="953" spans="1:19" x14ac:dyDescent="0.3">
      <c r="A953" s="2" t="s">
        <v>1986</v>
      </c>
      <c r="B953" s="2">
        <v>84</v>
      </c>
      <c r="C953" s="3">
        <v>64255243</v>
      </c>
      <c r="D953" s="3" t="s">
        <v>6103</v>
      </c>
      <c r="E953" s="2" t="s">
        <v>2772</v>
      </c>
      <c r="F953" s="2" t="s">
        <v>10</v>
      </c>
      <c r="G953" s="2" t="s">
        <v>11</v>
      </c>
      <c r="H953" s="2">
        <v>22000000</v>
      </c>
      <c r="I953" s="2">
        <v>4.8</v>
      </c>
      <c r="J953" s="3">
        <v>4443403</v>
      </c>
      <c r="K953">
        <f t="shared" si="36"/>
        <v>1.3775047412552699E-3</v>
      </c>
      <c r="R953" s="12" t="str">
        <f ca="1">IFERROR(__xludf.DUMMYFUNCTION("""COMPUTED_VALUE"""),"Resident Evil: Apocalypse ")</f>
        <v>Resident Evil: Apocalypse </v>
      </c>
      <c r="S953" s="12">
        <f t="shared" si="37"/>
        <v>-123402869</v>
      </c>
    </row>
    <row r="954" spans="1:19" x14ac:dyDescent="0.3">
      <c r="A954" s="2" t="s">
        <v>3003</v>
      </c>
      <c r="B954" s="2">
        <v>123</v>
      </c>
      <c r="C954" s="3">
        <v>20566327</v>
      </c>
      <c r="D954" s="3" t="s">
        <v>6104</v>
      </c>
      <c r="E954" s="2" t="s">
        <v>3004</v>
      </c>
      <c r="F954" s="2" t="s">
        <v>10</v>
      </c>
      <c r="G954" s="2" t="s">
        <v>11</v>
      </c>
      <c r="H954" s="2">
        <v>20000000</v>
      </c>
      <c r="I954" s="2">
        <v>6.3</v>
      </c>
      <c r="J954" s="3">
        <v>4463292</v>
      </c>
      <c r="K954">
        <f t="shared" si="36"/>
        <v>1.3775047412552699E-3</v>
      </c>
      <c r="R954" s="12" t="str">
        <f ca="1">IFERROR(__xludf.DUMMYFUNCTION("""COMPUTED_VALUE"""),"Bridget Jones: The Edge of Reason ")</f>
        <v>Bridget Jones: The Edge of Reason </v>
      </c>
      <c r="S954" s="12">
        <f t="shared" si="37"/>
        <v>248505540</v>
      </c>
    </row>
    <row r="955" spans="1:19" x14ac:dyDescent="0.3">
      <c r="A955" s="2" t="s">
        <v>1212</v>
      </c>
      <c r="B955" s="2">
        <v>105</v>
      </c>
      <c r="C955" s="2">
        <v>93815117</v>
      </c>
      <c r="D955" s="3" t="s">
        <v>5910</v>
      </c>
      <c r="E955" s="2" t="s">
        <v>1213</v>
      </c>
      <c r="F955" s="2" t="s">
        <v>10</v>
      </c>
      <c r="G955" s="2" t="s">
        <v>11</v>
      </c>
      <c r="H955" s="2">
        <v>55000000</v>
      </c>
      <c r="I955" s="2">
        <v>5.0999999999999996</v>
      </c>
      <c r="J955" s="3">
        <v>4476235</v>
      </c>
      <c r="K955">
        <f t="shared" si="36"/>
        <v>1.3775047412552699E-3</v>
      </c>
      <c r="R955" s="12" t="str">
        <f ca="1">IFERROR(__xludf.DUMMYFUNCTION("""COMPUTED_VALUE"""),"Out of Time ")</f>
        <v>Out of Time </v>
      </c>
      <c r="S955" s="12">
        <f t="shared" si="37"/>
        <v>43826569</v>
      </c>
    </row>
    <row r="956" spans="1:19" x14ac:dyDescent="0.3">
      <c r="A956" s="2" t="s">
        <v>1656</v>
      </c>
      <c r="B956" s="2">
        <v>145</v>
      </c>
      <c r="C956" s="3">
        <v>20819129</v>
      </c>
      <c r="D956" s="3" t="s">
        <v>5912</v>
      </c>
      <c r="E956" s="2" t="s">
        <v>5285</v>
      </c>
      <c r="F956" s="2" t="s">
        <v>10</v>
      </c>
      <c r="G956" s="2" t="s">
        <v>11</v>
      </c>
      <c r="H956" s="2">
        <v>960000</v>
      </c>
      <c r="I956" s="2">
        <v>8.1</v>
      </c>
      <c r="J956" s="3">
        <v>4485485</v>
      </c>
      <c r="K956">
        <f t="shared" si="36"/>
        <v>1.3775047412552699E-3</v>
      </c>
      <c r="R956" s="12" t="str">
        <f ca="1">IFERROR(__xludf.DUMMYFUNCTION("""COMPUTED_VALUE"""),"On Deadly Ground ")</f>
        <v>On Deadly Ground </v>
      </c>
      <c r="S956" s="12">
        <f t="shared" si="37"/>
        <v>53758461</v>
      </c>
    </row>
    <row r="957" spans="1:19" x14ac:dyDescent="0.3">
      <c r="A957" s="2" t="s">
        <v>1103</v>
      </c>
      <c r="B957" s="2">
        <v>96</v>
      </c>
      <c r="C957" s="3">
        <v>14967182</v>
      </c>
      <c r="D957" s="3" t="s">
        <v>5778</v>
      </c>
      <c r="E957" s="2" t="s">
        <v>1104</v>
      </c>
      <c r="F957" s="2" t="s">
        <v>10</v>
      </c>
      <c r="G957" s="2" t="s">
        <v>11</v>
      </c>
      <c r="H957" s="2">
        <v>60000000</v>
      </c>
      <c r="I957" s="2">
        <v>6.8</v>
      </c>
      <c r="J957" s="3">
        <v>4496583</v>
      </c>
      <c r="K957">
        <f t="shared" si="36"/>
        <v>1.3775047412552699E-3</v>
      </c>
      <c r="R957" s="12" t="str">
        <f ca="1">IFERROR(__xludf.DUMMYFUNCTION("""COMPUTED_VALUE"""),"The Adventures of Sharkboy and Lavagirl 3-D ")</f>
        <v>The Adventures of Sharkboy and Lavagirl 3-D </v>
      </c>
      <c r="S957" s="12">
        <f t="shared" si="37"/>
        <v>31551479</v>
      </c>
    </row>
    <row r="958" spans="1:19" x14ac:dyDescent="0.3">
      <c r="A958" s="2" t="s">
        <v>1659</v>
      </c>
      <c r="B958" s="2">
        <v>108</v>
      </c>
      <c r="C958" s="3">
        <v>177343675</v>
      </c>
      <c r="D958" s="3" t="s">
        <v>5921</v>
      </c>
      <c r="E958" s="2" t="s">
        <v>1660</v>
      </c>
      <c r="F958" s="2" t="s">
        <v>10</v>
      </c>
      <c r="G958" s="2" t="s">
        <v>11</v>
      </c>
      <c r="H958" s="2">
        <v>40000000</v>
      </c>
      <c r="I958" s="2">
        <v>6.7</v>
      </c>
      <c r="J958" s="3">
        <v>4505922</v>
      </c>
      <c r="K958">
        <f t="shared" si="36"/>
        <v>1.3775047412552699E-3</v>
      </c>
      <c r="R958" s="12" t="str">
        <f ca="1">IFERROR(__xludf.DUMMYFUNCTION("""COMPUTED_VALUE"""),"The Beach ")</f>
        <v>The Beach </v>
      </c>
      <c r="S958" s="12">
        <f t="shared" si="37"/>
        <v>-20411932</v>
      </c>
    </row>
    <row r="959" spans="1:19" x14ac:dyDescent="0.3">
      <c r="A959" s="2" t="s">
        <v>3118</v>
      </c>
      <c r="B959" s="2">
        <v>131</v>
      </c>
      <c r="C959" s="3">
        <v>4000304</v>
      </c>
      <c r="D959" s="3" t="s">
        <v>5999</v>
      </c>
      <c r="E959" s="2" t="s">
        <v>3152</v>
      </c>
      <c r="F959" s="2" t="s">
        <v>10</v>
      </c>
      <c r="G959" s="2" t="s">
        <v>16</v>
      </c>
      <c r="H959" s="2">
        <v>19800000</v>
      </c>
      <c r="I959" s="2">
        <v>7.3</v>
      </c>
      <c r="J959" s="3">
        <v>4535117</v>
      </c>
      <c r="K959">
        <f t="shared" si="36"/>
        <v>1.3775047412552699E-3</v>
      </c>
      <c r="R959" s="12" t="str">
        <f ca="1">IFERROR(__xludf.DUMMYFUNCTION("""COMPUTED_VALUE"""),"Raising Helen ")</f>
        <v>Raising Helen </v>
      </c>
      <c r="S959" s="12">
        <f t="shared" si="37"/>
        <v>11427192</v>
      </c>
    </row>
    <row r="960" spans="1:19" x14ac:dyDescent="0.3">
      <c r="A960" s="2" t="s">
        <v>361</v>
      </c>
      <c r="B960" s="2">
        <v>114</v>
      </c>
      <c r="C960" s="3">
        <v>72000000</v>
      </c>
      <c r="D960" s="3" t="s">
        <v>6007</v>
      </c>
      <c r="E960" s="2" t="s">
        <v>2967</v>
      </c>
      <c r="F960" s="2" t="s">
        <v>10</v>
      </c>
      <c r="G960" s="2" t="s">
        <v>11</v>
      </c>
      <c r="H960" s="2">
        <v>30000000</v>
      </c>
      <c r="I960" s="2">
        <v>6.9</v>
      </c>
      <c r="J960" s="3">
        <v>4542775</v>
      </c>
      <c r="K960">
        <f t="shared" si="36"/>
        <v>1.3775047412552699E-3</v>
      </c>
      <c r="R960" s="12" t="str">
        <f ca="1">IFERROR(__xludf.DUMMYFUNCTION("""COMPUTED_VALUE"""),"Ninja Assassin ")</f>
        <v>Ninja Assassin </v>
      </c>
      <c r="S960" s="12">
        <f t="shared" si="37"/>
        <v>-2411568</v>
      </c>
    </row>
    <row r="961" spans="1:19" x14ac:dyDescent="0.3">
      <c r="A961" s="2" t="s">
        <v>104</v>
      </c>
      <c r="B961" s="2">
        <v>135</v>
      </c>
      <c r="C961" s="3">
        <v>19100000</v>
      </c>
      <c r="D961" s="3" t="s">
        <v>6105</v>
      </c>
      <c r="E961" s="2" t="s">
        <v>2853</v>
      </c>
      <c r="F961" s="2" t="s">
        <v>10</v>
      </c>
      <c r="G961" s="2" t="s">
        <v>11</v>
      </c>
      <c r="H961" s="2">
        <v>19400870</v>
      </c>
      <c r="I961" s="2">
        <v>7.7</v>
      </c>
      <c r="J961" s="3">
        <v>4554569</v>
      </c>
      <c r="K961">
        <f t="shared" si="36"/>
        <v>1.3775047412552699E-3</v>
      </c>
      <c r="R961" s="12" t="str">
        <f ca="1">IFERROR(__xludf.DUMMYFUNCTION("""COMPUTED_VALUE"""),"For Love of the Game ")</f>
        <v>For Love of the Game </v>
      </c>
      <c r="S961" s="12">
        <f t="shared" si="37"/>
        <v>67025093</v>
      </c>
    </row>
    <row r="962" spans="1:19" x14ac:dyDescent="0.3">
      <c r="A962" s="2" t="s">
        <v>2599</v>
      </c>
      <c r="B962" s="2">
        <v>107</v>
      </c>
      <c r="C962" s="3">
        <v>11956207</v>
      </c>
      <c r="D962" s="3" t="s">
        <v>5892</v>
      </c>
      <c r="E962" s="2" t="s">
        <v>2600</v>
      </c>
      <c r="F962" s="2" t="s">
        <v>10</v>
      </c>
      <c r="G962" s="2" t="s">
        <v>11</v>
      </c>
      <c r="H962" s="2">
        <v>30000000</v>
      </c>
      <c r="I962" s="2">
        <v>6.6</v>
      </c>
      <c r="J962" s="3">
        <v>4563029</v>
      </c>
      <c r="K962">
        <f t="shared" ref="K962:K1025" si="38">CORREL(H$2:H$3941,J$2:J$3941)</f>
        <v>1.3775047412552699E-3</v>
      </c>
      <c r="R962" s="12" t="str">
        <f ca="1">IFERROR(__xludf.DUMMYFUNCTION("""COMPUTED_VALUE"""),"Striptease ")</f>
        <v>Striptease </v>
      </c>
      <c r="S962" s="12">
        <f t="shared" si="37"/>
        <v>40150343</v>
      </c>
    </row>
    <row r="963" spans="1:19" x14ac:dyDescent="0.3">
      <c r="A963" s="2" t="s">
        <v>278</v>
      </c>
      <c r="B963" s="2">
        <v>121</v>
      </c>
      <c r="C963" s="3">
        <v>8279017</v>
      </c>
      <c r="D963" s="3" t="s">
        <v>5910</v>
      </c>
      <c r="E963" s="2" t="s">
        <v>1937</v>
      </c>
      <c r="F963" s="2" t="s">
        <v>10</v>
      </c>
      <c r="G963" s="2" t="s">
        <v>11</v>
      </c>
      <c r="H963" s="2">
        <v>35000000</v>
      </c>
      <c r="I963" s="2">
        <v>6.7</v>
      </c>
      <c r="J963" s="3">
        <v>4584886</v>
      </c>
      <c r="K963">
        <f t="shared" si="38"/>
        <v>1.3775047412552699E-3</v>
      </c>
      <c r="R963" s="12" t="str">
        <f ca="1">IFERROR(__xludf.DUMMYFUNCTION("""COMPUTED_VALUE"""),"Marmaduke ")</f>
        <v>Marmaduke </v>
      </c>
      <c r="S963" s="12">
        <f t="shared" si="37"/>
        <v>23140971</v>
      </c>
    </row>
    <row r="964" spans="1:19" x14ac:dyDescent="0.3">
      <c r="A964" s="2" t="s">
        <v>31</v>
      </c>
      <c r="B964" s="2">
        <v>134</v>
      </c>
      <c r="C964" s="3">
        <v>109993847</v>
      </c>
      <c r="D964" s="3" t="s">
        <v>6106</v>
      </c>
      <c r="E964" s="2" t="s">
        <v>339</v>
      </c>
      <c r="F964" s="2" t="s">
        <v>10</v>
      </c>
      <c r="G964" s="2" t="s">
        <v>71</v>
      </c>
      <c r="H964" s="2">
        <v>110000000</v>
      </c>
      <c r="I964" s="2">
        <v>7.5</v>
      </c>
      <c r="J964" s="3">
        <v>4599680</v>
      </c>
      <c r="K964">
        <f t="shared" si="38"/>
        <v>1.3775047412552699E-3</v>
      </c>
      <c r="R964" s="12" t="str">
        <f ca="1">IFERROR(__xludf.DUMMYFUNCTION("""COMPUTED_VALUE"""),"Hereafter ")</f>
        <v>Hereafter </v>
      </c>
      <c r="S964" s="12">
        <f t="shared" si="37"/>
        <v>56297830</v>
      </c>
    </row>
    <row r="965" spans="1:19" x14ac:dyDescent="0.3">
      <c r="A965" s="2" t="s">
        <v>2939</v>
      </c>
      <c r="B965" s="2">
        <v>94</v>
      </c>
      <c r="C965" s="3">
        <v>114053579</v>
      </c>
      <c r="D965" s="3" t="s">
        <v>5767</v>
      </c>
      <c r="E965" s="2" t="s">
        <v>3700</v>
      </c>
      <c r="F965" s="2" t="s">
        <v>10</v>
      </c>
      <c r="G965" s="2" t="s">
        <v>504</v>
      </c>
      <c r="H965" s="2">
        <v>13000000</v>
      </c>
      <c r="I965" s="2">
        <v>6.1</v>
      </c>
      <c r="J965" s="3">
        <v>4600000</v>
      </c>
      <c r="K965">
        <f t="shared" si="38"/>
        <v>1.3775047412552699E-3</v>
      </c>
      <c r="R965" s="12" t="str">
        <f ca="1">IFERROR(__xludf.DUMMYFUNCTION("""COMPUTED_VALUE"""),"Murder by Numbers ")</f>
        <v>Murder by Numbers </v>
      </c>
      <c r="S965" s="12">
        <f t="shared" si="37"/>
        <v>53796902</v>
      </c>
    </row>
    <row r="966" spans="1:19" x14ac:dyDescent="0.3">
      <c r="A966" s="2" t="s">
        <v>5175</v>
      </c>
      <c r="B966" s="2">
        <v>90</v>
      </c>
      <c r="C966" s="3">
        <v>14946229</v>
      </c>
      <c r="D966" s="3" t="s">
        <v>6017</v>
      </c>
      <c r="E966" s="2" t="s">
        <v>5176</v>
      </c>
      <c r="F966" s="2" t="s">
        <v>5092</v>
      </c>
      <c r="G966" s="2" t="s">
        <v>5093</v>
      </c>
      <c r="H966" s="2">
        <v>1500000</v>
      </c>
      <c r="I966" s="2">
        <v>7.3</v>
      </c>
      <c r="J966" s="3">
        <v>4651977</v>
      </c>
      <c r="K966">
        <f t="shared" si="38"/>
        <v>1.3775047412552699E-3</v>
      </c>
      <c r="R966" s="12" t="str">
        <f ca="1">IFERROR(__xludf.DUMMYFUNCTION("""COMPUTED_VALUE"""),"Assassins ")</f>
        <v>Assassins </v>
      </c>
      <c r="S966" s="12">
        <f t="shared" si="37"/>
        <v>3097842</v>
      </c>
    </row>
    <row r="967" spans="1:19" x14ac:dyDescent="0.3">
      <c r="A967" s="2" t="s">
        <v>3801</v>
      </c>
      <c r="B967" s="2">
        <v>93</v>
      </c>
      <c r="C967" s="3">
        <v>58255287</v>
      </c>
      <c r="D967" s="3" t="s">
        <v>6107</v>
      </c>
      <c r="E967" s="2" t="s">
        <v>3802</v>
      </c>
      <c r="F967" s="2" t="s">
        <v>10</v>
      </c>
      <c r="G967" s="2" t="s">
        <v>11</v>
      </c>
      <c r="H967" s="2">
        <v>12000000</v>
      </c>
      <c r="I967" s="2">
        <v>5.9</v>
      </c>
      <c r="J967" s="3">
        <v>4681503</v>
      </c>
      <c r="K967">
        <f t="shared" si="38"/>
        <v>1.3775047412552699E-3</v>
      </c>
      <c r="R967" s="12" t="str">
        <f ca="1">IFERROR(__xludf.DUMMYFUNCTION("""COMPUTED_VALUE"""),"Hannibal Rising ")</f>
        <v>Hannibal Rising </v>
      </c>
      <c r="S967" s="12">
        <f t="shared" si="37"/>
        <v>10867349</v>
      </c>
    </row>
    <row r="968" spans="1:19" x14ac:dyDescent="0.3">
      <c r="A968" s="2" t="s">
        <v>3858</v>
      </c>
      <c r="B968" s="2">
        <v>91</v>
      </c>
      <c r="C968" s="3">
        <v>61280963</v>
      </c>
      <c r="D968" s="3" t="s">
        <v>5910</v>
      </c>
      <c r="E968" s="2" t="s">
        <v>3859</v>
      </c>
      <c r="F968" s="2" t="s">
        <v>10</v>
      </c>
      <c r="G968" s="2" t="s">
        <v>11</v>
      </c>
      <c r="H968" s="2">
        <v>12000000</v>
      </c>
      <c r="I968" s="2">
        <v>6.3</v>
      </c>
      <c r="J968" s="3">
        <v>4692814</v>
      </c>
      <c r="K968">
        <f t="shared" si="38"/>
        <v>1.3775047412552699E-3</v>
      </c>
      <c r="R968" s="12" t="str">
        <f ca="1">IFERROR(__xludf.DUMMYFUNCTION("""COMPUTED_VALUE"""),"The Story of Us ")</f>
        <v>The Story of Us </v>
      </c>
      <c r="S968" s="12">
        <f t="shared" si="37"/>
        <v>49217000</v>
      </c>
    </row>
    <row r="969" spans="1:19" x14ac:dyDescent="0.3">
      <c r="A969" s="2" t="s">
        <v>392</v>
      </c>
      <c r="B969" s="2">
        <v>132</v>
      </c>
      <c r="C969" s="3">
        <v>71897215</v>
      </c>
      <c r="D969" s="3" t="s">
        <v>5960</v>
      </c>
      <c r="E969" s="2" t="s">
        <v>3108</v>
      </c>
      <c r="F969" s="2" t="s">
        <v>10</v>
      </c>
      <c r="G969" s="2" t="s">
        <v>16</v>
      </c>
      <c r="H969" s="2">
        <v>25000000</v>
      </c>
      <c r="I969" s="2">
        <v>7</v>
      </c>
      <c r="J969" s="3">
        <v>4693919</v>
      </c>
      <c r="K969">
        <f t="shared" si="38"/>
        <v>1.3775047412552699E-3</v>
      </c>
      <c r="R969" s="12" t="str">
        <f ca="1">IFERROR(__xludf.DUMMYFUNCTION("""COMPUTED_VALUE"""),"The Host ")</f>
        <v>The Host </v>
      </c>
      <c r="S969" s="12">
        <f t="shared" si="37"/>
        <v>-10362510</v>
      </c>
    </row>
    <row r="970" spans="1:19" x14ac:dyDescent="0.3">
      <c r="A970" s="2" t="s">
        <v>4090</v>
      </c>
      <c r="B970" s="2">
        <v>97</v>
      </c>
      <c r="C970" s="3">
        <v>80276912</v>
      </c>
      <c r="D970" s="3" t="s">
        <v>5797</v>
      </c>
      <c r="E970" s="2" t="s">
        <v>4091</v>
      </c>
      <c r="F970" s="2" t="s">
        <v>10</v>
      </c>
      <c r="G970" s="2" t="s">
        <v>11</v>
      </c>
      <c r="H970" s="2">
        <v>10000000</v>
      </c>
      <c r="I970" s="2">
        <v>3.3</v>
      </c>
      <c r="J970" s="3">
        <v>4700361</v>
      </c>
      <c r="K970">
        <f t="shared" si="38"/>
        <v>1.3775047412552699E-3</v>
      </c>
      <c r="R970" s="12" t="str">
        <f ca="1">IFERROR(__xludf.DUMMYFUNCTION("""COMPUTED_VALUE"""),"Basic ")</f>
        <v>Basic </v>
      </c>
      <c r="S970" s="12">
        <f t="shared" si="37"/>
        <v>-39686564</v>
      </c>
    </row>
    <row r="971" spans="1:19" x14ac:dyDescent="0.3">
      <c r="A971" s="2" t="s">
        <v>99</v>
      </c>
      <c r="B971" s="2">
        <v>117</v>
      </c>
      <c r="C971" s="3">
        <v>25482931</v>
      </c>
      <c r="D971" s="3" t="s">
        <v>6101</v>
      </c>
      <c r="E971" s="2" t="s">
        <v>971</v>
      </c>
      <c r="F971" s="2" t="s">
        <v>10</v>
      </c>
      <c r="G971" s="2" t="s">
        <v>11</v>
      </c>
      <c r="H971" s="2">
        <v>65000000</v>
      </c>
      <c r="I971" s="2">
        <v>6.4</v>
      </c>
      <c r="J971" s="3">
        <v>4710455</v>
      </c>
      <c r="K971">
        <f t="shared" si="38"/>
        <v>1.3775047412552699E-3</v>
      </c>
      <c r="R971" s="12" t="str">
        <f ca="1">IFERROR(__xludf.DUMMYFUNCTION("""COMPUTED_VALUE"""),"Blood Work ")</f>
        <v>Blood Work </v>
      </c>
      <c r="S971" s="12">
        <f t="shared" si="37"/>
        <v>16126138</v>
      </c>
    </row>
    <row r="972" spans="1:19" x14ac:dyDescent="0.3">
      <c r="A972" s="2" t="s">
        <v>379</v>
      </c>
      <c r="B972" s="2">
        <v>125</v>
      </c>
      <c r="C972" s="3">
        <v>47806295</v>
      </c>
      <c r="D972" s="3" t="s">
        <v>520</v>
      </c>
      <c r="E972" s="2" t="s">
        <v>3887</v>
      </c>
      <c r="F972" s="2" t="s">
        <v>10</v>
      </c>
      <c r="G972" s="2" t="s">
        <v>11</v>
      </c>
      <c r="H972" s="2">
        <v>11000000</v>
      </c>
      <c r="I972" s="2">
        <v>8.6999999999999993</v>
      </c>
      <c r="J972" s="3">
        <v>4717455</v>
      </c>
      <c r="K972">
        <f t="shared" si="38"/>
        <v>1.3775047412552699E-3</v>
      </c>
      <c r="R972" s="12" t="str">
        <f ca="1">IFERROR(__xludf.DUMMYFUNCTION("""COMPUTED_VALUE"""),"The International ")</f>
        <v>The International </v>
      </c>
      <c r="S972" s="12">
        <f t="shared" si="37"/>
        <v>-6998879</v>
      </c>
    </row>
    <row r="973" spans="1:19" x14ac:dyDescent="0.3">
      <c r="A973" s="2" t="s">
        <v>3123</v>
      </c>
      <c r="B973" s="2">
        <v>97</v>
      </c>
      <c r="C973" s="3">
        <v>66466372</v>
      </c>
      <c r="D973" s="3" t="s">
        <v>5818</v>
      </c>
      <c r="E973" s="2" t="s">
        <v>3124</v>
      </c>
      <c r="F973" s="2" t="s">
        <v>10</v>
      </c>
      <c r="G973" s="2" t="s">
        <v>71</v>
      </c>
      <c r="H973" s="2">
        <v>15000000</v>
      </c>
      <c r="I973" s="2">
        <v>6.2</v>
      </c>
      <c r="J973" s="3">
        <v>4720371</v>
      </c>
      <c r="K973">
        <f t="shared" si="38"/>
        <v>1.3775047412552699E-3</v>
      </c>
      <c r="R973" s="12" t="str">
        <f ca="1">IFERROR(__xludf.DUMMYFUNCTION("""COMPUTED_VALUE"""),"Escape from L.A. ")</f>
        <v>Escape from L.A. </v>
      </c>
      <c r="S973" s="12">
        <f t="shared" si="37"/>
        <v>-2566866</v>
      </c>
    </row>
    <row r="974" spans="1:19" x14ac:dyDescent="0.3">
      <c r="A974" s="2" t="s">
        <v>59</v>
      </c>
      <c r="B974" s="2">
        <v>121</v>
      </c>
      <c r="C974" s="3">
        <v>36696761</v>
      </c>
      <c r="D974" s="3" t="s">
        <v>6108</v>
      </c>
      <c r="E974" s="2" t="s">
        <v>1670</v>
      </c>
      <c r="F974" s="2" t="s">
        <v>10</v>
      </c>
      <c r="G974" s="2" t="s">
        <v>11</v>
      </c>
      <c r="H974" s="2">
        <v>40000000</v>
      </c>
      <c r="I974" s="2">
        <v>7.6</v>
      </c>
      <c r="J974" s="3">
        <v>4734235</v>
      </c>
      <c r="K974">
        <f t="shared" si="38"/>
        <v>1.3775047412552699E-3</v>
      </c>
      <c r="R974" s="12" t="str">
        <f ca="1">IFERROR(__xludf.DUMMYFUNCTION("""COMPUTED_VALUE"""),"The Iron Giant ")</f>
        <v>The Iron Giant </v>
      </c>
      <c r="S974" s="12">
        <f t="shared" si="37"/>
        <v>29617068</v>
      </c>
    </row>
    <row r="975" spans="1:19" x14ac:dyDescent="0.3">
      <c r="A975" s="2" t="s">
        <v>4198</v>
      </c>
      <c r="B975" s="2">
        <v>300</v>
      </c>
      <c r="C975" s="3">
        <v>41814863</v>
      </c>
      <c r="D975" s="3" t="s">
        <v>5843</v>
      </c>
      <c r="E975" s="2" t="s">
        <v>4199</v>
      </c>
      <c r="F975" s="2" t="s">
        <v>3562</v>
      </c>
      <c r="G975" s="2" t="s">
        <v>3563</v>
      </c>
      <c r="H975" s="2">
        <v>400000000</v>
      </c>
      <c r="I975" s="2">
        <v>6.6</v>
      </c>
      <c r="J975" s="3">
        <v>4741987</v>
      </c>
      <c r="K975">
        <f t="shared" si="38"/>
        <v>1.3775047412552699E-3</v>
      </c>
      <c r="R975" s="12" t="str">
        <f ca="1">IFERROR(__xludf.DUMMYFUNCTION("""COMPUTED_VALUE"""),"The Life Aquatic with Steve Zissou ")</f>
        <v>The Life Aquatic with Steve Zissou </v>
      </c>
      <c r="S975" s="12">
        <f t="shared" si="37"/>
        <v>42255243</v>
      </c>
    </row>
    <row r="976" spans="1:19" x14ac:dyDescent="0.3">
      <c r="A976" s="2" t="s">
        <v>67</v>
      </c>
      <c r="B976" s="2">
        <v>108</v>
      </c>
      <c r="C976" s="3">
        <v>140530114</v>
      </c>
      <c r="D976" s="3" t="s">
        <v>5930</v>
      </c>
      <c r="E976" s="2" t="s">
        <v>68</v>
      </c>
      <c r="F976" s="2" t="s">
        <v>10</v>
      </c>
      <c r="G976" s="2" t="s">
        <v>11</v>
      </c>
      <c r="H976" s="2">
        <v>200000000</v>
      </c>
      <c r="I976" s="2">
        <v>6.5</v>
      </c>
      <c r="J976" s="3">
        <v>4771000</v>
      </c>
      <c r="K976">
        <f t="shared" si="38"/>
        <v>1.3775047412552699E-3</v>
      </c>
      <c r="R976" s="12" t="str">
        <f ca="1">IFERROR(__xludf.DUMMYFUNCTION("""COMPUTED_VALUE"""),"Free State of Jones ")</f>
        <v>Free State of Jones </v>
      </c>
      <c r="S976" s="12">
        <f t="shared" si="37"/>
        <v>566327</v>
      </c>
    </row>
    <row r="977" spans="1:19" x14ac:dyDescent="0.3">
      <c r="A977" s="2" t="s">
        <v>468</v>
      </c>
      <c r="B977" s="2">
        <v>100</v>
      </c>
      <c r="C977" s="3">
        <v>11694528</v>
      </c>
      <c r="D977" s="3" t="s">
        <v>5960</v>
      </c>
      <c r="E977" s="2" t="s">
        <v>536</v>
      </c>
      <c r="F977" s="2" t="s">
        <v>10</v>
      </c>
      <c r="G977" s="2" t="s">
        <v>11</v>
      </c>
      <c r="H977" s="2">
        <v>115000000</v>
      </c>
      <c r="I977" s="2">
        <v>5.7</v>
      </c>
      <c r="J977" s="3">
        <v>4777007</v>
      </c>
      <c r="K977">
        <f t="shared" si="38"/>
        <v>1.3775047412552699E-3</v>
      </c>
      <c r="R977" s="12" t="str">
        <f ca="1">IFERROR(__xludf.DUMMYFUNCTION("""COMPUTED_VALUE"""),"The Life of David Gale ")</f>
        <v>The Life of David Gale </v>
      </c>
      <c r="S977" s="12">
        <f t="shared" si="37"/>
        <v>38815117</v>
      </c>
    </row>
    <row r="978" spans="1:19" x14ac:dyDescent="0.3">
      <c r="A978" s="2" t="s">
        <v>4532</v>
      </c>
      <c r="B978" s="2">
        <v>95</v>
      </c>
      <c r="C978" s="3">
        <v>50549107</v>
      </c>
      <c r="D978" s="3" t="s">
        <v>6109</v>
      </c>
      <c r="E978" s="2" t="s">
        <v>4533</v>
      </c>
      <c r="F978" s="2" t="s">
        <v>10</v>
      </c>
      <c r="G978" s="2" t="s">
        <v>11</v>
      </c>
      <c r="H978" s="3">
        <v>54910560</v>
      </c>
      <c r="I978" s="2">
        <v>5.8</v>
      </c>
      <c r="J978" s="3">
        <v>4814244</v>
      </c>
      <c r="K978">
        <f t="shared" si="38"/>
        <v>1.3775047412552699E-3</v>
      </c>
      <c r="R978" s="12" t="str">
        <f ca="1">IFERROR(__xludf.DUMMYFUNCTION("""COMPUTED_VALUE"""),"Man of the House ")</f>
        <v>Man of the House </v>
      </c>
      <c r="S978" s="12">
        <f t="shared" si="37"/>
        <v>19859129</v>
      </c>
    </row>
    <row r="979" spans="1:19" x14ac:dyDescent="0.3">
      <c r="A979" s="2" t="s">
        <v>1258</v>
      </c>
      <c r="B979" s="2">
        <v>280</v>
      </c>
      <c r="C979" s="3">
        <v>11675178</v>
      </c>
      <c r="D979" s="3" t="s">
        <v>5910</v>
      </c>
      <c r="E979" s="2" t="s">
        <v>1259</v>
      </c>
      <c r="F979" s="2" t="s">
        <v>10</v>
      </c>
      <c r="G979" s="2" t="s">
        <v>11</v>
      </c>
      <c r="H979" s="2">
        <v>56000000</v>
      </c>
      <c r="I979" s="2">
        <v>6.3</v>
      </c>
      <c r="J979" s="3">
        <v>4835968</v>
      </c>
      <c r="K979">
        <f t="shared" si="38"/>
        <v>1.3775047412552699E-3</v>
      </c>
      <c r="R979" s="12" t="str">
        <f ca="1">IFERROR(__xludf.DUMMYFUNCTION("""COMPUTED_VALUE"""),"Run All Night ")</f>
        <v>Run All Night </v>
      </c>
      <c r="S979" s="12">
        <f t="shared" si="37"/>
        <v>-45032818</v>
      </c>
    </row>
    <row r="980" spans="1:19" x14ac:dyDescent="0.3">
      <c r="A980" s="2" t="s">
        <v>2216</v>
      </c>
      <c r="B980" s="2">
        <v>88</v>
      </c>
      <c r="C980" s="2">
        <v>14792779</v>
      </c>
      <c r="D980" s="3" t="s">
        <v>5752</v>
      </c>
      <c r="E980" s="2" t="s">
        <v>3336</v>
      </c>
      <c r="F980" s="2" t="s">
        <v>10</v>
      </c>
      <c r="G980" s="2" t="s">
        <v>11</v>
      </c>
      <c r="H980" s="2">
        <v>16000000</v>
      </c>
      <c r="I980" s="2">
        <v>7.6</v>
      </c>
      <c r="J980" s="3">
        <v>4839383</v>
      </c>
      <c r="K980">
        <f t="shared" si="38"/>
        <v>1.3775047412552699E-3</v>
      </c>
      <c r="R980" s="12" t="str">
        <f ca="1">IFERROR(__xludf.DUMMYFUNCTION("""COMPUTED_VALUE"""),"Eastern Promises ")</f>
        <v>Eastern Promises </v>
      </c>
      <c r="S980" s="12">
        <f t="shared" si="37"/>
        <v>137343675</v>
      </c>
    </row>
    <row r="981" spans="1:19" x14ac:dyDescent="0.3">
      <c r="A981" s="2" t="s">
        <v>128</v>
      </c>
      <c r="B981" s="2">
        <v>121</v>
      </c>
      <c r="C981" s="3">
        <v>43848100</v>
      </c>
      <c r="D981" s="3" t="s">
        <v>6110</v>
      </c>
      <c r="E981" s="2" t="s">
        <v>2132</v>
      </c>
      <c r="F981" s="2" t="s">
        <v>10</v>
      </c>
      <c r="G981" s="2" t="s">
        <v>11</v>
      </c>
      <c r="H981" s="2">
        <v>55000000</v>
      </c>
      <c r="I981" s="2">
        <v>6.8</v>
      </c>
      <c r="J981" s="3">
        <v>4857376</v>
      </c>
      <c r="K981">
        <f t="shared" si="38"/>
        <v>1.3775047412552699E-3</v>
      </c>
      <c r="R981" s="12" t="str">
        <f ca="1">IFERROR(__xludf.DUMMYFUNCTION("""COMPUTED_VALUE"""),"Into the Blue ")</f>
        <v>Into the Blue </v>
      </c>
      <c r="S981" s="12">
        <f t="shared" si="37"/>
        <v>-15799696</v>
      </c>
    </row>
    <row r="982" spans="1:19" x14ac:dyDescent="0.3">
      <c r="A982" s="2" t="s">
        <v>25</v>
      </c>
      <c r="B982" s="2">
        <v>141</v>
      </c>
      <c r="C982" s="3">
        <v>71975611</v>
      </c>
      <c r="D982" s="3" t="s">
        <v>5913</v>
      </c>
      <c r="E982" s="2" t="s">
        <v>26</v>
      </c>
      <c r="F982" s="2" t="s">
        <v>10</v>
      </c>
      <c r="G982" s="2" t="s">
        <v>11</v>
      </c>
      <c r="H982" s="2">
        <v>250000000</v>
      </c>
      <c r="I982" s="2">
        <v>7.5</v>
      </c>
      <c r="J982" s="3">
        <v>4859475</v>
      </c>
      <c r="K982">
        <f t="shared" si="38"/>
        <v>1.3775047412552699E-3</v>
      </c>
      <c r="R982" s="12" t="str">
        <f ca="1">IFERROR(__xludf.DUMMYFUNCTION("""COMPUTED_VALUE"""),"The Messenger: The Story of Joan of Arc ")</f>
        <v>The Messenger: The Story of Joan of Arc </v>
      </c>
      <c r="S982" s="12">
        <f t="shared" si="37"/>
        <v>42000000</v>
      </c>
    </row>
    <row r="983" spans="1:19" x14ac:dyDescent="0.3">
      <c r="A983" s="2" t="s">
        <v>278</v>
      </c>
      <c r="B983" s="2">
        <v>102</v>
      </c>
      <c r="C983" s="3">
        <v>58401464</v>
      </c>
      <c r="D983" s="3" t="s">
        <v>5910</v>
      </c>
      <c r="E983" s="2" t="s">
        <v>1560</v>
      </c>
      <c r="F983" s="2" t="s">
        <v>10</v>
      </c>
      <c r="G983" s="2" t="s">
        <v>199</v>
      </c>
      <c r="H983" s="2">
        <v>52000000</v>
      </c>
      <c r="I983" s="2">
        <v>6.6</v>
      </c>
      <c r="J983" s="3">
        <v>4881867</v>
      </c>
      <c r="K983">
        <f t="shared" si="38"/>
        <v>1.3775047412552699E-3</v>
      </c>
      <c r="R983" s="12" t="str">
        <f ca="1">IFERROR(__xludf.DUMMYFUNCTION("""COMPUTED_VALUE"""),"Your Highness ")</f>
        <v>Your Highness </v>
      </c>
      <c r="S983" s="12">
        <f t="shared" si="37"/>
        <v>-300870</v>
      </c>
    </row>
    <row r="984" spans="1:19" x14ac:dyDescent="0.3">
      <c r="A984" s="2" t="s">
        <v>810</v>
      </c>
      <c r="B984" s="2">
        <v>97</v>
      </c>
      <c r="C984" s="3">
        <v>50026353</v>
      </c>
      <c r="D984" s="3" t="s">
        <v>6111</v>
      </c>
      <c r="E984" s="2" t="s">
        <v>3405</v>
      </c>
      <c r="F984" s="2" t="s">
        <v>10</v>
      </c>
      <c r="G984" s="2" t="s">
        <v>11</v>
      </c>
      <c r="H984" s="2">
        <v>15000000</v>
      </c>
      <c r="I984" s="2">
        <v>7.1</v>
      </c>
      <c r="J984" s="3">
        <v>4884663</v>
      </c>
      <c r="K984">
        <f t="shared" si="38"/>
        <v>1.3775047412552699E-3</v>
      </c>
      <c r="R984" s="12" t="str">
        <f ca="1">IFERROR(__xludf.DUMMYFUNCTION("""COMPUTED_VALUE"""),"Dream House ")</f>
        <v>Dream House </v>
      </c>
      <c r="S984" s="12">
        <f t="shared" si="37"/>
        <v>-18043793</v>
      </c>
    </row>
    <row r="985" spans="1:19" x14ac:dyDescent="0.3">
      <c r="A985" s="2" t="s">
        <v>379</v>
      </c>
      <c r="B985" s="2">
        <v>142</v>
      </c>
      <c r="C985" s="3">
        <v>47781388</v>
      </c>
      <c r="D985" s="3" t="s">
        <v>5910</v>
      </c>
      <c r="E985" s="2" t="s">
        <v>381</v>
      </c>
      <c r="F985" s="2" t="s">
        <v>10</v>
      </c>
      <c r="G985" s="2" t="s">
        <v>11</v>
      </c>
      <c r="H985" s="2">
        <v>115000000</v>
      </c>
      <c r="I985" s="2">
        <v>6.7</v>
      </c>
      <c r="J985" s="3">
        <v>4903000</v>
      </c>
      <c r="K985">
        <f t="shared" si="38"/>
        <v>1.3775047412552699E-3</v>
      </c>
      <c r="R985" s="12" t="str">
        <f ca="1">IFERROR(__xludf.DUMMYFUNCTION("""COMPUTED_VALUE"""),"Mad City ")</f>
        <v>Mad City </v>
      </c>
      <c r="S985" s="12">
        <f t="shared" ref="S985:S1048" si="39">C963-H963</f>
        <v>-26720983</v>
      </c>
    </row>
    <row r="986" spans="1:19" x14ac:dyDescent="0.3">
      <c r="A986" s="2" t="s">
        <v>3430</v>
      </c>
      <c r="B986" s="2">
        <v>94</v>
      </c>
      <c r="C986" s="3">
        <v>43800000</v>
      </c>
      <c r="D986" s="3" t="s">
        <v>6046</v>
      </c>
      <c r="E986" s="2" t="s">
        <v>3431</v>
      </c>
      <c r="F986" s="2" t="s">
        <v>10</v>
      </c>
      <c r="G986" s="2" t="s">
        <v>11</v>
      </c>
      <c r="H986" s="2">
        <v>15000000</v>
      </c>
      <c r="I986" s="2">
        <v>4.0999999999999996</v>
      </c>
      <c r="J986" s="3">
        <v>4919896</v>
      </c>
      <c r="K986">
        <f t="shared" si="38"/>
        <v>1.3775047412552699E-3</v>
      </c>
      <c r="R986" s="12" t="str">
        <f ca="1">IFERROR(__xludf.DUMMYFUNCTION("""COMPUTED_VALUE"""),"Baby's Day Out ")</f>
        <v>Baby's Day Out </v>
      </c>
      <c r="S986" s="12">
        <f t="shared" si="39"/>
        <v>-6153</v>
      </c>
    </row>
    <row r="987" spans="1:19" x14ac:dyDescent="0.3">
      <c r="A987" s="2" t="s">
        <v>133</v>
      </c>
      <c r="B987" s="2">
        <v>109</v>
      </c>
      <c r="C987" s="3">
        <v>47748610</v>
      </c>
      <c r="D987" s="3" t="s">
        <v>6112</v>
      </c>
      <c r="E987" s="2" t="s">
        <v>2045</v>
      </c>
      <c r="F987" s="2" t="s">
        <v>10</v>
      </c>
      <c r="G987" s="2" t="s">
        <v>11</v>
      </c>
      <c r="H987" s="3">
        <v>45207112</v>
      </c>
      <c r="I987" s="2">
        <v>5.7</v>
      </c>
      <c r="J987" s="3">
        <v>4922166</v>
      </c>
      <c r="K987">
        <f t="shared" si="38"/>
        <v>1.3775047412552699E-3</v>
      </c>
      <c r="R987" s="12" t="str">
        <f ca="1">IFERROR(__xludf.DUMMYFUNCTION("""COMPUTED_VALUE"""),"The Scarlet Letter ")</f>
        <v>The Scarlet Letter </v>
      </c>
      <c r="S987" s="12">
        <f t="shared" si="39"/>
        <v>101053579</v>
      </c>
    </row>
    <row r="988" spans="1:19" x14ac:dyDescent="0.3">
      <c r="A988" s="2" t="s">
        <v>2216</v>
      </c>
      <c r="B988" s="2">
        <v>96</v>
      </c>
      <c r="C988" s="2">
        <v>10569071</v>
      </c>
      <c r="D988" s="3" t="s">
        <v>6019</v>
      </c>
      <c r="E988" s="2" t="s">
        <v>3016</v>
      </c>
      <c r="F988" s="2" t="s">
        <v>10</v>
      </c>
      <c r="G988" s="2" t="s">
        <v>11</v>
      </c>
      <c r="H988" s="2">
        <v>20000000</v>
      </c>
      <c r="I988" s="2">
        <v>7.4</v>
      </c>
      <c r="J988" s="3">
        <v>4930798</v>
      </c>
      <c r="K988">
        <f t="shared" si="38"/>
        <v>1.3775047412552699E-3</v>
      </c>
      <c r="R988" s="12" t="str">
        <f ca="1">IFERROR(__xludf.DUMMYFUNCTION("""COMPUTED_VALUE"""),"Fair Game ")</f>
        <v>Fair Game </v>
      </c>
      <c r="S988" s="12">
        <f t="shared" si="39"/>
        <v>13446229</v>
      </c>
    </row>
    <row r="989" spans="1:19" x14ac:dyDescent="0.3">
      <c r="A989" s="2" t="s">
        <v>802</v>
      </c>
      <c r="B989" s="2">
        <v>142</v>
      </c>
      <c r="C989" s="3">
        <v>131536019</v>
      </c>
      <c r="D989" s="3" t="s">
        <v>6019</v>
      </c>
      <c r="E989" s="2" t="s">
        <v>803</v>
      </c>
      <c r="F989" s="2" t="s">
        <v>10</v>
      </c>
      <c r="G989" s="2" t="s">
        <v>11</v>
      </c>
      <c r="H989" s="2">
        <v>70000000</v>
      </c>
      <c r="I989" s="2">
        <v>6.6</v>
      </c>
      <c r="J989" s="3">
        <v>4946250</v>
      </c>
      <c r="K989">
        <f t="shared" si="38"/>
        <v>1.3775047412552699E-3</v>
      </c>
      <c r="R989" s="12" t="str">
        <f ca="1">IFERROR(__xludf.DUMMYFUNCTION("""COMPUTED_VALUE"""),"Domino ")</f>
        <v>Domino </v>
      </c>
      <c r="S989" s="12">
        <f t="shared" si="39"/>
        <v>46255287</v>
      </c>
    </row>
    <row r="990" spans="1:19" x14ac:dyDescent="0.3">
      <c r="A990" s="2" t="s">
        <v>128</v>
      </c>
      <c r="B990" s="2">
        <v>240</v>
      </c>
      <c r="C990" s="3">
        <v>39825798</v>
      </c>
      <c r="D990" s="3" t="s">
        <v>6113</v>
      </c>
      <c r="E990" s="2" t="s">
        <v>482</v>
      </c>
      <c r="F990" s="2" t="s">
        <v>10</v>
      </c>
      <c r="G990" s="2" t="s">
        <v>11</v>
      </c>
      <c r="H990" s="2">
        <v>100000000</v>
      </c>
      <c r="I990" s="2">
        <v>8.1999999999999993</v>
      </c>
      <c r="J990" s="3">
        <v>4956401</v>
      </c>
      <c r="K990">
        <f t="shared" si="38"/>
        <v>1.3775047412552699E-3</v>
      </c>
      <c r="R990" s="12" t="str">
        <f ca="1">IFERROR(__xludf.DUMMYFUNCTION("""COMPUTED_VALUE"""),"Jade ")</f>
        <v>Jade </v>
      </c>
      <c r="S990" s="12">
        <f t="shared" si="39"/>
        <v>49280963</v>
      </c>
    </row>
    <row r="991" spans="1:19" x14ac:dyDescent="0.3">
      <c r="A991" s="2" t="s">
        <v>341</v>
      </c>
      <c r="B991" s="2">
        <v>129</v>
      </c>
      <c r="C991" s="3">
        <v>60000000</v>
      </c>
      <c r="D991" s="3" t="s">
        <v>6114</v>
      </c>
      <c r="E991" s="2" t="s">
        <v>342</v>
      </c>
      <c r="F991" s="2" t="s">
        <v>10</v>
      </c>
      <c r="G991" s="2" t="s">
        <v>11</v>
      </c>
      <c r="H991" s="2">
        <v>125000000</v>
      </c>
      <c r="I991" s="2">
        <v>7.5</v>
      </c>
      <c r="J991" s="3">
        <v>4992159</v>
      </c>
      <c r="K991">
        <f t="shared" si="38"/>
        <v>1.3775047412552699E-3</v>
      </c>
      <c r="R991" s="12" t="str">
        <f ca="1">IFERROR(__xludf.DUMMYFUNCTION("""COMPUTED_VALUE"""),"Gamer ")</f>
        <v>Gamer </v>
      </c>
      <c r="S991" s="12">
        <f t="shared" si="39"/>
        <v>46897215</v>
      </c>
    </row>
    <row r="992" spans="1:19" x14ac:dyDescent="0.3">
      <c r="A992" s="2" t="s">
        <v>175</v>
      </c>
      <c r="B992" s="2">
        <v>158</v>
      </c>
      <c r="C992" s="3">
        <v>26616590</v>
      </c>
      <c r="D992" s="3" t="s">
        <v>5754</v>
      </c>
      <c r="E992" s="2" t="s">
        <v>567</v>
      </c>
      <c r="F992" s="2" t="s">
        <v>10</v>
      </c>
      <c r="G992" s="2" t="s">
        <v>11</v>
      </c>
      <c r="H992" s="2">
        <v>90000000</v>
      </c>
      <c r="I992" s="2">
        <v>7.8</v>
      </c>
      <c r="J992" s="3">
        <v>5000000</v>
      </c>
      <c r="K992">
        <f t="shared" si="38"/>
        <v>1.3775047412552699E-3</v>
      </c>
      <c r="R992" s="12" t="str">
        <f ca="1">IFERROR(__xludf.DUMMYFUNCTION("""COMPUTED_VALUE"""),"Beautiful Creatures ")</f>
        <v>Beautiful Creatures </v>
      </c>
      <c r="S992" s="12">
        <f t="shared" si="39"/>
        <v>70276912</v>
      </c>
    </row>
    <row r="993" spans="1:19" x14ac:dyDescent="0.3">
      <c r="A993" s="2" t="s">
        <v>642</v>
      </c>
      <c r="B993" s="2">
        <v>107</v>
      </c>
      <c r="C993" s="3">
        <v>177243721</v>
      </c>
      <c r="D993" s="3" t="s">
        <v>6100</v>
      </c>
      <c r="E993" s="2" t="s">
        <v>1251</v>
      </c>
      <c r="F993" s="2" t="s">
        <v>10</v>
      </c>
      <c r="G993" s="2" t="s">
        <v>11</v>
      </c>
      <c r="H993" s="2">
        <v>50000000</v>
      </c>
      <c r="I993" s="2">
        <v>5.6</v>
      </c>
      <c r="J993" s="3">
        <v>5000000</v>
      </c>
      <c r="K993">
        <f t="shared" si="38"/>
        <v>1.3775047412552699E-3</v>
      </c>
      <c r="R993" s="12" t="str">
        <f ca="1">IFERROR(__xludf.DUMMYFUNCTION("""COMPUTED_VALUE"""),"Death to Smoochy ")</f>
        <v>Death to Smoochy </v>
      </c>
      <c r="S993" s="12">
        <f t="shared" si="39"/>
        <v>-39517069</v>
      </c>
    </row>
    <row r="994" spans="1:19" x14ac:dyDescent="0.3">
      <c r="A994" s="2" t="s">
        <v>705</v>
      </c>
      <c r="B994" s="2">
        <v>111</v>
      </c>
      <c r="C994" s="3">
        <v>43792641</v>
      </c>
      <c r="D994" s="3" t="s">
        <v>6115</v>
      </c>
      <c r="E994" s="2" t="s">
        <v>2472</v>
      </c>
      <c r="F994" s="2" t="s">
        <v>10</v>
      </c>
      <c r="G994" s="2" t="s">
        <v>11</v>
      </c>
      <c r="H994" s="2">
        <v>26000000</v>
      </c>
      <c r="I994" s="2">
        <v>6</v>
      </c>
      <c r="J994" s="3">
        <v>5002310</v>
      </c>
      <c r="K994">
        <f t="shared" si="38"/>
        <v>1.3775047412552699E-3</v>
      </c>
      <c r="R994" s="12" t="str">
        <f ca="1">IFERROR(__xludf.DUMMYFUNCTION("""COMPUTED_VALUE"""),"Zoolander 2 ")</f>
        <v>Zoolander 2 </v>
      </c>
      <c r="S994" s="12">
        <f t="shared" si="39"/>
        <v>36806295</v>
      </c>
    </row>
    <row r="995" spans="1:19" x14ac:dyDescent="0.3">
      <c r="A995" s="2" t="s">
        <v>4817</v>
      </c>
      <c r="B995" s="2">
        <v>85</v>
      </c>
      <c r="C995" s="3">
        <v>54800000</v>
      </c>
      <c r="D995" s="3" t="s">
        <v>6116</v>
      </c>
      <c r="E995" s="2" t="s">
        <v>4818</v>
      </c>
      <c r="F995" s="2" t="s">
        <v>10</v>
      </c>
      <c r="G995" s="2" t="s">
        <v>98</v>
      </c>
      <c r="H995" s="2">
        <v>1500000</v>
      </c>
      <c r="I995" s="2">
        <v>6.3</v>
      </c>
      <c r="J995" s="3">
        <v>5004648</v>
      </c>
      <c r="K995">
        <f t="shared" si="38"/>
        <v>1.3775047412552699E-3</v>
      </c>
      <c r="R995" s="12" t="str">
        <f ca="1">IFERROR(__xludf.DUMMYFUNCTION("""COMPUTED_VALUE"""),"The Big Bounce ")</f>
        <v>The Big Bounce </v>
      </c>
      <c r="S995" s="12">
        <f t="shared" si="39"/>
        <v>51466372</v>
      </c>
    </row>
    <row r="996" spans="1:19" x14ac:dyDescent="0.3">
      <c r="A996" s="2" t="s">
        <v>2259</v>
      </c>
      <c r="B996" s="2">
        <v>100</v>
      </c>
      <c r="C996" s="3">
        <v>31584722</v>
      </c>
      <c r="D996" s="3" t="s">
        <v>6117</v>
      </c>
      <c r="E996" s="2" t="s">
        <v>2260</v>
      </c>
      <c r="F996" s="2" t="s">
        <v>10</v>
      </c>
      <c r="G996" s="2" t="s">
        <v>11</v>
      </c>
      <c r="H996" s="2">
        <v>30000000</v>
      </c>
      <c r="I996" s="2">
        <v>5.9</v>
      </c>
      <c r="J996" s="3">
        <v>5005883</v>
      </c>
      <c r="K996">
        <f t="shared" si="38"/>
        <v>1.3775047412552699E-3</v>
      </c>
      <c r="R996" s="12" t="str">
        <f ca="1">IFERROR(__xludf.DUMMYFUNCTION("""COMPUTED_VALUE"""),"What Planet Are You From? ")</f>
        <v>What Planet Are You From? </v>
      </c>
      <c r="S996" s="12">
        <f t="shared" si="39"/>
        <v>-3303239</v>
      </c>
    </row>
    <row r="997" spans="1:19" x14ac:dyDescent="0.3">
      <c r="A997" s="2" t="s">
        <v>346</v>
      </c>
      <c r="B997" s="2">
        <v>113</v>
      </c>
      <c r="C997" s="3">
        <v>80034302</v>
      </c>
      <c r="D997" s="3" t="s">
        <v>6044</v>
      </c>
      <c r="E997" s="2" t="s">
        <v>1487</v>
      </c>
      <c r="F997" s="2" t="s">
        <v>10</v>
      </c>
      <c r="G997" s="2" t="s">
        <v>11</v>
      </c>
      <c r="H997" s="2">
        <v>48000000</v>
      </c>
      <c r="I997" s="2">
        <v>6.8</v>
      </c>
      <c r="J997" s="3">
        <v>5009677</v>
      </c>
      <c r="K997">
        <f t="shared" si="38"/>
        <v>1.3775047412552699E-3</v>
      </c>
      <c r="R997" s="12" t="str">
        <f ca="1">IFERROR(__xludf.DUMMYFUNCTION("""COMPUTED_VALUE"""),"Drive Angry ")</f>
        <v>Drive Angry </v>
      </c>
      <c r="S997" s="12">
        <f t="shared" si="39"/>
        <v>-358185137</v>
      </c>
    </row>
    <row r="998" spans="1:19" x14ac:dyDescent="0.3">
      <c r="A998" s="2" t="s">
        <v>284</v>
      </c>
      <c r="B998" s="2">
        <v>106</v>
      </c>
      <c r="C998" s="3">
        <v>61355436</v>
      </c>
      <c r="D998" s="3" t="s">
        <v>5771</v>
      </c>
      <c r="E998" s="2" t="s">
        <v>745</v>
      </c>
      <c r="F998" s="2" t="s">
        <v>10</v>
      </c>
      <c r="G998" s="2" t="s">
        <v>11</v>
      </c>
      <c r="H998" s="2">
        <v>90000000</v>
      </c>
      <c r="I998" s="2">
        <v>6</v>
      </c>
      <c r="J998" s="3">
        <v>5018450</v>
      </c>
      <c r="K998">
        <f t="shared" si="38"/>
        <v>1.3775047412552699E-3</v>
      </c>
      <c r="R998" s="12" t="str">
        <f ca="1">IFERROR(__xludf.DUMMYFUNCTION("""COMPUTED_VALUE"""),"Street Fighter: The Legend of Chun-Li ")</f>
        <v>Street Fighter: The Legend of Chun-Li </v>
      </c>
      <c r="S998" s="12">
        <f t="shared" si="39"/>
        <v>-59469886</v>
      </c>
    </row>
    <row r="999" spans="1:19" x14ac:dyDescent="0.3">
      <c r="A999" s="2" t="s">
        <v>804</v>
      </c>
      <c r="B999" s="2">
        <v>101</v>
      </c>
      <c r="C999" s="3">
        <v>39800000</v>
      </c>
      <c r="D999" s="3" t="s">
        <v>6003</v>
      </c>
      <c r="E999" s="2" t="s">
        <v>1515</v>
      </c>
      <c r="F999" s="2" t="s">
        <v>10</v>
      </c>
      <c r="G999" s="2" t="s">
        <v>199</v>
      </c>
      <c r="H999" s="2">
        <v>60000000</v>
      </c>
      <c r="I999" s="2">
        <v>5.5</v>
      </c>
      <c r="J999" s="3">
        <v>5023275</v>
      </c>
      <c r="K999">
        <f t="shared" si="38"/>
        <v>1.3775047412552699E-3</v>
      </c>
      <c r="R999" s="12" t="str">
        <f ca="1">IFERROR(__xludf.DUMMYFUNCTION("""COMPUTED_VALUE"""),"The One ")</f>
        <v>The One </v>
      </c>
      <c r="S999" s="12">
        <f t="shared" si="39"/>
        <v>-103305472</v>
      </c>
    </row>
    <row r="1000" spans="1:19" x14ac:dyDescent="0.3">
      <c r="A1000" s="2" t="s">
        <v>3493</v>
      </c>
      <c r="B1000" s="2">
        <v>111</v>
      </c>
      <c r="C1000" s="3">
        <v>47553512</v>
      </c>
      <c r="D1000" s="3" t="s">
        <v>5869</v>
      </c>
      <c r="E1000" s="2" t="s">
        <v>3494</v>
      </c>
      <c r="F1000" s="2" t="s">
        <v>10</v>
      </c>
      <c r="G1000" s="2" t="s">
        <v>11</v>
      </c>
      <c r="H1000" s="2">
        <v>15000000</v>
      </c>
      <c r="I1000" s="2">
        <v>6.9</v>
      </c>
      <c r="J1000" s="3">
        <v>5032496</v>
      </c>
      <c r="K1000">
        <f t="shared" si="38"/>
        <v>1.3775047412552699E-3</v>
      </c>
      <c r="R1000" s="12" t="str">
        <f ca="1">IFERROR(__xludf.DUMMYFUNCTION("""COMPUTED_VALUE"""),"The Adventures of Ford Fairlane ")</f>
        <v>The Adventures of Ford Fairlane </v>
      </c>
      <c r="S1000" s="12">
        <f t="shared" si="39"/>
        <v>-4361453</v>
      </c>
    </row>
    <row r="1001" spans="1:19" x14ac:dyDescent="0.3">
      <c r="A1001" s="2" t="s">
        <v>414</v>
      </c>
      <c r="B1001" s="2">
        <v>105</v>
      </c>
      <c r="C1001" s="3">
        <v>63600000</v>
      </c>
      <c r="D1001" s="3" t="s">
        <v>5869</v>
      </c>
      <c r="E1001" s="2" t="s">
        <v>420</v>
      </c>
      <c r="F1001" s="2" t="s">
        <v>10</v>
      </c>
      <c r="G1001" s="2" t="s">
        <v>11</v>
      </c>
      <c r="H1001" s="2">
        <v>105000000</v>
      </c>
      <c r="I1001" s="2">
        <v>5.4</v>
      </c>
      <c r="J1001" s="3">
        <v>5100000</v>
      </c>
      <c r="K1001">
        <f t="shared" si="38"/>
        <v>1.3775047412552699E-3</v>
      </c>
      <c r="R1001" s="12" t="str">
        <f ca="1">IFERROR(__xludf.DUMMYFUNCTION("""COMPUTED_VALUE"""),"Traffic ")</f>
        <v>Traffic </v>
      </c>
      <c r="S1001" s="12">
        <f t="shared" si="39"/>
        <v>-44324822</v>
      </c>
    </row>
    <row r="1002" spans="1:19" x14ac:dyDescent="0.3">
      <c r="A1002" s="2" t="s">
        <v>1317</v>
      </c>
      <c r="B1002" s="2">
        <v>106</v>
      </c>
      <c r="C1002" s="3">
        <v>41797066</v>
      </c>
      <c r="D1002" s="3" t="s">
        <v>5892</v>
      </c>
      <c r="E1002" s="2" t="s">
        <v>1318</v>
      </c>
      <c r="F1002" s="2" t="s">
        <v>10</v>
      </c>
      <c r="G1002" s="2" t="s">
        <v>11</v>
      </c>
      <c r="H1002" s="2">
        <v>50200000</v>
      </c>
      <c r="I1002" s="2">
        <v>7.1</v>
      </c>
      <c r="J1002" s="3">
        <v>5108820</v>
      </c>
      <c r="K1002">
        <f t="shared" si="38"/>
        <v>1.3775047412552699E-3</v>
      </c>
      <c r="R1002" s="12" t="str">
        <f ca="1">IFERROR(__xludf.DUMMYFUNCTION("""COMPUTED_VALUE"""),"Indiana Jones and the Last Crusade ")</f>
        <v>Indiana Jones and the Last Crusade </v>
      </c>
      <c r="S1002" s="12">
        <f t="shared" si="39"/>
        <v>-1207221</v>
      </c>
    </row>
    <row r="1003" spans="1:19" x14ac:dyDescent="0.3">
      <c r="A1003" s="2" t="s">
        <v>3919</v>
      </c>
      <c r="B1003" s="2">
        <v>99</v>
      </c>
      <c r="C1003" s="3">
        <v>24629916</v>
      </c>
      <c r="D1003" s="3" t="s">
        <v>6118</v>
      </c>
      <c r="E1003" s="2" t="s">
        <v>4033</v>
      </c>
      <c r="F1003" s="2" t="s">
        <v>10</v>
      </c>
      <c r="G1003" s="2" t="s">
        <v>16</v>
      </c>
      <c r="H1003" s="2">
        <v>6400000</v>
      </c>
      <c r="I1003" s="2">
        <v>7</v>
      </c>
      <c r="J1003" s="3">
        <v>5128124</v>
      </c>
      <c r="K1003">
        <f t="shared" si="38"/>
        <v>1.3775047412552699E-3</v>
      </c>
      <c r="R1003" s="12" t="str">
        <f ca="1">IFERROR(__xludf.DUMMYFUNCTION("""COMPUTED_VALUE"""),"Chappie ")</f>
        <v>Chappie </v>
      </c>
      <c r="S1003" s="12">
        <f t="shared" si="39"/>
        <v>-11151900</v>
      </c>
    </row>
    <row r="1004" spans="1:19" x14ac:dyDescent="0.3">
      <c r="A1004" s="2" t="s">
        <v>5377</v>
      </c>
      <c r="B1004" s="2">
        <v>90</v>
      </c>
      <c r="C1004" s="3">
        <v>118823091</v>
      </c>
      <c r="D1004" s="3" t="s">
        <v>6119</v>
      </c>
      <c r="E1004" s="2" t="s">
        <v>5378</v>
      </c>
      <c r="F1004" s="2" t="s">
        <v>10</v>
      </c>
      <c r="G1004" s="2" t="s">
        <v>11</v>
      </c>
      <c r="H1004" s="2">
        <v>1000000</v>
      </c>
      <c r="I1004" s="2">
        <v>6.1</v>
      </c>
      <c r="J1004" s="3">
        <v>5132222</v>
      </c>
      <c r="K1004">
        <f t="shared" si="38"/>
        <v>1.3775047412552699E-3</v>
      </c>
      <c r="R1004" s="12" t="str">
        <f ca="1">IFERROR(__xludf.DUMMYFUNCTION("""COMPUTED_VALUE"""),"The Bone Collector ")</f>
        <v>The Bone Collector </v>
      </c>
      <c r="S1004" s="12">
        <f t="shared" si="39"/>
        <v>-178024389</v>
      </c>
    </row>
    <row r="1005" spans="1:19" x14ac:dyDescent="0.3">
      <c r="A1005" s="2" t="s">
        <v>2607</v>
      </c>
      <c r="B1005" s="2">
        <v>97</v>
      </c>
      <c r="C1005" s="3">
        <v>31537320</v>
      </c>
      <c r="D1005" s="3" t="s">
        <v>6120</v>
      </c>
      <c r="E1005" s="2" t="s">
        <v>2608</v>
      </c>
      <c r="F1005" s="2" t="s">
        <v>10</v>
      </c>
      <c r="G1005" s="2" t="s">
        <v>11</v>
      </c>
      <c r="H1005" s="2">
        <v>25000000</v>
      </c>
      <c r="I1005" s="2">
        <v>6.4</v>
      </c>
      <c r="J1005" s="3">
        <v>5132655</v>
      </c>
      <c r="K1005">
        <f t="shared" si="38"/>
        <v>1.3775047412552699E-3</v>
      </c>
      <c r="R1005" s="12" t="str">
        <f ca="1">IFERROR(__xludf.DUMMYFUNCTION("""COMPUTED_VALUE"""),"Panic Room ")</f>
        <v>Panic Room </v>
      </c>
      <c r="S1005" s="12">
        <f t="shared" si="39"/>
        <v>6401464</v>
      </c>
    </row>
    <row r="1006" spans="1:19" x14ac:dyDescent="0.3">
      <c r="A1006" s="2" t="s">
        <v>1204</v>
      </c>
      <c r="B1006" s="2">
        <v>92</v>
      </c>
      <c r="C1006" s="3">
        <v>20803237</v>
      </c>
      <c r="D1006" s="3" t="s">
        <v>6019</v>
      </c>
      <c r="E1006" s="2" t="s">
        <v>1205</v>
      </c>
      <c r="F1006" s="2" t="s">
        <v>10</v>
      </c>
      <c r="G1006" s="2" t="s">
        <v>11</v>
      </c>
      <c r="H1006" s="2">
        <v>55000000</v>
      </c>
      <c r="I1006" s="2">
        <v>5.4</v>
      </c>
      <c r="J1006" s="3">
        <v>5204007</v>
      </c>
      <c r="K1006">
        <f t="shared" si="38"/>
        <v>1.3775047412552699E-3</v>
      </c>
      <c r="R1006" s="12" t="str">
        <f ca="1">IFERROR(__xludf.DUMMYFUNCTION("""COMPUTED_VALUE"""),"Three Kings ")</f>
        <v>Three Kings </v>
      </c>
      <c r="S1006" s="12">
        <f t="shared" si="39"/>
        <v>35026353</v>
      </c>
    </row>
    <row r="1007" spans="1:19" x14ac:dyDescent="0.3">
      <c r="A1007" s="2" t="s">
        <v>207</v>
      </c>
      <c r="B1007" s="2">
        <v>93</v>
      </c>
      <c r="C1007" s="3">
        <v>31569268</v>
      </c>
      <c r="D1007" s="3" t="s">
        <v>6121</v>
      </c>
      <c r="E1007" s="2" t="s">
        <v>253</v>
      </c>
      <c r="F1007" s="2" t="s">
        <v>10</v>
      </c>
      <c r="G1007" s="2" t="s">
        <v>11</v>
      </c>
      <c r="H1007" s="2">
        <v>145000000</v>
      </c>
      <c r="I1007" s="2">
        <v>6.9</v>
      </c>
      <c r="J1007" s="3">
        <v>5205343</v>
      </c>
      <c r="K1007">
        <f t="shared" si="38"/>
        <v>1.3775047412552699E-3</v>
      </c>
      <c r="R1007" s="12" t="str">
        <f ca="1">IFERROR(__xludf.DUMMYFUNCTION("""COMPUTED_VALUE"""),"Child 44 ")</f>
        <v>Child 44 </v>
      </c>
      <c r="S1007" s="12">
        <f t="shared" si="39"/>
        <v>-67218612</v>
      </c>
    </row>
    <row r="1008" spans="1:19" x14ac:dyDescent="0.3">
      <c r="A1008" s="2" t="s">
        <v>2454</v>
      </c>
      <c r="B1008" s="2">
        <v>99</v>
      </c>
      <c r="C1008" s="3">
        <v>39778599</v>
      </c>
      <c r="D1008" s="3" t="s">
        <v>5785</v>
      </c>
      <c r="E1008" s="2" t="s">
        <v>2455</v>
      </c>
      <c r="F1008" s="2" t="s">
        <v>10</v>
      </c>
      <c r="G1008" s="2" t="s">
        <v>11</v>
      </c>
      <c r="H1008" s="2">
        <v>27000000</v>
      </c>
      <c r="I1008" s="2">
        <v>5.9</v>
      </c>
      <c r="J1008" s="3">
        <v>5217498</v>
      </c>
      <c r="K1008">
        <f t="shared" si="38"/>
        <v>1.3775047412552699E-3</v>
      </c>
      <c r="R1008" s="12" t="str">
        <f ca="1">IFERROR(__xludf.DUMMYFUNCTION("""COMPUTED_VALUE"""),"Rat Race ")</f>
        <v>Rat Race </v>
      </c>
      <c r="S1008" s="12">
        <f t="shared" si="39"/>
        <v>28800000</v>
      </c>
    </row>
    <row r="1009" spans="1:19" x14ac:dyDescent="0.3">
      <c r="A1009" s="2" t="s">
        <v>295</v>
      </c>
      <c r="B1009" s="2">
        <v>125</v>
      </c>
      <c r="C1009" s="3">
        <v>184208848</v>
      </c>
      <c r="D1009" s="3" t="s">
        <v>5773</v>
      </c>
      <c r="E1009" s="2" t="s">
        <v>790</v>
      </c>
      <c r="F1009" s="2" t="s">
        <v>10</v>
      </c>
      <c r="G1009" s="2" t="s">
        <v>11</v>
      </c>
      <c r="H1009" s="2">
        <v>75000000</v>
      </c>
      <c r="I1009" s="2">
        <v>7.3</v>
      </c>
      <c r="J1009" s="3">
        <v>5228617</v>
      </c>
      <c r="K1009">
        <f t="shared" si="38"/>
        <v>1.3775047412552699E-3</v>
      </c>
      <c r="R1009" s="12" t="str">
        <f ca="1">IFERROR(__xludf.DUMMYFUNCTION("""COMPUTED_VALUE"""),"K-PAX ")</f>
        <v>K-PAX </v>
      </c>
      <c r="S1009" s="12">
        <f t="shared" si="39"/>
        <v>2541498</v>
      </c>
    </row>
    <row r="1010" spans="1:19" x14ac:dyDescent="0.3">
      <c r="A1010" s="2" t="s">
        <v>436</v>
      </c>
      <c r="B1010" s="2">
        <v>95</v>
      </c>
      <c r="C1010" s="3">
        <v>18656400</v>
      </c>
      <c r="D1010" s="3" t="s">
        <v>520</v>
      </c>
      <c r="E1010" s="2" t="s">
        <v>491</v>
      </c>
      <c r="F1010" s="2" t="s">
        <v>10</v>
      </c>
      <c r="G1010" s="2" t="s">
        <v>11</v>
      </c>
      <c r="H1010" s="2">
        <v>140000000</v>
      </c>
      <c r="I1010" s="2">
        <v>7.1</v>
      </c>
      <c r="J1010" s="3">
        <v>5300000</v>
      </c>
      <c r="K1010">
        <f t="shared" si="38"/>
        <v>1.3775047412552699E-3</v>
      </c>
      <c r="R1010" s="12" t="str">
        <f ca="1">IFERROR(__xludf.DUMMYFUNCTION("""COMPUTED_VALUE"""),"Kate &amp; Leopold ")</f>
        <v>Kate &amp; Leopold </v>
      </c>
      <c r="S1010" s="12">
        <f t="shared" si="39"/>
        <v>-9430929</v>
      </c>
    </row>
    <row r="1011" spans="1:19" x14ac:dyDescent="0.3">
      <c r="A1011" s="2" t="s">
        <v>2295</v>
      </c>
      <c r="B1011" s="2">
        <v>105</v>
      </c>
      <c r="C1011" s="3">
        <v>39737645</v>
      </c>
      <c r="D1011" s="3" t="s">
        <v>6122</v>
      </c>
      <c r="E1011" s="2" t="s">
        <v>2296</v>
      </c>
      <c r="F1011" s="2" t="s">
        <v>10</v>
      </c>
      <c r="G1011" s="2" t="s">
        <v>11</v>
      </c>
      <c r="H1011" s="2">
        <v>25000000</v>
      </c>
      <c r="I1011" s="2">
        <v>5.3</v>
      </c>
      <c r="J1011" s="3">
        <v>5306447</v>
      </c>
      <c r="K1011">
        <f t="shared" si="38"/>
        <v>1.3775047412552699E-3</v>
      </c>
      <c r="R1011" s="12" t="str">
        <f ca="1">IFERROR(__xludf.DUMMYFUNCTION("""COMPUTED_VALUE"""),"Bedazzled ")</f>
        <v>Bedazzled </v>
      </c>
      <c r="S1011" s="12">
        <f t="shared" si="39"/>
        <v>61536019</v>
      </c>
    </row>
    <row r="1012" spans="1:19" x14ac:dyDescent="0.3">
      <c r="A1012" s="2" t="s">
        <v>318</v>
      </c>
      <c r="B1012" s="2">
        <v>138</v>
      </c>
      <c r="C1012" s="3">
        <v>80033643</v>
      </c>
      <c r="D1012" s="3" t="s">
        <v>6123</v>
      </c>
      <c r="E1012" s="2" t="s">
        <v>319</v>
      </c>
      <c r="F1012" s="2" t="s">
        <v>10</v>
      </c>
      <c r="G1012" s="2" t="s">
        <v>11</v>
      </c>
      <c r="H1012" s="2">
        <v>125000000</v>
      </c>
      <c r="I1012" s="2">
        <v>5.8</v>
      </c>
      <c r="J1012" s="3">
        <v>5308707</v>
      </c>
      <c r="K1012">
        <f t="shared" si="38"/>
        <v>1.3775047412552699E-3</v>
      </c>
      <c r="R1012" s="12" t="str">
        <f ca="1">IFERROR(__xludf.DUMMYFUNCTION("""COMPUTED_VALUE"""),"The Cotton Club ")</f>
        <v>The Cotton Club </v>
      </c>
      <c r="S1012" s="12">
        <f t="shared" si="39"/>
        <v>-60174202</v>
      </c>
    </row>
    <row r="1013" spans="1:19" x14ac:dyDescent="0.3">
      <c r="A1013" s="2" t="s">
        <v>50</v>
      </c>
      <c r="B1013" s="2">
        <v>171</v>
      </c>
      <c r="C1013" s="3">
        <v>34099640</v>
      </c>
      <c r="D1013" s="3" t="s">
        <v>5954</v>
      </c>
      <c r="E1013" s="2" t="s">
        <v>445</v>
      </c>
      <c r="F1013" s="2" t="s">
        <v>10</v>
      </c>
      <c r="G1013" s="2" t="s">
        <v>11</v>
      </c>
      <c r="H1013" s="2">
        <v>103000000</v>
      </c>
      <c r="I1013" s="2">
        <v>8.5</v>
      </c>
      <c r="J1013" s="3">
        <v>5333658</v>
      </c>
      <c r="K1013">
        <f t="shared" si="38"/>
        <v>1.3775047412552699E-3</v>
      </c>
      <c r="R1013" s="12" t="str">
        <f ca="1">IFERROR(__xludf.DUMMYFUNCTION("""COMPUTED_VALUE"""),"3:10 to Yuma ")</f>
        <v>3:10 to Yuma </v>
      </c>
      <c r="S1013" s="12">
        <f t="shared" si="39"/>
        <v>-65000000</v>
      </c>
    </row>
    <row r="1014" spans="1:19" x14ac:dyDescent="0.3">
      <c r="A1014" s="2" t="s">
        <v>1587</v>
      </c>
      <c r="B1014" s="2">
        <v>97</v>
      </c>
      <c r="C1014" s="3">
        <v>54724272</v>
      </c>
      <c r="D1014" s="3" t="s">
        <v>5913</v>
      </c>
      <c r="E1014" s="2" t="s">
        <v>3945</v>
      </c>
      <c r="F1014" s="2" t="s">
        <v>10</v>
      </c>
      <c r="G1014" s="2" t="s">
        <v>16</v>
      </c>
      <c r="H1014" s="2">
        <v>14000000</v>
      </c>
      <c r="I1014" s="2">
        <v>6.9</v>
      </c>
      <c r="J1014" s="3">
        <v>5348317</v>
      </c>
      <c r="K1014">
        <f t="shared" si="38"/>
        <v>1.3775047412552699E-3</v>
      </c>
      <c r="R1014" s="12" t="str">
        <f ca="1">IFERROR(__xludf.DUMMYFUNCTION("""COMPUTED_VALUE"""),"Taken 3 ")</f>
        <v>Taken 3 </v>
      </c>
      <c r="S1014" s="12">
        <f t="shared" si="39"/>
        <v>-63383410</v>
      </c>
    </row>
    <row r="1015" spans="1:19" x14ac:dyDescent="0.3">
      <c r="A1015" s="2" t="s">
        <v>1896</v>
      </c>
      <c r="B1015" s="2">
        <v>106</v>
      </c>
      <c r="C1015" s="3">
        <v>93607673</v>
      </c>
      <c r="D1015" s="3" t="s">
        <v>5913</v>
      </c>
      <c r="E1015" s="2" t="s">
        <v>4376</v>
      </c>
      <c r="F1015" s="2" t="s">
        <v>10</v>
      </c>
      <c r="G1015" s="2" t="s">
        <v>11</v>
      </c>
      <c r="H1015" s="2">
        <v>7000000</v>
      </c>
      <c r="I1015" s="2">
        <v>7</v>
      </c>
      <c r="J1015" s="3">
        <v>5354039</v>
      </c>
      <c r="K1015">
        <f t="shared" si="38"/>
        <v>1.3775047412552699E-3</v>
      </c>
      <c r="R1015" s="12" t="str">
        <f ca="1">IFERROR(__xludf.DUMMYFUNCTION("""COMPUTED_VALUE"""),"Out of Sight ")</f>
        <v>Out of Sight </v>
      </c>
      <c r="S1015" s="12">
        <f t="shared" si="39"/>
        <v>127243721</v>
      </c>
    </row>
    <row r="1016" spans="1:19" x14ac:dyDescent="0.3">
      <c r="A1016" s="2" t="s">
        <v>318</v>
      </c>
      <c r="B1016" s="2">
        <v>108</v>
      </c>
      <c r="C1016" s="3">
        <v>71844424</v>
      </c>
      <c r="D1016" s="3" t="s">
        <v>6103</v>
      </c>
      <c r="E1016" s="2" t="s">
        <v>3649</v>
      </c>
      <c r="F1016" s="2" t="s">
        <v>10</v>
      </c>
      <c r="G1016" s="2" t="s">
        <v>11</v>
      </c>
      <c r="H1016" s="2">
        <v>13000000</v>
      </c>
      <c r="I1016" s="2">
        <v>8</v>
      </c>
      <c r="J1016" s="3">
        <v>5359774</v>
      </c>
      <c r="K1016">
        <f t="shared" si="38"/>
        <v>1.3775047412552699E-3</v>
      </c>
      <c r="R1016" s="12" t="str">
        <f ca="1">IFERROR(__xludf.DUMMYFUNCTION("""COMPUTED_VALUE"""),"The Cable Guy ")</f>
        <v>The Cable Guy </v>
      </c>
      <c r="S1016" s="12">
        <f t="shared" si="39"/>
        <v>17792641</v>
      </c>
    </row>
    <row r="1017" spans="1:19" x14ac:dyDescent="0.3">
      <c r="A1017" s="2" t="s">
        <v>2198</v>
      </c>
      <c r="B1017" s="2">
        <v>100</v>
      </c>
      <c r="C1017" s="3">
        <v>109713132</v>
      </c>
      <c r="D1017" s="3" t="s">
        <v>5754</v>
      </c>
      <c r="E1017" s="2" t="s">
        <v>4250</v>
      </c>
      <c r="F1017" s="2" t="s">
        <v>10</v>
      </c>
      <c r="G1017" s="2" t="s">
        <v>11</v>
      </c>
      <c r="H1017" s="2">
        <v>8000000</v>
      </c>
      <c r="I1017" s="2">
        <v>7.7</v>
      </c>
      <c r="J1017" s="3">
        <v>5383834</v>
      </c>
      <c r="K1017">
        <f t="shared" si="38"/>
        <v>1.3775047412552699E-3</v>
      </c>
      <c r="R1017" s="12" t="str">
        <f ca="1">IFERROR(__xludf.DUMMYFUNCTION("""COMPUTED_VALUE"""),"Dick Tracy ")</f>
        <v>Dick Tracy </v>
      </c>
      <c r="S1017" s="12">
        <f t="shared" si="39"/>
        <v>53300000</v>
      </c>
    </row>
    <row r="1018" spans="1:19" x14ac:dyDescent="0.3">
      <c r="A1018" s="2" t="s">
        <v>31</v>
      </c>
      <c r="B1018" s="2">
        <v>121</v>
      </c>
      <c r="C1018" s="3">
        <v>104054514</v>
      </c>
      <c r="D1018" s="3" t="s">
        <v>5869</v>
      </c>
      <c r="E1018" s="2" t="s">
        <v>573</v>
      </c>
      <c r="F1018" s="2" t="s">
        <v>10</v>
      </c>
      <c r="G1018" s="2" t="s">
        <v>11</v>
      </c>
      <c r="H1018" s="2">
        <v>75000000</v>
      </c>
      <c r="I1018" s="2">
        <v>7.1</v>
      </c>
      <c r="J1018" s="3">
        <v>5400000</v>
      </c>
      <c r="K1018">
        <f t="shared" si="38"/>
        <v>1.3775047412552699E-3</v>
      </c>
      <c r="R1018" s="12" t="str">
        <f ca="1">IFERROR(__xludf.DUMMYFUNCTION("""COMPUTED_VALUE"""),"The Thomas Crown Affair ")</f>
        <v>The Thomas Crown Affair </v>
      </c>
      <c r="S1018" s="12">
        <f t="shared" si="39"/>
        <v>1584722</v>
      </c>
    </row>
    <row r="1019" spans="1:19" x14ac:dyDescent="0.3">
      <c r="A1019" s="2" t="s">
        <v>4882</v>
      </c>
      <c r="B1019" s="2">
        <v>100</v>
      </c>
      <c r="C1019" s="3">
        <v>1339152</v>
      </c>
      <c r="D1019" s="3" t="s">
        <v>5913</v>
      </c>
      <c r="E1019" s="2" t="s">
        <v>4883</v>
      </c>
      <c r="F1019" s="2" t="s">
        <v>10</v>
      </c>
      <c r="G1019" s="2" t="s">
        <v>11</v>
      </c>
      <c r="H1019" s="2">
        <v>3500000</v>
      </c>
      <c r="I1019" s="2">
        <v>7</v>
      </c>
      <c r="J1019" s="3">
        <v>5409517</v>
      </c>
      <c r="K1019">
        <f t="shared" si="38"/>
        <v>1.3775047412552699E-3</v>
      </c>
      <c r="R1019" s="12" t="str">
        <f ca="1">IFERROR(__xludf.DUMMYFUNCTION("""COMPUTED_VALUE"""),"Riding in Cars with Boys ")</f>
        <v>Riding in Cars with Boys </v>
      </c>
      <c r="S1019" s="12">
        <f t="shared" si="39"/>
        <v>32034302</v>
      </c>
    </row>
    <row r="1020" spans="1:19" x14ac:dyDescent="0.3">
      <c r="A1020" s="2" t="s">
        <v>2529</v>
      </c>
      <c r="B1020" s="2">
        <v>88</v>
      </c>
      <c r="C1020" s="3">
        <v>66462600</v>
      </c>
      <c r="D1020" s="3" t="s">
        <v>5910</v>
      </c>
      <c r="E1020" s="2" t="s">
        <v>5418</v>
      </c>
      <c r="F1020" s="2" t="s">
        <v>10</v>
      </c>
      <c r="G1020" s="2" t="s">
        <v>11</v>
      </c>
      <c r="H1020" s="2">
        <v>850000</v>
      </c>
      <c r="I1020" s="2">
        <v>7.3</v>
      </c>
      <c r="J1020" s="3">
        <v>5430822</v>
      </c>
      <c r="K1020">
        <f t="shared" si="38"/>
        <v>1.3775047412552699E-3</v>
      </c>
      <c r="R1020" s="12" t="str">
        <f ca="1">IFERROR(__xludf.DUMMYFUNCTION("""COMPUTED_VALUE"""),"Happily N'Ever After ")</f>
        <v>Happily N'Ever After </v>
      </c>
      <c r="S1020" s="12">
        <f t="shared" si="39"/>
        <v>-28644564</v>
      </c>
    </row>
    <row r="1021" spans="1:19" x14ac:dyDescent="0.3">
      <c r="A1021" s="2" t="s">
        <v>640</v>
      </c>
      <c r="B1021" s="2">
        <v>105</v>
      </c>
      <c r="C1021" s="3">
        <v>41777564</v>
      </c>
      <c r="D1021" s="3" t="s">
        <v>5887</v>
      </c>
      <c r="E1021" s="2" t="s">
        <v>3375</v>
      </c>
      <c r="F1021" s="2" t="s">
        <v>10</v>
      </c>
      <c r="G1021" s="2" t="s">
        <v>11</v>
      </c>
      <c r="H1021" s="2">
        <v>14000000</v>
      </c>
      <c r="I1021" s="2">
        <v>7.3</v>
      </c>
      <c r="J1021" s="3">
        <v>5459824</v>
      </c>
      <c r="K1021">
        <f t="shared" si="38"/>
        <v>1.3775047412552699E-3</v>
      </c>
      <c r="R1021" s="12" t="str">
        <f ca="1">IFERROR(__xludf.DUMMYFUNCTION("""COMPUTED_VALUE"""),"Mary Reilly ")</f>
        <v>Mary Reilly </v>
      </c>
      <c r="S1021" s="12">
        <f t="shared" si="39"/>
        <v>-20200000</v>
      </c>
    </row>
    <row r="1022" spans="1:19" x14ac:dyDescent="0.3">
      <c r="A1022" s="2" t="s">
        <v>1439</v>
      </c>
      <c r="B1022" s="2">
        <v>90</v>
      </c>
      <c r="C1022" s="3">
        <v>80021740</v>
      </c>
      <c r="D1022" s="3" t="s">
        <v>520</v>
      </c>
      <c r="E1022" s="2" t="s">
        <v>5705</v>
      </c>
      <c r="F1022" s="2" t="s">
        <v>10</v>
      </c>
      <c r="G1022" s="2" t="s">
        <v>11</v>
      </c>
      <c r="H1022" s="3">
        <v>474544677</v>
      </c>
      <c r="I1022" s="2">
        <v>7.5</v>
      </c>
      <c r="J1022" s="3">
        <v>5480318</v>
      </c>
      <c r="K1022">
        <f t="shared" si="38"/>
        <v>1.3775047412552699E-3</v>
      </c>
      <c r="R1022" s="12" t="str">
        <f ca="1">IFERROR(__xludf.DUMMYFUNCTION("""COMPUTED_VALUE"""),"My Best Friend's Wedding ")</f>
        <v>My Best Friend's Wedding </v>
      </c>
      <c r="S1022" s="12">
        <f t="shared" si="39"/>
        <v>32553512</v>
      </c>
    </row>
    <row r="1023" spans="1:19" x14ac:dyDescent="0.3">
      <c r="A1023" s="2" t="s">
        <v>50</v>
      </c>
      <c r="B1023" s="2">
        <v>152</v>
      </c>
      <c r="C1023" s="3">
        <v>31501218</v>
      </c>
      <c r="D1023" s="3" t="s">
        <v>6124</v>
      </c>
      <c r="E1023" s="2" t="s">
        <v>518</v>
      </c>
      <c r="F1023" s="2" t="s">
        <v>10</v>
      </c>
      <c r="G1023" s="2" t="s">
        <v>11</v>
      </c>
      <c r="H1023" s="2">
        <v>92000000</v>
      </c>
      <c r="I1023" s="2">
        <v>7.7</v>
      </c>
      <c r="J1023" s="3">
        <v>5480996</v>
      </c>
      <c r="K1023">
        <f t="shared" si="38"/>
        <v>1.3775047412552699E-3</v>
      </c>
      <c r="R1023" s="12" t="str">
        <f ca="1">IFERROR(__xludf.DUMMYFUNCTION("""COMPUTED_VALUE"""),"America's Sweethearts ")</f>
        <v>America's Sweethearts </v>
      </c>
      <c r="S1023" s="12">
        <f t="shared" si="39"/>
        <v>-41400000</v>
      </c>
    </row>
    <row r="1024" spans="1:19" x14ac:dyDescent="0.3">
      <c r="A1024" s="2" t="s">
        <v>852</v>
      </c>
      <c r="B1024" s="2">
        <v>103</v>
      </c>
      <c r="C1024" s="3">
        <v>54700065</v>
      </c>
      <c r="D1024" s="3" t="s">
        <v>6125</v>
      </c>
      <c r="E1024" s="2" t="s">
        <v>1606</v>
      </c>
      <c r="F1024" s="2" t="s">
        <v>10</v>
      </c>
      <c r="G1024" s="2" t="s">
        <v>11</v>
      </c>
      <c r="H1024" s="2">
        <v>43000000</v>
      </c>
      <c r="I1024" s="2">
        <v>6</v>
      </c>
      <c r="J1024" s="3">
        <v>5484375</v>
      </c>
      <c r="K1024">
        <f t="shared" si="38"/>
        <v>1.3775047412552699E-3</v>
      </c>
      <c r="R1024" s="12" t="str">
        <f ca="1">IFERROR(__xludf.DUMMYFUNCTION("""COMPUTED_VALUE"""),"Insomnia ")</f>
        <v>Insomnia </v>
      </c>
      <c r="S1024" s="12">
        <f t="shared" si="39"/>
        <v>-8402934</v>
      </c>
    </row>
    <row r="1025" spans="1:19" x14ac:dyDescent="0.3">
      <c r="A1025" s="2" t="s">
        <v>4203</v>
      </c>
      <c r="B1025" s="2">
        <v>97</v>
      </c>
      <c r="C1025" s="3">
        <v>42335698</v>
      </c>
      <c r="D1025" s="3" t="s">
        <v>6026</v>
      </c>
      <c r="E1025" s="2" t="s">
        <v>4204</v>
      </c>
      <c r="F1025" s="2" t="s">
        <v>10</v>
      </c>
      <c r="G1025" s="2" t="s">
        <v>11</v>
      </c>
      <c r="H1025" s="2">
        <v>9000000</v>
      </c>
      <c r="I1025" s="2">
        <v>6.2</v>
      </c>
      <c r="J1025" s="3">
        <v>5501940</v>
      </c>
      <c r="K1025">
        <f t="shared" si="38"/>
        <v>1.3775047412552699E-3</v>
      </c>
      <c r="R1025" s="12" t="str">
        <f ca="1">IFERROR(__xludf.DUMMYFUNCTION("""COMPUTED_VALUE"""),"Star Trek: First Contact ")</f>
        <v>Star Trek: First Contact </v>
      </c>
      <c r="S1025" s="12">
        <f t="shared" si="39"/>
        <v>18229916</v>
      </c>
    </row>
    <row r="1026" spans="1:19" x14ac:dyDescent="0.3">
      <c r="A1026" s="2" t="s">
        <v>414</v>
      </c>
      <c r="B1026" s="2">
        <v>91</v>
      </c>
      <c r="C1026" s="3">
        <v>24530513</v>
      </c>
      <c r="D1026" s="3" t="s">
        <v>6041</v>
      </c>
      <c r="E1026" s="2" t="s">
        <v>2865</v>
      </c>
      <c r="F1026" s="2" t="s">
        <v>10</v>
      </c>
      <c r="G1026" s="2" t="s">
        <v>11</v>
      </c>
      <c r="H1026" s="2">
        <v>20000000</v>
      </c>
      <c r="I1026" s="2">
        <v>3.7</v>
      </c>
      <c r="J1026" s="3">
        <v>5516708</v>
      </c>
      <c r="K1026">
        <f t="shared" ref="K1026:K1089" si="40">CORREL(H$2:H$3941,J$2:J$3941)</f>
        <v>1.3775047412552699E-3</v>
      </c>
      <c r="R1026" s="12" t="str">
        <f ca="1">IFERROR(__xludf.DUMMYFUNCTION("""COMPUTED_VALUE"""),"Jonah Hex ")</f>
        <v>Jonah Hex </v>
      </c>
      <c r="S1026" s="12">
        <f t="shared" si="39"/>
        <v>117823091</v>
      </c>
    </row>
    <row r="1027" spans="1:19" x14ac:dyDescent="0.3">
      <c r="A1027" s="2" t="s">
        <v>3254</v>
      </c>
      <c r="B1027" s="2">
        <v>86</v>
      </c>
      <c r="C1027" s="3">
        <v>143151473</v>
      </c>
      <c r="D1027" s="3" t="s">
        <v>6126</v>
      </c>
      <c r="E1027" s="2" t="s">
        <v>3255</v>
      </c>
      <c r="F1027" s="2" t="s">
        <v>10</v>
      </c>
      <c r="G1027" s="2" t="s">
        <v>11</v>
      </c>
      <c r="H1027" s="2">
        <v>17000000</v>
      </c>
      <c r="I1027" s="2">
        <v>5.6</v>
      </c>
      <c r="J1027" s="3">
        <v>5518918</v>
      </c>
      <c r="K1027">
        <f t="shared" si="40"/>
        <v>1.3775047412552699E-3</v>
      </c>
      <c r="R1027" s="12" t="str">
        <f ca="1">IFERROR(__xludf.DUMMYFUNCTION("""COMPUTED_VALUE"""),"Courage Under Fire ")</f>
        <v>Courage Under Fire </v>
      </c>
      <c r="S1027" s="12">
        <f t="shared" si="39"/>
        <v>6537320</v>
      </c>
    </row>
    <row r="1028" spans="1:19" x14ac:dyDescent="0.3">
      <c r="A1028" s="2" t="s">
        <v>1894</v>
      </c>
      <c r="B1028" s="2">
        <v>97</v>
      </c>
      <c r="C1028" s="3">
        <v>20241395</v>
      </c>
      <c r="D1028" s="3" t="s">
        <v>6127</v>
      </c>
      <c r="E1028" s="2" t="s">
        <v>2549</v>
      </c>
      <c r="F1028" s="2" t="s">
        <v>10</v>
      </c>
      <c r="G1028" s="2" t="s">
        <v>11</v>
      </c>
      <c r="H1028" s="2">
        <v>25000000</v>
      </c>
      <c r="I1028" s="2">
        <v>6.6</v>
      </c>
      <c r="J1028" s="3">
        <v>5532301</v>
      </c>
      <c r="K1028">
        <f t="shared" si="40"/>
        <v>1.3775047412552699E-3</v>
      </c>
      <c r="R1028" s="12" t="str">
        <f ca="1">IFERROR(__xludf.DUMMYFUNCTION("""COMPUTED_VALUE"""),"Liar Liar ")</f>
        <v>Liar Liar </v>
      </c>
      <c r="S1028" s="12">
        <f t="shared" si="39"/>
        <v>-34196763</v>
      </c>
    </row>
    <row r="1029" spans="1:19" x14ac:dyDescent="0.3">
      <c r="A1029" s="2" t="s">
        <v>1130</v>
      </c>
      <c r="B1029" s="2">
        <v>89</v>
      </c>
      <c r="C1029" s="3">
        <v>47536959</v>
      </c>
      <c r="D1029" s="3" t="s">
        <v>5849</v>
      </c>
      <c r="E1029" s="2" t="s">
        <v>1283</v>
      </c>
      <c r="F1029" s="2" t="s">
        <v>10</v>
      </c>
      <c r="G1029" s="2" t="s">
        <v>11</v>
      </c>
      <c r="H1029" s="2">
        <v>53000000</v>
      </c>
      <c r="I1029" s="2">
        <v>5.5</v>
      </c>
      <c r="J1029" s="3">
        <v>5542025</v>
      </c>
      <c r="K1029">
        <f t="shared" si="40"/>
        <v>1.3775047412552699E-3</v>
      </c>
      <c r="R1029" s="12" t="str">
        <f ca="1">IFERROR(__xludf.DUMMYFUNCTION("""COMPUTED_VALUE"""),"The Infiltrator ")</f>
        <v>The Infiltrator </v>
      </c>
      <c r="S1029" s="12">
        <f t="shared" si="39"/>
        <v>-113430732</v>
      </c>
    </row>
    <row r="1030" spans="1:19" x14ac:dyDescent="0.3">
      <c r="A1030" s="2" t="s">
        <v>96</v>
      </c>
      <c r="B1030" s="2">
        <v>120</v>
      </c>
      <c r="C1030" s="3">
        <v>101643008</v>
      </c>
      <c r="D1030" s="3" t="s">
        <v>5771</v>
      </c>
      <c r="E1030" s="2" t="s">
        <v>3575</v>
      </c>
      <c r="F1030" s="2" t="s">
        <v>10</v>
      </c>
      <c r="G1030" s="2" t="s">
        <v>11</v>
      </c>
      <c r="H1030" s="2">
        <v>14500000</v>
      </c>
      <c r="I1030" s="2">
        <v>6.8</v>
      </c>
      <c r="J1030" s="3">
        <v>5595428</v>
      </c>
      <c r="K1030">
        <f t="shared" si="40"/>
        <v>1.3775047412552699E-3</v>
      </c>
      <c r="R1030" s="12" t="str">
        <f ca="1">IFERROR(__xludf.DUMMYFUNCTION("""COMPUTED_VALUE"""),"The Flintstones ")</f>
        <v>The Flintstones </v>
      </c>
      <c r="S1030" s="12">
        <f t="shared" si="39"/>
        <v>12778599</v>
      </c>
    </row>
    <row r="1031" spans="1:19" x14ac:dyDescent="0.3">
      <c r="A1031" s="2" t="s">
        <v>584</v>
      </c>
      <c r="B1031" s="2">
        <v>94</v>
      </c>
      <c r="C1031" s="3">
        <v>7098492</v>
      </c>
      <c r="D1031" s="3" t="s">
        <v>5973</v>
      </c>
      <c r="E1031" s="2" t="s">
        <v>3391</v>
      </c>
      <c r="F1031" s="2" t="s">
        <v>10</v>
      </c>
      <c r="G1031" s="2" t="s">
        <v>11</v>
      </c>
      <c r="H1031" s="2">
        <v>15000000</v>
      </c>
      <c r="I1031" s="2">
        <v>6.2</v>
      </c>
      <c r="J1031" s="3">
        <v>5600000</v>
      </c>
      <c r="K1031">
        <f t="shared" si="40"/>
        <v>1.3775047412552699E-3</v>
      </c>
      <c r="R1031" s="12" t="str">
        <f ca="1">IFERROR(__xludf.DUMMYFUNCTION("""COMPUTED_VALUE"""),"Taken 2 ")</f>
        <v>Taken 2 </v>
      </c>
      <c r="S1031" s="12">
        <f t="shared" si="39"/>
        <v>109208848</v>
      </c>
    </row>
    <row r="1032" spans="1:19" x14ac:dyDescent="0.3">
      <c r="A1032" s="2" t="s">
        <v>516</v>
      </c>
      <c r="B1032" s="2">
        <v>87</v>
      </c>
      <c r="C1032" s="3">
        <v>24520892</v>
      </c>
      <c r="D1032" s="3" t="s">
        <v>6128</v>
      </c>
      <c r="E1032" s="2" t="s">
        <v>2829</v>
      </c>
      <c r="F1032" s="2" t="s">
        <v>10</v>
      </c>
      <c r="G1032" s="2" t="s">
        <v>11</v>
      </c>
      <c r="H1032" s="2">
        <v>9000000</v>
      </c>
      <c r="I1032" s="2">
        <v>7.4</v>
      </c>
      <c r="J1032" s="3">
        <v>5654777</v>
      </c>
      <c r="K1032">
        <f t="shared" si="40"/>
        <v>1.3775047412552699E-3</v>
      </c>
      <c r="R1032" s="12" t="str">
        <f ca="1">IFERROR(__xludf.DUMMYFUNCTION("""COMPUTED_VALUE"""),"Scary Movie 3 ")</f>
        <v>Scary Movie 3 </v>
      </c>
      <c r="S1032" s="12">
        <f t="shared" si="39"/>
        <v>-121343600</v>
      </c>
    </row>
    <row r="1033" spans="1:19" x14ac:dyDescent="0.3">
      <c r="A1033" s="2" t="s">
        <v>644</v>
      </c>
      <c r="B1033" s="2">
        <v>117</v>
      </c>
      <c r="C1033" s="3">
        <v>4946250</v>
      </c>
      <c r="D1033" s="3" t="s">
        <v>6069</v>
      </c>
      <c r="E1033" s="2" t="s">
        <v>2501</v>
      </c>
      <c r="F1033" s="2" t="s">
        <v>10</v>
      </c>
      <c r="G1033" s="2" t="s">
        <v>11</v>
      </c>
      <c r="H1033" s="2">
        <v>26000000</v>
      </c>
      <c r="I1033" s="2">
        <v>6.5</v>
      </c>
      <c r="J1033" s="3">
        <v>5660084</v>
      </c>
      <c r="K1033">
        <f t="shared" si="40"/>
        <v>1.3775047412552699E-3</v>
      </c>
      <c r="R1033" s="12" t="str">
        <f ca="1">IFERROR(__xludf.DUMMYFUNCTION("""COMPUTED_VALUE"""),"Miss Congeniality ")</f>
        <v>Miss Congeniality </v>
      </c>
      <c r="S1033" s="12">
        <f t="shared" si="39"/>
        <v>14737645</v>
      </c>
    </row>
    <row r="1034" spans="1:19" x14ac:dyDescent="0.3">
      <c r="A1034" s="2" t="s">
        <v>3514</v>
      </c>
      <c r="B1034" s="2">
        <v>115</v>
      </c>
      <c r="C1034" s="3">
        <v>9172810</v>
      </c>
      <c r="D1034" s="3" t="s">
        <v>6129</v>
      </c>
      <c r="E1034" s="2" t="s">
        <v>3725</v>
      </c>
      <c r="F1034" s="2" t="s">
        <v>10</v>
      </c>
      <c r="G1034" s="2" t="s">
        <v>16</v>
      </c>
      <c r="H1034" s="2">
        <v>20000000</v>
      </c>
      <c r="I1034" s="2">
        <v>6.5</v>
      </c>
      <c r="J1034" s="3">
        <v>5664251</v>
      </c>
      <c r="K1034">
        <f t="shared" si="40"/>
        <v>1.3775047412552699E-3</v>
      </c>
      <c r="R1034" s="12" t="str">
        <f ca="1">IFERROR(__xludf.DUMMYFUNCTION("""COMPUTED_VALUE"""),"Journey to the Center of the Earth ")</f>
        <v>Journey to the Center of the Earth </v>
      </c>
      <c r="S1034" s="12">
        <f t="shared" si="39"/>
        <v>-44966357</v>
      </c>
    </row>
    <row r="1035" spans="1:19" x14ac:dyDescent="0.3">
      <c r="A1035" s="2" t="s">
        <v>3323</v>
      </c>
      <c r="B1035" s="2">
        <v>110</v>
      </c>
      <c r="C1035" s="3">
        <v>51100000</v>
      </c>
      <c r="D1035" s="3" t="s">
        <v>5887</v>
      </c>
      <c r="E1035" s="2" t="s">
        <v>3324</v>
      </c>
      <c r="F1035" s="2" t="s">
        <v>10</v>
      </c>
      <c r="G1035" s="2" t="s">
        <v>11</v>
      </c>
      <c r="H1035" s="2">
        <v>15000000</v>
      </c>
      <c r="I1035" s="2">
        <v>5.5</v>
      </c>
      <c r="J1035" s="3">
        <v>5669081</v>
      </c>
      <c r="K1035">
        <f t="shared" si="40"/>
        <v>1.3775047412552699E-3</v>
      </c>
      <c r="R1035" s="12" t="str">
        <f ca="1">IFERROR(__xludf.DUMMYFUNCTION("""COMPUTED_VALUE"""),"The Princess Diaries 2: Royal Engagement ")</f>
        <v>The Princess Diaries 2: Royal Engagement </v>
      </c>
      <c r="S1035" s="12">
        <f t="shared" si="39"/>
        <v>-68900360</v>
      </c>
    </row>
    <row r="1036" spans="1:19" x14ac:dyDescent="0.3">
      <c r="A1036" s="2" t="s">
        <v>1549</v>
      </c>
      <c r="B1036" s="2">
        <v>105</v>
      </c>
      <c r="C1036" s="3">
        <v>66365290</v>
      </c>
      <c r="D1036" s="3" t="s">
        <v>5944</v>
      </c>
      <c r="E1036" s="2" t="s">
        <v>2090</v>
      </c>
      <c r="F1036" s="2" t="s">
        <v>10</v>
      </c>
      <c r="G1036" s="2" t="s">
        <v>199</v>
      </c>
      <c r="H1036" s="2">
        <v>33000000</v>
      </c>
      <c r="I1036" s="2">
        <v>5.6</v>
      </c>
      <c r="J1036" s="3">
        <v>5694308</v>
      </c>
      <c r="K1036">
        <f t="shared" si="40"/>
        <v>1.3775047412552699E-3</v>
      </c>
      <c r="R1036" s="12" t="str">
        <f ca="1">IFERROR(__xludf.DUMMYFUNCTION("""COMPUTED_VALUE"""),"The Pelican Brief ")</f>
        <v>The Pelican Brief </v>
      </c>
      <c r="S1036" s="12">
        <f t="shared" si="39"/>
        <v>40724272</v>
      </c>
    </row>
    <row r="1037" spans="1:19" x14ac:dyDescent="0.3">
      <c r="A1037" s="2" t="s">
        <v>369</v>
      </c>
      <c r="B1037" s="2">
        <v>127</v>
      </c>
      <c r="C1037" s="3">
        <v>34098563</v>
      </c>
      <c r="D1037" s="3" t="s">
        <v>5920</v>
      </c>
      <c r="E1037" s="2" t="s">
        <v>1880</v>
      </c>
      <c r="F1037" s="2" t="s">
        <v>10</v>
      </c>
      <c r="G1037" s="2" t="s">
        <v>11</v>
      </c>
      <c r="H1037" s="2">
        <v>38000000</v>
      </c>
      <c r="I1037" s="2">
        <v>6.4</v>
      </c>
      <c r="J1037" s="3">
        <v>5694401</v>
      </c>
      <c r="K1037">
        <f t="shared" si="40"/>
        <v>1.3775047412552699E-3</v>
      </c>
      <c r="R1037" s="12" t="str">
        <f ca="1">IFERROR(__xludf.DUMMYFUNCTION("""COMPUTED_VALUE"""),"The Client ")</f>
        <v>The Client </v>
      </c>
      <c r="S1037" s="12">
        <f t="shared" si="39"/>
        <v>86607673</v>
      </c>
    </row>
    <row r="1038" spans="1:19" x14ac:dyDescent="0.3">
      <c r="A1038" s="2" t="s">
        <v>414</v>
      </c>
      <c r="B1038" s="2">
        <v>99</v>
      </c>
      <c r="C1038" s="3">
        <v>34074895</v>
      </c>
      <c r="D1038" s="3" t="s">
        <v>5869</v>
      </c>
      <c r="E1038" s="2" t="s">
        <v>2082</v>
      </c>
      <c r="F1038" s="2" t="s">
        <v>10</v>
      </c>
      <c r="G1038" s="2" t="s">
        <v>11</v>
      </c>
      <c r="H1038" s="2">
        <v>30000000</v>
      </c>
      <c r="I1038" s="2">
        <v>5.0999999999999996</v>
      </c>
      <c r="J1038" s="3">
        <v>5701643</v>
      </c>
      <c r="K1038">
        <f t="shared" si="40"/>
        <v>1.3775047412552699E-3</v>
      </c>
      <c r="R1038" s="12" t="str">
        <f ca="1">IFERROR(__xludf.DUMMYFUNCTION("""COMPUTED_VALUE"""),"The Bucket List ")</f>
        <v>The Bucket List </v>
      </c>
      <c r="S1038" s="12">
        <f t="shared" si="39"/>
        <v>58844424</v>
      </c>
    </row>
    <row r="1039" spans="1:19" x14ac:dyDescent="0.3">
      <c r="A1039" s="2" t="s">
        <v>1078</v>
      </c>
      <c r="B1039" s="2">
        <v>91</v>
      </c>
      <c r="C1039" s="3">
        <v>31494270</v>
      </c>
      <c r="D1039" s="3" t="s">
        <v>6103</v>
      </c>
      <c r="E1039" s="2" t="s">
        <v>1504</v>
      </c>
      <c r="F1039" s="2" t="s">
        <v>10</v>
      </c>
      <c r="G1039" s="2" t="s">
        <v>11</v>
      </c>
      <c r="H1039" s="2">
        <v>45000000</v>
      </c>
      <c r="I1039" s="2">
        <v>4.8</v>
      </c>
      <c r="J1039" s="3">
        <v>5702083</v>
      </c>
      <c r="K1039">
        <f t="shared" si="40"/>
        <v>1.3775047412552699E-3</v>
      </c>
      <c r="R1039" s="12" t="str">
        <f ca="1">IFERROR(__xludf.DUMMYFUNCTION("""COMPUTED_VALUE"""),"Patriot Games ")</f>
        <v>Patriot Games </v>
      </c>
      <c r="S1039" s="12">
        <f t="shared" si="39"/>
        <v>101713132</v>
      </c>
    </row>
    <row r="1040" spans="1:19" x14ac:dyDescent="0.3">
      <c r="A1040" s="2" t="s">
        <v>1354</v>
      </c>
      <c r="B1040" s="2">
        <v>86</v>
      </c>
      <c r="C1040" s="3">
        <v>115648585</v>
      </c>
      <c r="D1040" s="3" t="s">
        <v>5999</v>
      </c>
      <c r="E1040" s="2" t="s">
        <v>3666</v>
      </c>
      <c r="F1040" s="2" t="s">
        <v>10</v>
      </c>
      <c r="G1040" s="2" t="s">
        <v>11</v>
      </c>
      <c r="H1040" s="2">
        <v>17000000</v>
      </c>
      <c r="I1040" s="2">
        <v>6.8</v>
      </c>
      <c r="J1040" s="3">
        <v>5709616</v>
      </c>
      <c r="K1040">
        <f t="shared" si="40"/>
        <v>1.3775047412552699E-3</v>
      </c>
      <c r="R1040" s="12" t="str">
        <f ca="1">IFERROR(__xludf.DUMMYFUNCTION("""COMPUTED_VALUE"""),"Monster-in-Law ")</f>
        <v>Monster-in-Law </v>
      </c>
      <c r="S1040" s="12">
        <f t="shared" si="39"/>
        <v>29054514</v>
      </c>
    </row>
    <row r="1041" spans="1:19" x14ac:dyDescent="0.3">
      <c r="A1041" s="2" t="s">
        <v>2790</v>
      </c>
      <c r="B1041" s="2">
        <v>106</v>
      </c>
      <c r="C1041" s="3">
        <v>106635996</v>
      </c>
      <c r="D1041" s="3" t="s">
        <v>6130</v>
      </c>
      <c r="E1041" s="2" t="s">
        <v>2791</v>
      </c>
      <c r="F1041" s="2" t="s">
        <v>10</v>
      </c>
      <c r="G1041" s="2" t="s">
        <v>11</v>
      </c>
      <c r="H1041" s="2">
        <v>30000000</v>
      </c>
      <c r="I1041" s="2">
        <v>5.8</v>
      </c>
      <c r="J1041" s="3">
        <v>5731103</v>
      </c>
      <c r="K1041">
        <f t="shared" si="40"/>
        <v>1.3775047412552699E-3</v>
      </c>
      <c r="R1041" s="12" t="str">
        <f ca="1">IFERROR(__xludf.DUMMYFUNCTION("""COMPUTED_VALUE"""),"Prisoners ")</f>
        <v>Prisoners </v>
      </c>
      <c r="S1041" s="12">
        <f t="shared" si="39"/>
        <v>-2160848</v>
      </c>
    </row>
    <row r="1042" spans="1:19" x14ac:dyDescent="0.3">
      <c r="A1042" s="2" t="s">
        <v>1425</v>
      </c>
      <c r="B1042" s="2">
        <v>104</v>
      </c>
      <c r="C1042" s="3">
        <v>148734225</v>
      </c>
      <c r="D1042" s="3" t="s">
        <v>5910</v>
      </c>
      <c r="E1042" s="2" t="s">
        <v>2958</v>
      </c>
      <c r="F1042" s="2" t="s">
        <v>10</v>
      </c>
      <c r="G1042" s="2" t="s">
        <v>11</v>
      </c>
      <c r="H1042" s="2">
        <v>20000000</v>
      </c>
      <c r="I1042" s="2">
        <v>6.1</v>
      </c>
      <c r="J1042" s="3">
        <v>5739376</v>
      </c>
      <c r="K1042">
        <f t="shared" si="40"/>
        <v>1.3775047412552699E-3</v>
      </c>
      <c r="R1042" s="12" t="str">
        <f ca="1">IFERROR(__xludf.DUMMYFUNCTION("""COMPUTED_VALUE"""),"Training Day ")</f>
        <v>Training Day </v>
      </c>
      <c r="S1042" s="12">
        <f t="shared" si="39"/>
        <v>65612600</v>
      </c>
    </row>
    <row r="1043" spans="1:19" x14ac:dyDescent="0.3">
      <c r="A1043" s="2" t="s">
        <v>2511</v>
      </c>
      <c r="B1043" s="2">
        <v>112</v>
      </c>
      <c r="C1043" s="3">
        <v>31585300</v>
      </c>
      <c r="D1043" s="3" t="s">
        <v>5773</v>
      </c>
      <c r="E1043" s="2" t="s">
        <v>3199</v>
      </c>
      <c r="F1043" s="2" t="s">
        <v>10</v>
      </c>
      <c r="G1043" s="2" t="s">
        <v>199</v>
      </c>
      <c r="H1043" s="2">
        <v>13000000</v>
      </c>
      <c r="I1043" s="2">
        <v>7</v>
      </c>
      <c r="J1043" s="3">
        <v>5749134</v>
      </c>
      <c r="K1043">
        <f t="shared" si="40"/>
        <v>1.3775047412552699E-3</v>
      </c>
      <c r="R1043" s="12" t="str">
        <f ca="1">IFERROR(__xludf.DUMMYFUNCTION("""COMPUTED_VALUE"""),"Galaxy Quest ")</f>
        <v>Galaxy Quest </v>
      </c>
      <c r="S1043" s="12">
        <f t="shared" si="39"/>
        <v>27777564</v>
      </c>
    </row>
    <row r="1044" spans="1:19" x14ac:dyDescent="0.3">
      <c r="A1044" s="2" t="s">
        <v>5520</v>
      </c>
      <c r="B1044" s="2">
        <v>90</v>
      </c>
      <c r="C1044" s="3">
        <v>5032496</v>
      </c>
      <c r="D1044" s="3" t="s">
        <v>5864</v>
      </c>
      <c r="E1044" s="2" t="s">
        <v>5521</v>
      </c>
      <c r="F1044" s="2" t="s">
        <v>10</v>
      </c>
      <c r="G1044" s="2" t="s">
        <v>11</v>
      </c>
      <c r="H1044" s="3">
        <v>50324960</v>
      </c>
      <c r="I1044" s="2">
        <v>7.5</v>
      </c>
      <c r="J1044" s="3">
        <v>5755286</v>
      </c>
      <c r="K1044">
        <f t="shared" si="40"/>
        <v>1.3775047412552699E-3</v>
      </c>
      <c r="R1044" s="12" t="str">
        <f ca="1">IFERROR(__xludf.DUMMYFUNCTION("""COMPUTED_VALUE"""),"Scary Movie 2 ")</f>
        <v>Scary Movie 2 </v>
      </c>
      <c r="S1044" s="12">
        <f t="shared" si="39"/>
        <v>-394522937</v>
      </c>
    </row>
    <row r="1045" spans="1:19" x14ac:dyDescent="0.3">
      <c r="A1045" s="2" t="s">
        <v>2583</v>
      </c>
      <c r="B1045" s="2">
        <v>114</v>
      </c>
      <c r="C1045" s="3">
        <v>8500000</v>
      </c>
      <c r="D1045" s="3" t="s">
        <v>5771</v>
      </c>
      <c r="E1045" s="2" t="s">
        <v>2584</v>
      </c>
      <c r="F1045" s="2" t="s">
        <v>10</v>
      </c>
      <c r="G1045" s="2" t="s">
        <v>11</v>
      </c>
      <c r="H1045" s="2">
        <v>30000000</v>
      </c>
      <c r="I1045" s="2">
        <v>7.5</v>
      </c>
      <c r="J1045" s="3">
        <v>5773519</v>
      </c>
      <c r="K1045">
        <f t="shared" si="40"/>
        <v>1.3775047412552699E-3</v>
      </c>
      <c r="R1045" s="12" t="str">
        <f ca="1">IFERROR(__xludf.DUMMYFUNCTION("""COMPUTED_VALUE"""),"The Muppets ")</f>
        <v>The Muppets </v>
      </c>
      <c r="S1045" s="12">
        <f t="shared" si="39"/>
        <v>-60498782</v>
      </c>
    </row>
    <row r="1046" spans="1:19" x14ac:dyDescent="0.3">
      <c r="A1046" s="2" t="s">
        <v>1611</v>
      </c>
      <c r="B1046" s="2">
        <v>108</v>
      </c>
      <c r="C1046" s="3">
        <v>94822707</v>
      </c>
      <c r="D1046" s="3" t="s">
        <v>5755</v>
      </c>
      <c r="E1046" s="2" t="s">
        <v>2416</v>
      </c>
      <c r="F1046" s="2" t="s">
        <v>10</v>
      </c>
      <c r="G1046" s="2" t="s">
        <v>11</v>
      </c>
      <c r="H1046" s="2">
        <v>28000000</v>
      </c>
      <c r="I1046" s="2">
        <v>5.8</v>
      </c>
      <c r="J1046" s="3">
        <v>5776314</v>
      </c>
      <c r="K1046">
        <f t="shared" si="40"/>
        <v>1.3775047412552699E-3</v>
      </c>
      <c r="R1046" s="12" t="str">
        <f ca="1">IFERROR(__xludf.DUMMYFUNCTION("""COMPUTED_VALUE"""),"Blade ")</f>
        <v>Blade </v>
      </c>
      <c r="S1046" s="12">
        <f t="shared" si="39"/>
        <v>11700065</v>
      </c>
    </row>
    <row r="1047" spans="1:19" x14ac:dyDescent="0.3">
      <c r="A1047" s="2" t="s">
        <v>1113</v>
      </c>
      <c r="B1047" s="2">
        <v>98</v>
      </c>
      <c r="C1047" s="3">
        <v>109712885</v>
      </c>
      <c r="D1047" s="3" t="s">
        <v>6131</v>
      </c>
      <c r="E1047" s="2" t="s">
        <v>3394</v>
      </c>
      <c r="F1047" s="2" t="s">
        <v>10</v>
      </c>
      <c r="G1047" s="2" t="s">
        <v>11</v>
      </c>
      <c r="H1047" s="2">
        <v>15000000</v>
      </c>
      <c r="I1047" s="2">
        <v>7.4</v>
      </c>
      <c r="J1047" s="3">
        <v>5792822</v>
      </c>
      <c r="K1047">
        <f t="shared" si="40"/>
        <v>1.3775047412552699E-3</v>
      </c>
      <c r="R1047" s="12" t="str">
        <f ca="1">IFERROR(__xludf.DUMMYFUNCTION("""COMPUTED_VALUE"""),"Coach Carter ")</f>
        <v>Coach Carter </v>
      </c>
      <c r="S1047" s="12">
        <f t="shared" si="39"/>
        <v>33335698</v>
      </c>
    </row>
    <row r="1048" spans="1:19" x14ac:dyDescent="0.3">
      <c r="A1048" s="2" t="s">
        <v>4075</v>
      </c>
      <c r="B1048" s="2">
        <v>91</v>
      </c>
      <c r="C1048" s="3">
        <v>100125340</v>
      </c>
      <c r="D1048" s="3" t="s">
        <v>5767</v>
      </c>
      <c r="E1048" s="2" t="s">
        <v>4395</v>
      </c>
      <c r="F1048" s="2" t="s">
        <v>10</v>
      </c>
      <c r="G1048" s="2" t="s">
        <v>11</v>
      </c>
      <c r="H1048" s="2">
        <v>7000000</v>
      </c>
      <c r="I1048" s="2">
        <v>6.3</v>
      </c>
      <c r="J1048" s="3">
        <v>5844929</v>
      </c>
      <c r="K1048">
        <f t="shared" si="40"/>
        <v>1.3775047412552699E-3</v>
      </c>
      <c r="R1048" s="12" t="str">
        <f ca="1">IFERROR(__xludf.DUMMYFUNCTION("""COMPUTED_VALUE"""),"Changing Lanes ")</f>
        <v>Changing Lanes </v>
      </c>
      <c r="S1048" s="12">
        <f t="shared" si="39"/>
        <v>4530513</v>
      </c>
    </row>
    <row r="1049" spans="1:19" x14ac:dyDescent="0.3">
      <c r="A1049" s="2" t="s">
        <v>2675</v>
      </c>
      <c r="B1049" s="2">
        <v>117</v>
      </c>
      <c r="C1049" s="3">
        <v>2025238</v>
      </c>
      <c r="D1049" s="3" t="s">
        <v>5778</v>
      </c>
      <c r="E1049" s="2" t="s">
        <v>2676</v>
      </c>
      <c r="F1049" s="2" t="s">
        <v>10</v>
      </c>
      <c r="G1049" s="2" t="s">
        <v>11</v>
      </c>
      <c r="H1049" s="2">
        <v>25000000</v>
      </c>
      <c r="I1049" s="2">
        <v>7.2</v>
      </c>
      <c r="J1049" s="3">
        <v>5851188</v>
      </c>
      <c r="K1049">
        <f t="shared" si="40"/>
        <v>1.3775047412552699E-3</v>
      </c>
      <c r="R1049" s="12" t="str">
        <f ca="1">IFERROR(__xludf.DUMMYFUNCTION("""COMPUTED_VALUE"""),"Anaconda ")</f>
        <v>Anaconda </v>
      </c>
      <c r="S1049" s="12">
        <f t="shared" ref="S1049:S1112" si="41">C1027-H1027</f>
        <v>126151473</v>
      </c>
    </row>
    <row r="1050" spans="1:19" x14ac:dyDescent="0.3">
      <c r="A1050" s="2" t="s">
        <v>804</v>
      </c>
      <c r="B1050" s="2">
        <v>100</v>
      </c>
      <c r="C1050" s="3">
        <v>43650000</v>
      </c>
      <c r="D1050" s="3" t="s">
        <v>5768</v>
      </c>
      <c r="E1050" s="2" t="s">
        <v>805</v>
      </c>
      <c r="F1050" s="2" t="s">
        <v>10</v>
      </c>
      <c r="G1050" s="2" t="s">
        <v>11</v>
      </c>
      <c r="H1050" s="2">
        <v>75000000</v>
      </c>
      <c r="I1050" s="2">
        <v>5.4</v>
      </c>
      <c r="J1050" s="3">
        <v>5871603</v>
      </c>
      <c r="K1050">
        <f t="shared" si="40"/>
        <v>1.3775047412552699E-3</v>
      </c>
      <c r="R1050" s="12" t="str">
        <f ca="1">IFERROR(__xludf.DUMMYFUNCTION("""COMPUTED_VALUE"""),"Coyote Ugly ")</f>
        <v>Coyote Ugly </v>
      </c>
      <c r="S1050" s="12">
        <f t="shared" si="41"/>
        <v>-4758605</v>
      </c>
    </row>
    <row r="1051" spans="1:19" x14ac:dyDescent="0.3">
      <c r="A1051" s="2" t="s">
        <v>972</v>
      </c>
      <c r="B1051" s="2">
        <v>99</v>
      </c>
      <c r="C1051" s="3">
        <v>12181484</v>
      </c>
      <c r="D1051" s="3" t="s">
        <v>6015</v>
      </c>
      <c r="E1051" s="2" t="s">
        <v>973</v>
      </c>
      <c r="F1051" s="2" t="s">
        <v>10</v>
      </c>
      <c r="G1051" s="2" t="s">
        <v>11</v>
      </c>
      <c r="H1051" s="2">
        <v>65000000</v>
      </c>
      <c r="I1051" s="2">
        <v>6.4</v>
      </c>
      <c r="J1051" s="3">
        <v>5881504</v>
      </c>
      <c r="K1051">
        <f t="shared" si="40"/>
        <v>1.3775047412552699E-3</v>
      </c>
      <c r="R1051" s="12" t="str">
        <f ca="1">IFERROR(__xludf.DUMMYFUNCTION("""COMPUTED_VALUE"""),"Love Actually ")</f>
        <v>Love Actually </v>
      </c>
      <c r="S1051" s="12">
        <f t="shared" si="41"/>
        <v>-5463041</v>
      </c>
    </row>
    <row r="1052" spans="1:19" x14ac:dyDescent="0.3">
      <c r="A1052" s="2" t="s">
        <v>549</v>
      </c>
      <c r="B1052" s="2">
        <v>124</v>
      </c>
      <c r="C1052" s="3">
        <v>34017854</v>
      </c>
      <c r="D1052" s="3" t="s">
        <v>5934</v>
      </c>
      <c r="E1052" s="2" t="s">
        <v>865</v>
      </c>
      <c r="F1052" s="2" t="s">
        <v>10</v>
      </c>
      <c r="G1052" s="2" t="s">
        <v>11</v>
      </c>
      <c r="H1052" s="2">
        <v>70000000</v>
      </c>
      <c r="I1052" s="2">
        <v>7.1</v>
      </c>
      <c r="J1052" s="3">
        <v>5887457</v>
      </c>
      <c r="K1052">
        <f t="shared" si="40"/>
        <v>1.3775047412552699E-3</v>
      </c>
      <c r="R1052" s="12" t="str">
        <f ca="1">IFERROR(__xludf.DUMMYFUNCTION("""COMPUTED_VALUE"""),"A Bug's Life ")</f>
        <v>A Bug's Life </v>
      </c>
      <c r="S1052" s="12">
        <f t="shared" si="41"/>
        <v>87143008</v>
      </c>
    </row>
    <row r="1053" spans="1:19" x14ac:dyDescent="0.3">
      <c r="A1053" s="2" t="s">
        <v>5117</v>
      </c>
      <c r="B1053" s="2">
        <v>119</v>
      </c>
      <c r="C1053" s="3">
        <v>71519230</v>
      </c>
      <c r="D1053" s="3" t="s">
        <v>6132</v>
      </c>
      <c r="E1053" s="2" t="s">
        <v>5118</v>
      </c>
      <c r="F1053" s="2" t="s">
        <v>10</v>
      </c>
      <c r="G1053" s="2" t="s">
        <v>2181</v>
      </c>
      <c r="H1053" s="2">
        <v>2000000</v>
      </c>
      <c r="I1053" s="2">
        <v>7.8</v>
      </c>
      <c r="J1053" s="3">
        <v>5895238</v>
      </c>
      <c r="K1053">
        <f t="shared" si="40"/>
        <v>1.3775047412552699E-3</v>
      </c>
      <c r="R1053" s="12" t="str">
        <f ca="1">IFERROR(__xludf.DUMMYFUNCTION("""COMPUTED_VALUE"""),"From Hell ")</f>
        <v>From Hell </v>
      </c>
      <c r="S1053" s="12">
        <f t="shared" si="41"/>
        <v>-7901508</v>
      </c>
    </row>
    <row r="1054" spans="1:19" x14ac:dyDescent="0.3">
      <c r="A1054" s="2" t="s">
        <v>4004</v>
      </c>
      <c r="B1054" s="2">
        <v>97</v>
      </c>
      <c r="C1054" s="3">
        <v>19076815</v>
      </c>
      <c r="D1054" s="3" t="s">
        <v>5913</v>
      </c>
      <c r="E1054" s="2" t="s">
        <v>4005</v>
      </c>
      <c r="F1054" s="2" t="s">
        <v>10</v>
      </c>
      <c r="G1054" s="2" t="s">
        <v>11</v>
      </c>
      <c r="H1054" s="2">
        <v>10000000</v>
      </c>
      <c r="I1054" s="2">
        <v>5.2</v>
      </c>
      <c r="J1054" s="3">
        <v>5899797</v>
      </c>
      <c r="K1054">
        <f t="shared" si="40"/>
        <v>1.3775047412552699E-3</v>
      </c>
      <c r="R1054" s="12" t="str">
        <f ca="1">IFERROR(__xludf.DUMMYFUNCTION("""COMPUTED_VALUE"""),"The Specialist ")</f>
        <v>The Specialist </v>
      </c>
      <c r="S1054" s="12">
        <f t="shared" si="41"/>
        <v>15520892</v>
      </c>
    </row>
    <row r="1055" spans="1:19" x14ac:dyDescent="0.3">
      <c r="A1055" s="2" t="s">
        <v>1434</v>
      </c>
      <c r="B1055" s="2">
        <v>96</v>
      </c>
      <c r="C1055" s="3">
        <v>36830057</v>
      </c>
      <c r="D1055" s="3" t="s">
        <v>6133</v>
      </c>
      <c r="E1055" s="2" t="s">
        <v>1435</v>
      </c>
      <c r="F1055" s="2" t="s">
        <v>10</v>
      </c>
      <c r="G1055" s="2" t="s">
        <v>11</v>
      </c>
      <c r="H1055" s="2">
        <v>25000000</v>
      </c>
      <c r="I1055" s="2">
        <v>7.7</v>
      </c>
      <c r="J1055" s="3">
        <v>5900000</v>
      </c>
      <c r="K1055">
        <f t="shared" si="40"/>
        <v>1.3775047412552699E-3</v>
      </c>
      <c r="R1055" s="12" t="str">
        <f ca="1">IFERROR(__xludf.DUMMYFUNCTION("""COMPUTED_VALUE"""),"Tin Cup ")</f>
        <v>Tin Cup </v>
      </c>
      <c r="S1055" s="12">
        <f t="shared" si="41"/>
        <v>-21053750</v>
      </c>
    </row>
    <row r="1056" spans="1:19" x14ac:dyDescent="0.3">
      <c r="A1056" s="2" t="s">
        <v>1113</v>
      </c>
      <c r="B1056" s="2">
        <v>101</v>
      </c>
      <c r="C1056" s="3">
        <v>92173235</v>
      </c>
      <c r="D1056" s="3" t="s">
        <v>5931</v>
      </c>
      <c r="E1056" s="2" t="s">
        <v>3572</v>
      </c>
      <c r="F1056" s="2" t="s">
        <v>10</v>
      </c>
      <c r="G1056" s="2" t="s">
        <v>11</v>
      </c>
      <c r="H1056" s="2">
        <v>14600000</v>
      </c>
      <c r="I1056" s="2">
        <v>8.1</v>
      </c>
      <c r="J1056" s="3">
        <v>5923044</v>
      </c>
      <c r="K1056">
        <f t="shared" si="40"/>
        <v>1.3775047412552699E-3</v>
      </c>
      <c r="R1056" s="12" t="str">
        <f ca="1">IFERROR(__xludf.DUMMYFUNCTION("""COMPUTED_VALUE"""),"Kicking &amp; Screaming ")</f>
        <v>Kicking &amp; Screaming </v>
      </c>
      <c r="S1056" s="12">
        <f t="shared" si="41"/>
        <v>-10827190</v>
      </c>
    </row>
    <row r="1057" spans="1:19" x14ac:dyDescent="0.3">
      <c r="A1057" s="2" t="s">
        <v>308</v>
      </c>
      <c r="B1057" s="2">
        <v>98</v>
      </c>
      <c r="C1057" s="3">
        <v>2185266</v>
      </c>
      <c r="D1057" s="3" t="s">
        <v>6039</v>
      </c>
      <c r="E1057" s="2" t="s">
        <v>3962</v>
      </c>
      <c r="F1057" s="2" t="s">
        <v>10</v>
      </c>
      <c r="G1057" s="2" t="s">
        <v>11</v>
      </c>
      <c r="H1057" s="2">
        <v>10000000</v>
      </c>
      <c r="I1057" s="2">
        <v>5.9</v>
      </c>
      <c r="J1057" s="3">
        <v>5932060</v>
      </c>
      <c r="K1057">
        <f t="shared" si="40"/>
        <v>1.3775047412552699E-3</v>
      </c>
      <c r="R1057" s="12" t="str">
        <f ca="1">IFERROR(__xludf.DUMMYFUNCTION("""COMPUTED_VALUE"""),"The Hitchhiker's Guide to the Galaxy ")</f>
        <v>The Hitchhiker's Guide to the Galaxy </v>
      </c>
      <c r="S1057" s="12">
        <f t="shared" si="41"/>
        <v>36100000</v>
      </c>
    </row>
    <row r="1058" spans="1:19" x14ac:dyDescent="0.3">
      <c r="A1058" s="2" t="s">
        <v>2145</v>
      </c>
      <c r="B1058" s="2">
        <v>102</v>
      </c>
      <c r="C1058" s="3">
        <v>44726644</v>
      </c>
      <c r="D1058" s="3" t="s">
        <v>6134</v>
      </c>
      <c r="E1058" s="2" t="s">
        <v>2146</v>
      </c>
      <c r="F1058" s="2" t="s">
        <v>10</v>
      </c>
      <c r="G1058" s="2" t="s">
        <v>11</v>
      </c>
      <c r="H1058" s="2">
        <v>32000000</v>
      </c>
      <c r="I1058" s="2">
        <v>6.3</v>
      </c>
      <c r="J1058" s="3">
        <v>5949693</v>
      </c>
      <c r="K1058">
        <f t="shared" si="40"/>
        <v>1.3775047412552699E-3</v>
      </c>
      <c r="R1058" s="12" t="str">
        <f ca="1">IFERROR(__xludf.DUMMYFUNCTION("""COMPUTED_VALUE"""),"Fat Albert ")</f>
        <v>Fat Albert </v>
      </c>
      <c r="S1058" s="12">
        <f t="shared" si="41"/>
        <v>33365290</v>
      </c>
    </row>
    <row r="1059" spans="1:19" x14ac:dyDescent="0.3">
      <c r="A1059" s="2" t="s">
        <v>1721</v>
      </c>
      <c r="B1059" s="2">
        <v>88</v>
      </c>
      <c r="C1059" s="3">
        <v>26589953</v>
      </c>
      <c r="D1059" s="3" t="s">
        <v>5808</v>
      </c>
      <c r="E1059" s="2" t="s">
        <v>2994</v>
      </c>
      <c r="F1059" s="2" t="s">
        <v>10</v>
      </c>
      <c r="G1059" s="2" t="s">
        <v>11</v>
      </c>
      <c r="H1059" s="2">
        <v>27000000</v>
      </c>
      <c r="I1059" s="2">
        <v>5.7</v>
      </c>
      <c r="J1059" s="3">
        <v>5974653</v>
      </c>
      <c r="K1059">
        <f t="shared" si="40"/>
        <v>1.3775047412552699E-3</v>
      </c>
      <c r="R1059" s="12" t="str">
        <f ca="1">IFERROR(__xludf.DUMMYFUNCTION("""COMPUTED_VALUE"""),"Resident Evil: Extinction ")</f>
        <v>Resident Evil: Extinction </v>
      </c>
      <c r="S1059" s="12">
        <f t="shared" si="41"/>
        <v>-3901437</v>
      </c>
    </row>
    <row r="1060" spans="1:19" x14ac:dyDescent="0.3">
      <c r="A1060" s="2" t="s">
        <v>799</v>
      </c>
      <c r="B1060" s="2">
        <v>118</v>
      </c>
      <c r="C1060" s="3">
        <v>130512915</v>
      </c>
      <c r="D1060" s="3" t="s">
        <v>6008</v>
      </c>
      <c r="E1060" s="2" t="s">
        <v>800</v>
      </c>
      <c r="F1060" s="2" t="s">
        <v>10</v>
      </c>
      <c r="G1060" s="2" t="s">
        <v>11</v>
      </c>
      <c r="H1060" s="2">
        <v>53000000</v>
      </c>
      <c r="I1060" s="2">
        <v>5.7</v>
      </c>
      <c r="J1060" s="3">
        <v>5997134</v>
      </c>
      <c r="K1060">
        <f t="shared" si="40"/>
        <v>1.3775047412552699E-3</v>
      </c>
      <c r="R1060" s="12" t="str">
        <f ca="1">IFERROR(__xludf.DUMMYFUNCTION("""COMPUTED_VALUE"""),"Blended ")</f>
        <v>Blended </v>
      </c>
      <c r="S1060" s="12">
        <f t="shared" si="41"/>
        <v>4074895</v>
      </c>
    </row>
    <row r="1061" spans="1:19" x14ac:dyDescent="0.3">
      <c r="A1061" s="2" t="s">
        <v>93</v>
      </c>
      <c r="B1061" s="2">
        <v>112</v>
      </c>
      <c r="C1061" s="3">
        <v>33987757</v>
      </c>
      <c r="D1061" s="3" t="s">
        <v>6135</v>
      </c>
      <c r="E1061" s="2" t="s">
        <v>1326</v>
      </c>
      <c r="F1061" s="2" t="s">
        <v>10</v>
      </c>
      <c r="G1061" s="2" t="s">
        <v>11</v>
      </c>
      <c r="H1061" s="2">
        <v>50000000</v>
      </c>
      <c r="I1061" s="2">
        <v>7.1</v>
      </c>
      <c r="J1061" s="3">
        <v>6000000</v>
      </c>
      <c r="K1061">
        <f t="shared" si="40"/>
        <v>1.3775047412552699E-3</v>
      </c>
      <c r="R1061" s="12" t="str">
        <f ca="1">IFERROR(__xludf.DUMMYFUNCTION("""COMPUTED_VALUE"""),"Last Holiday ")</f>
        <v>Last Holiday </v>
      </c>
      <c r="S1061" s="12">
        <f t="shared" si="41"/>
        <v>-13505730</v>
      </c>
    </row>
    <row r="1062" spans="1:19" x14ac:dyDescent="0.3">
      <c r="A1062" s="2" t="s">
        <v>3875</v>
      </c>
      <c r="B1062" s="2">
        <v>132</v>
      </c>
      <c r="C1062" s="3">
        <v>37901509</v>
      </c>
      <c r="D1062" s="3" t="s">
        <v>5767</v>
      </c>
      <c r="E1062" s="2" t="s">
        <v>3876</v>
      </c>
      <c r="F1062" s="2" t="s">
        <v>513</v>
      </c>
      <c r="G1062" s="2" t="s">
        <v>233</v>
      </c>
      <c r="H1062" s="2">
        <v>12000000</v>
      </c>
      <c r="I1062" s="2">
        <v>7.7</v>
      </c>
      <c r="J1062" s="3">
        <v>6000000</v>
      </c>
      <c r="K1062">
        <f t="shared" si="40"/>
        <v>1.3775047412552699E-3</v>
      </c>
      <c r="R1062" s="12" t="str">
        <f ca="1">IFERROR(__xludf.DUMMYFUNCTION("""COMPUTED_VALUE"""),"The River Wild ")</f>
        <v>The River Wild </v>
      </c>
      <c r="S1062" s="12">
        <f t="shared" si="41"/>
        <v>98648585</v>
      </c>
    </row>
    <row r="1063" spans="1:19" x14ac:dyDescent="0.3">
      <c r="A1063" s="2" t="s">
        <v>3698</v>
      </c>
      <c r="B1063" s="2">
        <v>87</v>
      </c>
      <c r="C1063" s="3">
        <v>31526393</v>
      </c>
      <c r="D1063" s="3" t="s">
        <v>5773</v>
      </c>
      <c r="E1063" s="2" t="s">
        <v>4105</v>
      </c>
      <c r="F1063" s="2" t="s">
        <v>10</v>
      </c>
      <c r="G1063" s="2" t="s">
        <v>504</v>
      </c>
      <c r="H1063" s="2">
        <v>10000000</v>
      </c>
      <c r="I1063" s="2">
        <v>6.2</v>
      </c>
      <c r="J1063" s="3">
        <v>6002756</v>
      </c>
      <c r="K1063">
        <f t="shared" si="40"/>
        <v>1.3775047412552699E-3</v>
      </c>
      <c r="R1063" s="12" t="str">
        <f ca="1">IFERROR(__xludf.DUMMYFUNCTION("""COMPUTED_VALUE"""),"The Indian in the Cupboard ")</f>
        <v>The Indian in the Cupboard </v>
      </c>
      <c r="S1063" s="12">
        <f t="shared" si="41"/>
        <v>76635996</v>
      </c>
    </row>
    <row r="1064" spans="1:19" x14ac:dyDescent="0.3">
      <c r="A1064" s="2" t="s">
        <v>2076</v>
      </c>
      <c r="B1064" s="2">
        <v>125</v>
      </c>
      <c r="C1064" s="3">
        <v>117528646</v>
      </c>
      <c r="D1064" s="3" t="s">
        <v>6136</v>
      </c>
      <c r="E1064" s="2" t="s">
        <v>4560</v>
      </c>
      <c r="F1064" s="2" t="s">
        <v>10</v>
      </c>
      <c r="G1064" s="2" t="s">
        <v>16</v>
      </c>
      <c r="H1064" s="2">
        <v>5500000</v>
      </c>
      <c r="I1064" s="2">
        <v>7.2</v>
      </c>
      <c r="J1064" s="3">
        <v>6026908</v>
      </c>
      <c r="K1064">
        <f t="shared" si="40"/>
        <v>1.3775047412552699E-3</v>
      </c>
      <c r="R1064" s="12" t="str">
        <f ca="1">IFERROR(__xludf.DUMMYFUNCTION("""COMPUTED_VALUE"""),"Savages ")</f>
        <v>Savages </v>
      </c>
      <c r="S1064" s="12">
        <f t="shared" si="41"/>
        <v>128734225</v>
      </c>
    </row>
    <row r="1065" spans="1:19" x14ac:dyDescent="0.3">
      <c r="A1065" s="2" t="s">
        <v>2708</v>
      </c>
      <c r="B1065" s="2">
        <v>88</v>
      </c>
      <c r="C1065" s="3">
        <v>54414716</v>
      </c>
      <c r="D1065" s="3" t="s">
        <v>5767</v>
      </c>
      <c r="E1065" s="2" t="s">
        <v>2709</v>
      </c>
      <c r="F1065" s="2" t="s">
        <v>10</v>
      </c>
      <c r="G1065" s="2" t="s">
        <v>11</v>
      </c>
      <c r="H1065" s="2">
        <v>24000000</v>
      </c>
      <c r="I1065" s="2">
        <v>5.3</v>
      </c>
      <c r="J1065" s="3">
        <v>6044618</v>
      </c>
      <c r="K1065">
        <f t="shared" si="40"/>
        <v>1.3775047412552699E-3</v>
      </c>
      <c r="R1065" s="12" t="str">
        <f ca="1">IFERROR(__xludf.DUMMYFUNCTION("""COMPUTED_VALUE"""),"Cellular ")</f>
        <v>Cellular </v>
      </c>
      <c r="S1065" s="12">
        <f t="shared" si="41"/>
        <v>18585300</v>
      </c>
    </row>
    <row r="1066" spans="1:19" x14ac:dyDescent="0.3">
      <c r="A1066" s="2" t="s">
        <v>3545</v>
      </c>
      <c r="B1066" s="2">
        <v>104</v>
      </c>
      <c r="C1066" s="3">
        <v>58229120</v>
      </c>
      <c r="D1066" s="3" t="s">
        <v>5754</v>
      </c>
      <c r="E1066" s="2" t="s">
        <v>5308</v>
      </c>
      <c r="F1066" s="2" t="s">
        <v>10</v>
      </c>
      <c r="G1066" s="2" t="s">
        <v>11</v>
      </c>
      <c r="H1066" s="2">
        <v>1000000</v>
      </c>
      <c r="I1066" s="2">
        <v>6.7</v>
      </c>
      <c r="J1066" s="3">
        <v>6047856</v>
      </c>
      <c r="K1066">
        <f t="shared" si="40"/>
        <v>1.3775047412552699E-3</v>
      </c>
      <c r="R1066" s="12" t="str">
        <f ca="1">IFERROR(__xludf.DUMMYFUNCTION("""COMPUTED_VALUE"""),"Johnny English ")</f>
        <v>Johnny English </v>
      </c>
      <c r="S1066" s="12">
        <f t="shared" si="41"/>
        <v>-45292464</v>
      </c>
    </row>
    <row r="1067" spans="1:19" x14ac:dyDescent="0.3">
      <c r="A1067" s="2" t="s">
        <v>4466</v>
      </c>
      <c r="B1067" s="2">
        <v>121</v>
      </c>
      <c r="C1067" s="2">
        <v>4063859</v>
      </c>
      <c r="D1067" s="3" t="s">
        <v>5844</v>
      </c>
      <c r="E1067" s="2" t="s">
        <v>4467</v>
      </c>
      <c r="F1067" s="2" t="s">
        <v>3090</v>
      </c>
      <c r="G1067" s="2" t="s">
        <v>199</v>
      </c>
      <c r="H1067" s="2">
        <v>4800000</v>
      </c>
      <c r="I1067" s="2">
        <v>7.7</v>
      </c>
      <c r="J1067" s="3">
        <v>6061759</v>
      </c>
      <c r="K1067">
        <f t="shared" si="40"/>
        <v>1.3775047412552699E-3</v>
      </c>
      <c r="R1067" s="12" t="str">
        <f ca="1">IFERROR(__xludf.DUMMYFUNCTION("""COMPUTED_VALUE"""),"The Ant Bully ")</f>
        <v>The Ant Bully </v>
      </c>
      <c r="S1067" s="12">
        <f t="shared" si="41"/>
        <v>-21500000</v>
      </c>
    </row>
    <row r="1068" spans="1:19" x14ac:dyDescent="0.3">
      <c r="A1068" s="2" t="s">
        <v>443</v>
      </c>
      <c r="B1068" s="2">
        <v>99</v>
      </c>
      <c r="C1068" s="3">
        <v>126088877</v>
      </c>
      <c r="D1068" s="3" t="s">
        <v>6137</v>
      </c>
      <c r="E1068" s="2" t="s">
        <v>721</v>
      </c>
      <c r="F1068" s="2" t="s">
        <v>10</v>
      </c>
      <c r="G1068" s="2" t="s">
        <v>11</v>
      </c>
      <c r="H1068" s="2">
        <v>80000000</v>
      </c>
      <c r="I1068" s="2">
        <v>6.5</v>
      </c>
      <c r="J1068" s="3">
        <v>6100000</v>
      </c>
      <c r="K1068">
        <f t="shared" si="40"/>
        <v>1.3775047412552699E-3</v>
      </c>
      <c r="R1068" s="12" t="str">
        <f ca="1">IFERROR(__xludf.DUMMYFUNCTION("""COMPUTED_VALUE"""),"Dune ")</f>
        <v>Dune </v>
      </c>
      <c r="S1068" s="12">
        <f t="shared" si="41"/>
        <v>66822707</v>
      </c>
    </row>
    <row r="1069" spans="1:19" x14ac:dyDescent="0.3">
      <c r="A1069" s="2" t="s">
        <v>344</v>
      </c>
      <c r="B1069" s="2">
        <v>145</v>
      </c>
      <c r="C1069" s="3">
        <v>9170214</v>
      </c>
      <c r="D1069" s="3" t="s">
        <v>6138</v>
      </c>
      <c r="E1069" s="2" t="s">
        <v>2807</v>
      </c>
      <c r="F1069" s="2" t="s">
        <v>2808</v>
      </c>
      <c r="G1069" s="2" t="s">
        <v>2809</v>
      </c>
      <c r="H1069" s="2">
        <v>21000000</v>
      </c>
      <c r="I1069" s="2">
        <v>7.8</v>
      </c>
      <c r="J1069" s="3">
        <v>6105175</v>
      </c>
      <c r="K1069">
        <f t="shared" si="40"/>
        <v>1.3775047412552699E-3</v>
      </c>
      <c r="R1069" s="12" t="str">
        <f ca="1">IFERROR(__xludf.DUMMYFUNCTION("""COMPUTED_VALUE"""),"Across the Universe ")</f>
        <v>Across the Universe </v>
      </c>
      <c r="S1069" s="12">
        <f t="shared" si="41"/>
        <v>94712885</v>
      </c>
    </row>
    <row r="1070" spans="1:19" x14ac:dyDescent="0.3">
      <c r="A1070" s="2" t="s">
        <v>27</v>
      </c>
      <c r="B1070" s="2">
        <v>110</v>
      </c>
      <c r="C1070" s="3">
        <v>25857987</v>
      </c>
      <c r="D1070" s="3" t="s">
        <v>5850</v>
      </c>
      <c r="E1070" s="2" t="s">
        <v>118</v>
      </c>
      <c r="F1070" s="2" t="s">
        <v>10</v>
      </c>
      <c r="G1070" s="2" t="s">
        <v>11</v>
      </c>
      <c r="H1070" s="2">
        <v>180000000</v>
      </c>
      <c r="I1070" s="2">
        <v>6.6</v>
      </c>
      <c r="J1070" s="3">
        <v>6109075</v>
      </c>
      <c r="K1070">
        <f t="shared" si="40"/>
        <v>1.3775047412552699E-3</v>
      </c>
      <c r="R1070" s="12" t="str">
        <f ca="1">IFERROR(__xludf.DUMMYFUNCTION("""COMPUTED_VALUE"""),"Revolutionary Road ")</f>
        <v>Revolutionary Road </v>
      </c>
      <c r="S1070" s="12">
        <f t="shared" si="41"/>
        <v>93125340</v>
      </c>
    </row>
    <row r="1071" spans="1:19" x14ac:dyDescent="0.3">
      <c r="A1071" s="2" t="s">
        <v>1288</v>
      </c>
      <c r="B1071" s="2">
        <v>88</v>
      </c>
      <c r="C1071" s="3">
        <v>11642254</v>
      </c>
      <c r="D1071" s="3" t="s">
        <v>5910</v>
      </c>
      <c r="E1071" s="2" t="s">
        <v>1939</v>
      </c>
      <c r="F1071" s="2" t="s">
        <v>10</v>
      </c>
      <c r="G1071" s="2" t="s">
        <v>11</v>
      </c>
      <c r="H1071" s="2">
        <v>35000000</v>
      </c>
      <c r="I1071" s="2">
        <v>5.4</v>
      </c>
      <c r="J1071" s="3">
        <v>6114237</v>
      </c>
      <c r="K1071">
        <f t="shared" si="40"/>
        <v>1.3775047412552699E-3</v>
      </c>
      <c r="R1071" s="12" t="str">
        <f ca="1">IFERROR(__xludf.DUMMYFUNCTION("""COMPUTED_VALUE"""),"16 Blocks ")</f>
        <v>16 Blocks </v>
      </c>
      <c r="S1071" s="12">
        <f t="shared" si="41"/>
        <v>-22974762</v>
      </c>
    </row>
    <row r="1072" spans="1:19" x14ac:dyDescent="0.3">
      <c r="A1072" s="2" t="s">
        <v>268</v>
      </c>
      <c r="B1072" s="2">
        <v>154</v>
      </c>
      <c r="C1072" s="3">
        <v>25407250</v>
      </c>
      <c r="D1072" s="3" t="s">
        <v>6068</v>
      </c>
      <c r="E1072" s="2" t="s">
        <v>269</v>
      </c>
      <c r="F1072" s="2" t="s">
        <v>10</v>
      </c>
      <c r="G1072" s="2" t="s">
        <v>11</v>
      </c>
      <c r="H1072" s="2">
        <v>140000000</v>
      </c>
      <c r="I1072" s="2">
        <v>7.7</v>
      </c>
      <c r="J1072" s="3">
        <v>6144806</v>
      </c>
      <c r="K1072">
        <f t="shared" si="40"/>
        <v>1.3775047412552699E-3</v>
      </c>
      <c r="R1072" s="12" t="str">
        <f ca="1">IFERROR(__xludf.DUMMYFUNCTION("""COMPUTED_VALUE"""),"Babylon A.D. ")</f>
        <v>Babylon A.D. </v>
      </c>
      <c r="S1072" s="12">
        <f t="shared" si="41"/>
        <v>-31350000</v>
      </c>
    </row>
    <row r="1073" spans="1:19" x14ac:dyDescent="0.3">
      <c r="A1073" s="2" t="s">
        <v>648</v>
      </c>
      <c r="B1073" s="2">
        <v>113</v>
      </c>
      <c r="C1073" s="3">
        <v>80014842</v>
      </c>
      <c r="D1073" s="3" t="s">
        <v>6041</v>
      </c>
      <c r="E1073" s="2" t="s">
        <v>939</v>
      </c>
      <c r="F1073" s="2" t="s">
        <v>10</v>
      </c>
      <c r="G1073" s="2" t="s">
        <v>11</v>
      </c>
      <c r="H1073" s="2">
        <v>66000000</v>
      </c>
      <c r="I1073" s="2">
        <v>6.2</v>
      </c>
      <c r="J1073" s="3">
        <v>6157157</v>
      </c>
      <c r="K1073">
        <f t="shared" si="40"/>
        <v>1.3775047412552699E-3</v>
      </c>
      <c r="R1073" s="12" t="str">
        <f ca="1">IFERROR(__xludf.DUMMYFUNCTION("""COMPUTED_VALUE"""),"The Glimmer Man ")</f>
        <v>The Glimmer Man </v>
      </c>
      <c r="S1073" s="12">
        <f t="shared" si="41"/>
        <v>-52818516</v>
      </c>
    </row>
    <row r="1074" spans="1:19" x14ac:dyDescent="0.3">
      <c r="A1074" s="2" t="s">
        <v>632</v>
      </c>
      <c r="B1074" s="2">
        <v>131</v>
      </c>
      <c r="C1074" s="3">
        <v>66359959</v>
      </c>
      <c r="D1074" s="3" t="s">
        <v>6139</v>
      </c>
      <c r="E1074" s="2" t="s">
        <v>633</v>
      </c>
      <c r="F1074" s="2" t="s">
        <v>10</v>
      </c>
      <c r="G1074" s="2" t="s">
        <v>11</v>
      </c>
      <c r="H1074" s="2">
        <v>68000000</v>
      </c>
      <c r="I1074" s="2">
        <v>7.6</v>
      </c>
      <c r="J1074" s="3">
        <v>6165429</v>
      </c>
      <c r="K1074">
        <f t="shared" si="40"/>
        <v>1.3775047412552699E-3</v>
      </c>
      <c r="R1074" s="12" t="str">
        <f ca="1">IFERROR(__xludf.DUMMYFUNCTION("""COMPUTED_VALUE"""),"Multiplicity ")</f>
        <v>Multiplicity </v>
      </c>
      <c r="S1074" s="12">
        <f t="shared" si="41"/>
        <v>-35982146</v>
      </c>
    </row>
    <row r="1075" spans="1:19" x14ac:dyDescent="0.3">
      <c r="A1075" s="2" t="s">
        <v>2434</v>
      </c>
      <c r="B1075" s="2">
        <v>110</v>
      </c>
      <c r="C1075" s="3">
        <v>4857376</v>
      </c>
      <c r="D1075" s="3" t="s">
        <v>6140</v>
      </c>
      <c r="E1075" s="2" t="s">
        <v>2435</v>
      </c>
      <c r="F1075" s="2" t="s">
        <v>10</v>
      </c>
      <c r="G1075" s="2" t="s">
        <v>11</v>
      </c>
      <c r="H1075" s="2">
        <v>30000000</v>
      </c>
      <c r="I1075" s="2">
        <v>7.2</v>
      </c>
      <c r="J1075" s="3">
        <v>6167817</v>
      </c>
      <c r="K1075">
        <f t="shared" si="40"/>
        <v>1.3775047412552699E-3</v>
      </c>
      <c r="R1075" s="12" t="str">
        <f ca="1">IFERROR(__xludf.DUMMYFUNCTION("""COMPUTED_VALUE"""),"Aliens in the Attic ")</f>
        <v>Aliens in the Attic </v>
      </c>
      <c r="S1075" s="12">
        <f t="shared" si="41"/>
        <v>69519230</v>
      </c>
    </row>
    <row r="1076" spans="1:19" x14ac:dyDescent="0.3">
      <c r="A1076" s="2" t="s">
        <v>1896</v>
      </c>
      <c r="B1076" s="2">
        <v>110</v>
      </c>
      <c r="C1076" s="3">
        <v>69304264</v>
      </c>
      <c r="D1076" s="3" t="s">
        <v>5770</v>
      </c>
      <c r="E1076" s="2" t="s">
        <v>1941</v>
      </c>
      <c r="F1076" s="2" t="s">
        <v>10</v>
      </c>
      <c r="G1076" s="2" t="s">
        <v>11</v>
      </c>
      <c r="H1076" s="2">
        <v>38000000</v>
      </c>
      <c r="I1076" s="2">
        <v>7.7</v>
      </c>
      <c r="J1076" s="3">
        <v>6173485</v>
      </c>
      <c r="K1076">
        <f t="shared" si="40"/>
        <v>1.3775047412552699E-3</v>
      </c>
      <c r="R1076" s="12" t="str">
        <f ca="1">IFERROR(__xludf.DUMMYFUNCTION("""COMPUTED_VALUE"""),"The Pledge ")</f>
        <v>The Pledge </v>
      </c>
      <c r="S1076" s="12">
        <f t="shared" si="41"/>
        <v>9076815</v>
      </c>
    </row>
    <row r="1077" spans="1:19" x14ac:dyDescent="0.3">
      <c r="A1077" s="2" t="s">
        <v>915</v>
      </c>
      <c r="B1077" s="2">
        <v>139</v>
      </c>
      <c r="C1077" s="3">
        <v>54322273</v>
      </c>
      <c r="D1077" s="3" t="s">
        <v>6020</v>
      </c>
      <c r="E1077" s="2" t="s">
        <v>2402</v>
      </c>
      <c r="F1077" s="2" t="s">
        <v>10</v>
      </c>
      <c r="G1077" s="2" t="s">
        <v>11</v>
      </c>
      <c r="H1077" s="2">
        <v>28000000</v>
      </c>
      <c r="I1077" s="2">
        <v>6.9</v>
      </c>
      <c r="J1077" s="3">
        <v>6197866</v>
      </c>
      <c r="K1077">
        <f t="shared" si="40"/>
        <v>1.3775047412552699E-3</v>
      </c>
      <c r="R1077" s="12" t="str">
        <f ca="1">IFERROR(__xludf.DUMMYFUNCTION("""COMPUTED_VALUE"""),"The Producers ")</f>
        <v>The Producers </v>
      </c>
      <c r="S1077" s="12">
        <f t="shared" si="41"/>
        <v>11830057</v>
      </c>
    </row>
    <row r="1078" spans="1:19" x14ac:dyDescent="0.3">
      <c r="A1078" s="2" t="s">
        <v>3830</v>
      </c>
      <c r="B1078" s="2">
        <v>109</v>
      </c>
      <c r="C1078" s="3">
        <v>74540762</v>
      </c>
      <c r="D1078" s="3" t="s">
        <v>885</v>
      </c>
      <c r="E1078" s="2" t="s">
        <v>3831</v>
      </c>
      <c r="F1078" s="2" t="s">
        <v>10</v>
      </c>
      <c r="G1078" s="2" t="s">
        <v>11</v>
      </c>
      <c r="H1078" s="2">
        <v>12000000</v>
      </c>
      <c r="I1078" s="2">
        <v>7</v>
      </c>
      <c r="J1078" s="3">
        <v>6200756</v>
      </c>
      <c r="K1078">
        <f t="shared" si="40"/>
        <v>1.3775047412552699E-3</v>
      </c>
      <c r="R1078" s="12" t="str">
        <f ca="1">IFERROR(__xludf.DUMMYFUNCTION("""COMPUTED_VALUE"""),"The Phantom ")</f>
        <v>The Phantom </v>
      </c>
      <c r="S1078" s="12">
        <f t="shared" si="41"/>
        <v>77573235</v>
      </c>
    </row>
    <row r="1079" spans="1:19" x14ac:dyDescent="0.3">
      <c r="A1079" s="2" t="s">
        <v>3527</v>
      </c>
      <c r="B1079" s="2">
        <v>91</v>
      </c>
      <c r="C1079" s="3">
        <v>31487293</v>
      </c>
      <c r="D1079" s="3" t="s">
        <v>5940</v>
      </c>
      <c r="E1079" s="2" t="s">
        <v>4851</v>
      </c>
      <c r="F1079" s="2" t="s">
        <v>10</v>
      </c>
      <c r="G1079" s="2" t="s">
        <v>16</v>
      </c>
      <c r="H1079" s="2">
        <v>3500000</v>
      </c>
      <c r="I1079" s="2">
        <v>7.2</v>
      </c>
      <c r="J1079" s="3">
        <v>6201757</v>
      </c>
      <c r="K1079">
        <f t="shared" si="40"/>
        <v>1.3775047412552699E-3</v>
      </c>
      <c r="R1079" s="12" t="str">
        <f ca="1">IFERROR(__xludf.DUMMYFUNCTION("""COMPUTED_VALUE"""),"All the Pretty Horses ")</f>
        <v>All the Pretty Horses </v>
      </c>
      <c r="S1079" s="12">
        <f t="shared" si="41"/>
        <v>-7814734</v>
      </c>
    </row>
    <row r="1080" spans="1:19" x14ac:dyDescent="0.3">
      <c r="A1080" s="2" t="s">
        <v>1425</v>
      </c>
      <c r="B1080" s="2">
        <v>89</v>
      </c>
      <c r="C1080" s="3">
        <v>74888996</v>
      </c>
      <c r="D1080" s="3" t="s">
        <v>5778</v>
      </c>
      <c r="E1080" s="2" t="s">
        <v>3161</v>
      </c>
      <c r="F1080" s="2" t="s">
        <v>10</v>
      </c>
      <c r="G1080" s="2" t="s">
        <v>11</v>
      </c>
      <c r="H1080" s="2">
        <v>1000000</v>
      </c>
      <c r="I1080" s="2">
        <v>6.8</v>
      </c>
      <c r="J1080" s="3">
        <v>6239558</v>
      </c>
      <c r="K1080">
        <f t="shared" si="40"/>
        <v>1.3775047412552699E-3</v>
      </c>
      <c r="R1080" s="12" t="str">
        <f ca="1">IFERROR(__xludf.DUMMYFUNCTION("""COMPUTED_VALUE"""),"Nixon ")</f>
        <v>Nixon </v>
      </c>
      <c r="S1080" s="12">
        <f t="shared" si="41"/>
        <v>12726644</v>
      </c>
    </row>
    <row r="1081" spans="1:19" x14ac:dyDescent="0.3">
      <c r="A1081" s="2" t="s">
        <v>29</v>
      </c>
      <c r="B1081" s="2">
        <v>117</v>
      </c>
      <c r="C1081" s="2">
        <v>210592590</v>
      </c>
      <c r="D1081" s="3" t="s">
        <v>5869</v>
      </c>
      <c r="E1081" s="2" t="s">
        <v>1028</v>
      </c>
      <c r="F1081" s="2" t="s">
        <v>10</v>
      </c>
      <c r="G1081" s="2" t="s">
        <v>11</v>
      </c>
      <c r="H1081" s="2">
        <v>65000000</v>
      </c>
      <c r="I1081" s="2">
        <v>7.7</v>
      </c>
      <c r="J1081" s="3">
        <v>6241697</v>
      </c>
      <c r="K1081">
        <f t="shared" si="40"/>
        <v>1.3775047412552699E-3</v>
      </c>
      <c r="R1081" s="12" t="str">
        <f ca="1">IFERROR(__xludf.DUMMYFUNCTION("""COMPUTED_VALUE"""),"The Ghost Writer ")</f>
        <v>The Ghost Writer </v>
      </c>
      <c r="S1081" s="12">
        <f t="shared" si="41"/>
        <v>-410047</v>
      </c>
    </row>
    <row r="1082" spans="1:19" x14ac:dyDescent="0.3">
      <c r="A1082" s="2" t="s">
        <v>1913</v>
      </c>
      <c r="B1082" s="2">
        <v>127</v>
      </c>
      <c r="C1082" s="3">
        <v>59699513</v>
      </c>
      <c r="D1082" s="3" t="s">
        <v>5892</v>
      </c>
      <c r="E1082" s="2" t="s">
        <v>2732</v>
      </c>
      <c r="F1082" s="2" t="s">
        <v>10</v>
      </c>
      <c r="G1082" s="2" t="s">
        <v>11</v>
      </c>
      <c r="H1082" s="2">
        <v>18000000</v>
      </c>
      <c r="I1082" s="2">
        <v>8.8000000000000007</v>
      </c>
      <c r="J1082" s="3">
        <v>6262942</v>
      </c>
      <c r="K1082">
        <f t="shared" si="40"/>
        <v>1.3775047412552699E-3</v>
      </c>
      <c r="R1082" s="12" t="str">
        <f ca="1">IFERROR(__xludf.DUMMYFUNCTION("""COMPUTED_VALUE"""),"Deep Rising ")</f>
        <v>Deep Rising </v>
      </c>
      <c r="S1082" s="12">
        <f t="shared" si="41"/>
        <v>77512915</v>
      </c>
    </row>
    <row r="1083" spans="1:19" x14ac:dyDescent="0.3">
      <c r="A1083" s="2" t="s">
        <v>141</v>
      </c>
      <c r="B1083" s="2">
        <v>106</v>
      </c>
      <c r="C1083" s="3">
        <v>6719300</v>
      </c>
      <c r="D1083" s="3" t="s">
        <v>5797</v>
      </c>
      <c r="E1083" s="2" t="s">
        <v>1578</v>
      </c>
      <c r="F1083" s="2" t="s">
        <v>10</v>
      </c>
      <c r="G1083" s="2" t="s">
        <v>11</v>
      </c>
      <c r="H1083" s="2">
        <v>45000000</v>
      </c>
      <c r="I1083" s="2">
        <v>6</v>
      </c>
      <c r="J1083" s="3">
        <v>6291602</v>
      </c>
      <c r="K1083">
        <f t="shared" si="40"/>
        <v>1.3775047412552699E-3</v>
      </c>
      <c r="R1083" s="12" t="str">
        <f ca="1">IFERROR(__xludf.DUMMYFUNCTION("""COMPUTED_VALUE"""),"Miracle at St. Anna ")</f>
        <v>Miracle at St. Anna </v>
      </c>
      <c r="S1083" s="12">
        <f t="shared" si="41"/>
        <v>-16012243</v>
      </c>
    </row>
    <row r="1084" spans="1:19" x14ac:dyDescent="0.3">
      <c r="A1084" s="2" t="s">
        <v>268</v>
      </c>
      <c r="B1084" s="2">
        <v>112</v>
      </c>
      <c r="C1084" s="3">
        <v>19118247</v>
      </c>
      <c r="D1084" s="3" t="s">
        <v>5773</v>
      </c>
      <c r="E1084" s="2" t="s">
        <v>2299</v>
      </c>
      <c r="F1084" s="2" t="s">
        <v>10</v>
      </c>
      <c r="G1084" s="2" t="s">
        <v>11</v>
      </c>
      <c r="H1084" s="2">
        <v>30000000</v>
      </c>
      <c r="I1084" s="2">
        <v>6.7</v>
      </c>
      <c r="J1084" s="3">
        <v>6301131</v>
      </c>
      <c r="K1084">
        <f t="shared" si="40"/>
        <v>1.3775047412552699E-3</v>
      </c>
      <c r="R1084" s="12" t="str">
        <f ca="1">IFERROR(__xludf.DUMMYFUNCTION("""COMPUTED_VALUE"""),"Curse of the Golden Flower ")</f>
        <v>Curse of the Golden Flower </v>
      </c>
      <c r="S1084" s="12">
        <f t="shared" si="41"/>
        <v>25901509</v>
      </c>
    </row>
    <row r="1085" spans="1:19" x14ac:dyDescent="0.3">
      <c r="A1085" s="2" t="s">
        <v>623</v>
      </c>
      <c r="B1085" s="2">
        <v>121</v>
      </c>
      <c r="C1085" s="3">
        <v>61693523</v>
      </c>
      <c r="D1085" s="3" t="s">
        <v>5874</v>
      </c>
      <c r="E1085" s="2" t="s">
        <v>1688</v>
      </c>
      <c r="F1085" s="2" t="s">
        <v>10</v>
      </c>
      <c r="G1085" s="2" t="s">
        <v>11</v>
      </c>
      <c r="H1085" s="2">
        <v>35000000</v>
      </c>
      <c r="I1085" s="2">
        <v>7.2</v>
      </c>
      <c r="J1085" s="3">
        <v>6350058</v>
      </c>
      <c r="K1085">
        <f t="shared" si="40"/>
        <v>1.3775047412552699E-3</v>
      </c>
      <c r="R1085" s="12" t="str">
        <f ca="1">IFERROR(__xludf.DUMMYFUNCTION("""COMPUTED_VALUE"""),"Bangkok Dangerous ")</f>
        <v>Bangkok Dangerous </v>
      </c>
      <c r="S1085" s="12">
        <f t="shared" si="41"/>
        <v>21526393</v>
      </c>
    </row>
    <row r="1086" spans="1:19" x14ac:dyDescent="0.3">
      <c r="A1086" s="2" t="s">
        <v>3094</v>
      </c>
      <c r="B1086" s="2">
        <v>95</v>
      </c>
      <c r="C1086" s="3">
        <v>39687528</v>
      </c>
      <c r="D1086" s="3" t="s">
        <v>5849</v>
      </c>
      <c r="E1086" s="2" t="s">
        <v>3095</v>
      </c>
      <c r="F1086" s="2" t="s">
        <v>10</v>
      </c>
      <c r="G1086" s="2" t="s">
        <v>11</v>
      </c>
      <c r="H1086" s="2">
        <v>20000000</v>
      </c>
      <c r="I1086" s="2">
        <v>5.9</v>
      </c>
      <c r="J1086" s="3">
        <v>6373693</v>
      </c>
      <c r="K1086">
        <f t="shared" si="40"/>
        <v>1.3775047412552699E-3</v>
      </c>
      <c r="R1086" s="12" t="str">
        <f ca="1">IFERROR(__xludf.DUMMYFUNCTION("""COMPUTED_VALUE"""),"Big Trouble ")</f>
        <v>Big Trouble </v>
      </c>
      <c r="S1086" s="12">
        <f t="shared" si="41"/>
        <v>112028646</v>
      </c>
    </row>
    <row r="1087" spans="1:19" x14ac:dyDescent="0.3">
      <c r="A1087" s="2" t="s">
        <v>5627</v>
      </c>
      <c r="B1087" s="2">
        <v>80</v>
      </c>
      <c r="C1087" s="3">
        <v>92001027</v>
      </c>
      <c r="D1087" s="3" t="s">
        <v>5809</v>
      </c>
      <c r="E1087" s="2" t="s">
        <v>5628</v>
      </c>
      <c r="F1087" s="2" t="s">
        <v>10</v>
      </c>
      <c r="G1087" s="2" t="s">
        <v>11</v>
      </c>
      <c r="H1087" s="2">
        <v>210000</v>
      </c>
      <c r="I1087" s="2">
        <v>6.7</v>
      </c>
      <c r="J1087" s="3">
        <v>6390032</v>
      </c>
      <c r="K1087">
        <f t="shared" si="40"/>
        <v>1.3775047412552699E-3</v>
      </c>
      <c r="R1087" s="12" t="str">
        <f ca="1">IFERROR(__xludf.DUMMYFUNCTION("""COMPUTED_VALUE"""),"Love in the Time of Cholera ")</f>
        <v>Love in the Time of Cholera </v>
      </c>
      <c r="S1087" s="12">
        <f t="shared" si="41"/>
        <v>30414716</v>
      </c>
    </row>
    <row r="1088" spans="1:19" x14ac:dyDescent="0.3">
      <c r="A1088" s="2" t="s">
        <v>388</v>
      </c>
      <c r="B1088" s="2">
        <v>120</v>
      </c>
      <c r="C1088" s="3">
        <v>103812241</v>
      </c>
      <c r="D1088" s="3" t="s">
        <v>5869</v>
      </c>
      <c r="E1088" s="2" t="s">
        <v>389</v>
      </c>
      <c r="F1088" s="2" t="s">
        <v>10</v>
      </c>
      <c r="G1088" s="2" t="s">
        <v>11</v>
      </c>
      <c r="H1088" s="2">
        <v>115000000</v>
      </c>
      <c r="I1088" s="2">
        <v>6.1</v>
      </c>
      <c r="J1088" s="3">
        <v>6401336</v>
      </c>
      <c r="K1088">
        <f t="shared" si="40"/>
        <v>1.3775047412552699E-3</v>
      </c>
      <c r="R1088" s="12" t="str">
        <f ca="1">IFERROR(__xludf.DUMMYFUNCTION("""COMPUTED_VALUE"""),"Shadow Conspiracy ")</f>
        <v>Shadow Conspiracy </v>
      </c>
      <c r="S1088" s="12">
        <f t="shared" si="41"/>
        <v>57229120</v>
      </c>
    </row>
    <row r="1089" spans="1:19" x14ac:dyDescent="0.3">
      <c r="A1089" s="2" t="s">
        <v>4206</v>
      </c>
      <c r="B1089" s="2">
        <v>45</v>
      </c>
      <c r="C1089" s="3">
        <v>39647595</v>
      </c>
      <c r="D1089" s="3" t="s">
        <v>5849</v>
      </c>
      <c r="E1089" s="2" t="s">
        <v>4207</v>
      </c>
      <c r="F1089" s="2" t="s">
        <v>4208</v>
      </c>
      <c r="G1089" s="2" t="s">
        <v>2058</v>
      </c>
      <c r="H1089" s="2">
        <v>45000000</v>
      </c>
      <c r="I1089" s="2">
        <v>7.3</v>
      </c>
      <c r="J1089" s="3">
        <v>6409206</v>
      </c>
      <c r="K1089">
        <f t="shared" si="40"/>
        <v>1.3775047412552699E-3</v>
      </c>
      <c r="R1089" s="12" t="str">
        <f ca="1">IFERROR(__xludf.DUMMYFUNCTION("""COMPUTED_VALUE"""),"Johnny English Reborn ")</f>
        <v>Johnny English Reborn </v>
      </c>
      <c r="S1089" s="12">
        <f t="shared" si="41"/>
        <v>-736141</v>
      </c>
    </row>
    <row r="1090" spans="1:19" x14ac:dyDescent="0.3">
      <c r="A1090" s="2" t="s">
        <v>421</v>
      </c>
      <c r="B1090" s="2">
        <v>117</v>
      </c>
      <c r="C1090" s="3">
        <v>31493782</v>
      </c>
      <c r="D1090" s="3" t="s">
        <v>5874</v>
      </c>
      <c r="E1090" s="2" t="s">
        <v>586</v>
      </c>
      <c r="F1090" s="2" t="s">
        <v>10</v>
      </c>
      <c r="G1090" s="2" t="s">
        <v>11</v>
      </c>
      <c r="H1090" s="2">
        <v>95000000</v>
      </c>
      <c r="I1090" s="2">
        <v>5.5</v>
      </c>
      <c r="J1090" s="3">
        <v>6420319</v>
      </c>
      <c r="K1090">
        <f t="shared" ref="K1090:K1153" si="42">CORREL(H$2:H$3941,J$2:J$3941)</f>
        <v>1.3775047412552699E-3</v>
      </c>
      <c r="R1090" s="12" t="str">
        <f ca="1">IFERROR(__xludf.DUMMYFUNCTION("""COMPUTED_VALUE"""),"Argo ")</f>
        <v>Argo </v>
      </c>
      <c r="S1090" s="12">
        <f t="shared" si="41"/>
        <v>46088877</v>
      </c>
    </row>
    <row r="1091" spans="1:19" x14ac:dyDescent="0.3">
      <c r="A1091" s="2" t="s">
        <v>2339</v>
      </c>
      <c r="B1091" s="2">
        <v>131</v>
      </c>
      <c r="C1091" s="3">
        <v>14938570</v>
      </c>
      <c r="D1091" s="3" t="s">
        <v>6141</v>
      </c>
      <c r="E1091" s="2" t="s">
        <v>2340</v>
      </c>
      <c r="F1091" s="2" t="s">
        <v>10</v>
      </c>
      <c r="G1091" s="2" t="s">
        <v>11</v>
      </c>
      <c r="H1091" s="2">
        <v>18000000</v>
      </c>
      <c r="I1091" s="2">
        <v>7.1</v>
      </c>
      <c r="J1091" s="3">
        <v>6448817</v>
      </c>
      <c r="K1091">
        <f t="shared" si="42"/>
        <v>1.3775047412552699E-3</v>
      </c>
      <c r="R1091" s="12" t="str">
        <f ca="1">IFERROR(__xludf.DUMMYFUNCTION("""COMPUTED_VALUE"""),"The Fugitive ")</f>
        <v>The Fugitive </v>
      </c>
      <c r="S1091" s="12">
        <f t="shared" si="41"/>
        <v>-11829786</v>
      </c>
    </row>
    <row r="1092" spans="1:19" x14ac:dyDescent="0.3">
      <c r="A1092" s="2" t="s">
        <v>5558</v>
      </c>
      <c r="B1092" s="2">
        <v>86</v>
      </c>
      <c r="C1092" s="3">
        <v>36000000</v>
      </c>
      <c r="D1092" s="3" t="s">
        <v>5991</v>
      </c>
      <c r="E1092" s="2" t="s">
        <v>5559</v>
      </c>
      <c r="F1092" s="2" t="s">
        <v>10</v>
      </c>
      <c r="G1092" s="2" t="s">
        <v>11</v>
      </c>
      <c r="H1092" s="2">
        <v>375000</v>
      </c>
      <c r="I1092" s="2">
        <v>7</v>
      </c>
      <c r="J1092" s="3">
        <v>6462576</v>
      </c>
      <c r="K1092">
        <f t="shared" si="42"/>
        <v>1.3775047412552699E-3</v>
      </c>
      <c r="R1092" s="12" t="str">
        <f ca="1">IFERROR(__xludf.DUMMYFUNCTION("""COMPUTED_VALUE"""),"The Bounty Hunter ")</f>
        <v>The Bounty Hunter </v>
      </c>
      <c r="S1092" s="12">
        <f t="shared" si="41"/>
        <v>-154142013</v>
      </c>
    </row>
    <row r="1093" spans="1:19" x14ac:dyDescent="0.3">
      <c r="A1093" s="2" t="s">
        <v>96</v>
      </c>
      <c r="B1093" s="2">
        <v>127</v>
      </c>
      <c r="C1093" s="3">
        <v>6712451</v>
      </c>
      <c r="D1093" s="3" t="s">
        <v>5913</v>
      </c>
      <c r="E1093" s="2" t="s">
        <v>1282</v>
      </c>
      <c r="F1093" s="2" t="s">
        <v>10</v>
      </c>
      <c r="G1093" s="2" t="s">
        <v>11</v>
      </c>
      <c r="H1093" s="2">
        <v>52500000</v>
      </c>
      <c r="I1093" s="2">
        <v>7.6</v>
      </c>
      <c r="J1093" s="3">
        <v>6471394</v>
      </c>
      <c r="K1093">
        <f t="shared" si="42"/>
        <v>1.3775047412552699E-3</v>
      </c>
      <c r="R1093" s="12" t="str">
        <f ca="1">IFERROR(__xludf.DUMMYFUNCTION("""COMPUTED_VALUE"""),"Sleepers ")</f>
        <v>Sleepers </v>
      </c>
      <c r="S1093" s="12">
        <f t="shared" si="41"/>
        <v>-23357746</v>
      </c>
    </row>
    <row r="1094" spans="1:19" x14ac:dyDescent="0.3">
      <c r="A1094" s="2" t="s">
        <v>4713</v>
      </c>
      <c r="B1094" s="2">
        <v>113</v>
      </c>
      <c r="C1094" s="3">
        <v>12712093</v>
      </c>
      <c r="D1094" s="3" t="s">
        <v>5849</v>
      </c>
      <c r="E1094" s="2" t="s">
        <v>4714</v>
      </c>
      <c r="F1094" s="2" t="s">
        <v>4715</v>
      </c>
      <c r="G1094" s="2" t="s">
        <v>1474</v>
      </c>
      <c r="H1094" s="2">
        <v>84450000</v>
      </c>
      <c r="I1094" s="2">
        <v>7.4</v>
      </c>
      <c r="J1094" s="3">
        <v>6482195</v>
      </c>
      <c r="K1094">
        <f t="shared" si="42"/>
        <v>1.3775047412552699E-3</v>
      </c>
      <c r="R1094" s="12" t="str">
        <f ca="1">IFERROR(__xludf.DUMMYFUNCTION("""COMPUTED_VALUE"""),"Rambo: First Blood Part II ")</f>
        <v>Rambo: First Blood Part II </v>
      </c>
      <c r="S1094" s="12">
        <f t="shared" si="41"/>
        <v>-114592750</v>
      </c>
    </row>
    <row r="1095" spans="1:19" x14ac:dyDescent="0.3">
      <c r="A1095" s="2" t="s">
        <v>4551</v>
      </c>
      <c r="B1095" s="2">
        <v>103</v>
      </c>
      <c r="C1095" s="3">
        <v>54239856</v>
      </c>
      <c r="D1095" s="3" t="s">
        <v>6142</v>
      </c>
      <c r="E1095" s="2" t="s">
        <v>4552</v>
      </c>
      <c r="F1095" s="2" t="s">
        <v>2808</v>
      </c>
      <c r="G1095" s="2" t="s">
        <v>2809</v>
      </c>
      <c r="H1095" s="2">
        <v>4000000</v>
      </c>
      <c r="I1095" s="2">
        <v>7.1</v>
      </c>
      <c r="J1095" s="3">
        <v>6491350</v>
      </c>
      <c r="K1095">
        <f t="shared" si="42"/>
        <v>1.3775047412552699E-3</v>
      </c>
      <c r="R1095" s="12" t="str">
        <f ca="1">IFERROR(__xludf.DUMMYFUNCTION("""COMPUTED_VALUE"""),"The Juror ")</f>
        <v>The Juror </v>
      </c>
      <c r="S1095" s="12">
        <f t="shared" si="41"/>
        <v>14014842</v>
      </c>
    </row>
    <row r="1096" spans="1:19" x14ac:dyDescent="0.3">
      <c r="A1096" s="2" t="s">
        <v>2459</v>
      </c>
      <c r="B1096" s="2">
        <v>91</v>
      </c>
      <c r="C1096" s="3">
        <v>12026670</v>
      </c>
      <c r="D1096" s="3" t="s">
        <v>520</v>
      </c>
      <c r="E1096" s="2" t="s">
        <v>2847</v>
      </c>
      <c r="F1096" s="2" t="s">
        <v>10</v>
      </c>
      <c r="G1096" s="2" t="s">
        <v>11</v>
      </c>
      <c r="H1096" s="2">
        <v>21000000</v>
      </c>
      <c r="I1096" s="2">
        <v>6.7</v>
      </c>
      <c r="J1096" s="3">
        <v>6498000</v>
      </c>
      <c r="K1096">
        <f t="shared" si="42"/>
        <v>1.3775047412552699E-3</v>
      </c>
      <c r="R1096" s="12" t="str">
        <f ca="1">IFERROR(__xludf.DUMMYFUNCTION("""COMPUTED_VALUE"""),"Pinocchio ")</f>
        <v>Pinocchio </v>
      </c>
      <c r="S1096" s="12">
        <f t="shared" si="41"/>
        <v>-1640041</v>
      </c>
    </row>
    <row r="1097" spans="1:19" x14ac:dyDescent="0.3">
      <c r="A1097" s="2" t="s">
        <v>222</v>
      </c>
      <c r="B1097" s="2">
        <v>150</v>
      </c>
      <c r="C1097" s="3">
        <v>94497271</v>
      </c>
      <c r="D1097" s="3" t="s">
        <v>5753</v>
      </c>
      <c r="E1097" s="2" t="s">
        <v>3207</v>
      </c>
      <c r="F1097" s="2" t="s">
        <v>10</v>
      </c>
      <c r="G1097" s="2" t="s">
        <v>16</v>
      </c>
      <c r="H1097" s="2">
        <v>18000000</v>
      </c>
      <c r="I1097" s="2">
        <v>7.8</v>
      </c>
      <c r="J1097" s="3">
        <v>6517198</v>
      </c>
      <c r="K1097">
        <f t="shared" si="42"/>
        <v>1.3775047412552699E-3</v>
      </c>
      <c r="R1097" s="12" t="str">
        <f ca="1">IFERROR(__xludf.DUMMYFUNCTION("""COMPUTED_VALUE"""),"Heaven's Gate ")</f>
        <v>Heaven's Gate </v>
      </c>
      <c r="S1097" s="12">
        <f t="shared" si="41"/>
        <v>-25142624</v>
      </c>
    </row>
    <row r="1098" spans="1:19" x14ac:dyDescent="0.3">
      <c r="A1098" s="2" t="s">
        <v>79</v>
      </c>
      <c r="B1098" s="2">
        <v>125</v>
      </c>
      <c r="C1098" s="3">
        <v>86930411</v>
      </c>
      <c r="D1098" s="3" t="s">
        <v>5947</v>
      </c>
      <c r="E1098" s="2" t="s">
        <v>80</v>
      </c>
      <c r="F1098" s="2" t="s">
        <v>10</v>
      </c>
      <c r="G1098" s="2" t="s">
        <v>11</v>
      </c>
      <c r="H1098" s="2">
        <v>170000000</v>
      </c>
      <c r="I1098" s="2">
        <v>6.8</v>
      </c>
      <c r="J1098" s="3">
        <v>6525762</v>
      </c>
      <c r="K1098">
        <f t="shared" si="42"/>
        <v>1.3775047412552699E-3</v>
      </c>
      <c r="R1098" s="12" t="str">
        <f ca="1">IFERROR(__xludf.DUMMYFUNCTION("""COMPUTED_VALUE"""),"Underworld: Evolution ")</f>
        <v>Underworld: Evolution </v>
      </c>
      <c r="S1098" s="12">
        <f t="shared" si="41"/>
        <v>31304264</v>
      </c>
    </row>
    <row r="1099" spans="1:19" x14ac:dyDescent="0.3">
      <c r="A1099" s="2" t="s">
        <v>799</v>
      </c>
      <c r="B1099" s="2">
        <v>118</v>
      </c>
      <c r="C1099" s="3">
        <v>110000082</v>
      </c>
      <c r="D1099" s="3" t="s">
        <v>5778</v>
      </c>
      <c r="E1099" s="2" t="s">
        <v>1287</v>
      </c>
      <c r="F1099" s="2" t="s">
        <v>10</v>
      </c>
      <c r="G1099" s="2" t="s">
        <v>11</v>
      </c>
      <c r="H1099" s="2">
        <v>50000000</v>
      </c>
      <c r="I1099" s="2">
        <v>7.4</v>
      </c>
      <c r="J1099" s="3">
        <v>6531491</v>
      </c>
      <c r="K1099">
        <f t="shared" si="42"/>
        <v>1.3775047412552699E-3</v>
      </c>
      <c r="R1099" s="12" t="str">
        <f ca="1">IFERROR(__xludf.DUMMYFUNCTION("""COMPUTED_VALUE"""),"Victor Frankenstein ")</f>
        <v>Victor Frankenstein </v>
      </c>
      <c r="S1099" s="12">
        <f t="shared" si="41"/>
        <v>26322273</v>
      </c>
    </row>
    <row r="1100" spans="1:19" x14ac:dyDescent="0.3">
      <c r="A1100" s="2" t="s">
        <v>1204</v>
      </c>
      <c r="B1100" s="2">
        <v>94</v>
      </c>
      <c r="C1100" s="3">
        <v>15152879</v>
      </c>
      <c r="D1100" s="3" t="s">
        <v>6132</v>
      </c>
      <c r="E1100" s="2" t="s">
        <v>2265</v>
      </c>
      <c r="F1100" s="2" t="s">
        <v>10</v>
      </c>
      <c r="G1100" s="2" t="s">
        <v>11</v>
      </c>
      <c r="H1100" s="2">
        <v>45000000</v>
      </c>
      <c r="I1100" s="2">
        <v>5.5</v>
      </c>
      <c r="J1100" s="3">
        <v>6543194</v>
      </c>
      <c r="K1100">
        <f t="shared" si="42"/>
        <v>1.3775047412552699E-3</v>
      </c>
      <c r="R1100" s="12" t="str">
        <f ca="1">IFERROR(__xludf.DUMMYFUNCTION("""COMPUTED_VALUE"""),"Finding Forrester ")</f>
        <v>Finding Forrester </v>
      </c>
      <c r="S1100" s="12">
        <f t="shared" si="41"/>
        <v>62540762</v>
      </c>
    </row>
    <row r="1101" spans="1:19" x14ac:dyDescent="0.3">
      <c r="A1101" s="2" t="s">
        <v>33</v>
      </c>
      <c r="B1101" s="2">
        <v>123</v>
      </c>
      <c r="C1101" s="3">
        <v>31471430</v>
      </c>
      <c r="D1101" s="3" t="s">
        <v>5910</v>
      </c>
      <c r="E1101" s="2" t="s">
        <v>91</v>
      </c>
      <c r="F1101" s="2" t="s">
        <v>10</v>
      </c>
      <c r="G1101" s="2" t="s">
        <v>11</v>
      </c>
      <c r="H1101" s="2">
        <v>190000000</v>
      </c>
      <c r="I1101" s="2">
        <v>7</v>
      </c>
      <c r="J1101" s="3">
        <v>6563357</v>
      </c>
      <c r="K1101">
        <f t="shared" si="42"/>
        <v>1.3775047412552699E-3</v>
      </c>
      <c r="R1101" s="12" t="str">
        <f ca="1">IFERROR(__xludf.DUMMYFUNCTION("""COMPUTED_VALUE"""),"28 Days ")</f>
        <v>28 Days </v>
      </c>
      <c r="S1101" s="12">
        <f t="shared" si="41"/>
        <v>27987293</v>
      </c>
    </row>
    <row r="1102" spans="1:19" x14ac:dyDescent="0.3">
      <c r="A1102" s="2" t="s">
        <v>1342</v>
      </c>
      <c r="B1102" s="2">
        <v>120</v>
      </c>
      <c r="C1102" s="3">
        <v>8129455</v>
      </c>
      <c r="D1102" s="3" t="s">
        <v>5841</v>
      </c>
      <c r="E1102" s="2" t="s">
        <v>1687</v>
      </c>
      <c r="F1102" s="2" t="s">
        <v>10</v>
      </c>
      <c r="G1102" s="2" t="s">
        <v>11</v>
      </c>
      <c r="H1102" s="2">
        <v>40000000</v>
      </c>
      <c r="I1102" s="2">
        <v>7.3</v>
      </c>
      <c r="J1102" s="3">
        <v>6565495</v>
      </c>
      <c r="K1102">
        <f t="shared" si="42"/>
        <v>1.3775047412552699E-3</v>
      </c>
      <c r="R1102" s="12" t="str">
        <f ca="1">IFERROR(__xludf.DUMMYFUNCTION("""COMPUTED_VALUE"""),"Unleashed ")</f>
        <v>Unleashed </v>
      </c>
      <c r="S1102" s="12">
        <f t="shared" si="41"/>
        <v>73888996</v>
      </c>
    </row>
    <row r="1103" spans="1:19" x14ac:dyDescent="0.3">
      <c r="A1103" s="2" t="s">
        <v>3518</v>
      </c>
      <c r="B1103" s="2">
        <v>97</v>
      </c>
      <c r="C1103" s="3">
        <v>14989761</v>
      </c>
      <c r="D1103" s="3" t="s">
        <v>5856</v>
      </c>
      <c r="E1103" s="2" t="s">
        <v>3519</v>
      </c>
      <c r="F1103" s="2" t="s">
        <v>10</v>
      </c>
      <c r="G1103" s="2" t="s">
        <v>11</v>
      </c>
      <c r="H1103" s="2">
        <v>20000000</v>
      </c>
      <c r="I1103" s="2">
        <v>4.9000000000000004</v>
      </c>
      <c r="J1103" s="3">
        <v>6592103</v>
      </c>
      <c r="K1103">
        <f t="shared" si="42"/>
        <v>1.3775047412552699E-3</v>
      </c>
      <c r="R1103" s="12" t="str">
        <f ca="1">IFERROR(__xludf.DUMMYFUNCTION("""COMPUTED_VALUE"""),"The Sweetest Thing ")</f>
        <v>The Sweetest Thing </v>
      </c>
      <c r="S1103" s="12">
        <f t="shared" si="41"/>
        <v>145592590</v>
      </c>
    </row>
    <row r="1104" spans="1:19" x14ac:dyDescent="0.3">
      <c r="A1104" s="2" t="s">
        <v>286</v>
      </c>
      <c r="B1104" s="2">
        <v>106</v>
      </c>
      <c r="C1104" s="3">
        <v>12339633</v>
      </c>
      <c r="D1104" s="3" t="s">
        <v>520</v>
      </c>
      <c r="E1104" s="2" t="s">
        <v>287</v>
      </c>
      <c r="F1104" s="2" t="s">
        <v>10</v>
      </c>
      <c r="G1104" s="2" t="s">
        <v>11</v>
      </c>
      <c r="H1104" s="2">
        <v>137000000</v>
      </c>
      <c r="I1104" s="2">
        <v>6.4</v>
      </c>
      <c r="J1104" s="3">
        <v>6594136</v>
      </c>
      <c r="K1104">
        <f t="shared" si="42"/>
        <v>1.3775047412552699E-3</v>
      </c>
      <c r="R1104" s="12" t="str">
        <f ca="1">IFERROR(__xludf.DUMMYFUNCTION("""COMPUTED_VALUE"""),"The Firm ")</f>
        <v>The Firm </v>
      </c>
      <c r="S1104" s="12">
        <f t="shared" si="41"/>
        <v>41699513</v>
      </c>
    </row>
    <row r="1105" spans="1:19" x14ac:dyDescent="0.3">
      <c r="A1105" s="2" t="s">
        <v>17</v>
      </c>
      <c r="B1105" s="2">
        <v>169</v>
      </c>
      <c r="C1105" s="3">
        <v>66257002</v>
      </c>
      <c r="D1105" s="3" t="s">
        <v>6143</v>
      </c>
      <c r="E1105" s="2" t="s">
        <v>171</v>
      </c>
      <c r="F1105" s="2" t="s">
        <v>10</v>
      </c>
      <c r="G1105" s="2" t="s">
        <v>11</v>
      </c>
      <c r="H1105" s="2">
        <v>165000000</v>
      </c>
      <c r="I1105" s="2">
        <v>8.6</v>
      </c>
      <c r="J1105" s="3">
        <v>6601079</v>
      </c>
      <c r="K1105">
        <f t="shared" si="42"/>
        <v>1.3775047412552699E-3</v>
      </c>
      <c r="R1105" s="12" t="str">
        <f ca="1">IFERROR(__xludf.DUMMYFUNCTION("""COMPUTED_VALUE"""),"Charlie St. Cloud ")</f>
        <v>Charlie St. Cloud </v>
      </c>
      <c r="S1105" s="12">
        <f t="shared" si="41"/>
        <v>-38280700</v>
      </c>
    </row>
    <row r="1106" spans="1:19" x14ac:dyDescent="0.3">
      <c r="A1106" s="2" t="s">
        <v>2998</v>
      </c>
      <c r="B1106" s="2">
        <v>95</v>
      </c>
      <c r="C1106" s="3">
        <v>34014398</v>
      </c>
      <c r="D1106" s="3" t="s">
        <v>5874</v>
      </c>
      <c r="E1106" s="2" t="s">
        <v>2999</v>
      </c>
      <c r="F1106" s="2" t="s">
        <v>10</v>
      </c>
      <c r="G1106" s="2" t="s">
        <v>504</v>
      </c>
      <c r="H1106" s="2">
        <v>20000000</v>
      </c>
      <c r="I1106" s="2">
        <v>6.1</v>
      </c>
      <c r="J1106" s="3">
        <v>6615578</v>
      </c>
      <c r="K1106">
        <f t="shared" si="42"/>
        <v>1.3775047412552699E-3</v>
      </c>
      <c r="R1106" s="12" t="str">
        <f ca="1">IFERROR(__xludf.DUMMYFUNCTION("""COMPUTED_VALUE"""),"The Mechanic ")</f>
        <v>The Mechanic </v>
      </c>
      <c r="S1106" s="12">
        <f t="shared" si="41"/>
        <v>-10881753</v>
      </c>
    </row>
    <row r="1107" spans="1:19" x14ac:dyDescent="0.3">
      <c r="A1107" s="2" t="s">
        <v>17</v>
      </c>
      <c r="B1107" s="2">
        <v>130</v>
      </c>
      <c r="C1107" s="3">
        <v>54222000</v>
      </c>
      <c r="D1107" s="3" t="s">
        <v>6144</v>
      </c>
      <c r="E1107" s="2" t="s">
        <v>1714</v>
      </c>
      <c r="F1107" s="2" t="s">
        <v>10</v>
      </c>
      <c r="G1107" s="2" t="s">
        <v>11</v>
      </c>
      <c r="H1107" s="2">
        <v>40000000</v>
      </c>
      <c r="I1107" s="2">
        <v>8.5</v>
      </c>
      <c r="J1107" s="3">
        <v>6619173</v>
      </c>
      <c r="K1107">
        <f t="shared" si="42"/>
        <v>1.3775047412552699E-3</v>
      </c>
      <c r="R1107" s="12" t="str">
        <f ca="1">IFERROR(__xludf.DUMMYFUNCTION("""COMPUTED_VALUE"""),"21 Jump Street ")</f>
        <v>21 Jump Street </v>
      </c>
      <c r="S1107" s="12">
        <f t="shared" si="41"/>
        <v>26693523</v>
      </c>
    </row>
    <row r="1108" spans="1:19" x14ac:dyDescent="0.3">
      <c r="A1108" s="2" t="s">
        <v>74</v>
      </c>
      <c r="B1108" s="2">
        <v>144</v>
      </c>
      <c r="C1108" s="3">
        <v>71588220</v>
      </c>
      <c r="D1108" s="3" t="s">
        <v>5756</v>
      </c>
      <c r="E1108" s="2" t="s">
        <v>1374</v>
      </c>
      <c r="F1108" s="2" t="s">
        <v>10</v>
      </c>
      <c r="G1108" s="2" t="s">
        <v>11</v>
      </c>
      <c r="H1108" s="2">
        <v>50000000</v>
      </c>
      <c r="I1108" s="2">
        <v>7.4</v>
      </c>
      <c r="J1108" s="3">
        <v>6670712</v>
      </c>
      <c r="K1108">
        <f t="shared" si="42"/>
        <v>1.3775047412552699E-3</v>
      </c>
      <c r="R1108" s="12" t="str">
        <f ca="1">IFERROR(__xludf.DUMMYFUNCTION("""COMPUTED_VALUE"""),"Notting Hill ")</f>
        <v>Notting Hill </v>
      </c>
      <c r="S1108" s="12">
        <f t="shared" si="41"/>
        <v>19687528</v>
      </c>
    </row>
    <row r="1109" spans="1:19" x14ac:dyDescent="0.3">
      <c r="A1109" s="2" t="s">
        <v>234</v>
      </c>
      <c r="B1109" s="2">
        <v>92</v>
      </c>
      <c r="C1109" s="3">
        <v>183436380</v>
      </c>
      <c r="D1109" s="3" t="s">
        <v>5838</v>
      </c>
      <c r="E1109" s="2" t="s">
        <v>539</v>
      </c>
      <c r="F1109" s="2" t="s">
        <v>10</v>
      </c>
      <c r="G1109" s="2" t="s">
        <v>11</v>
      </c>
      <c r="H1109" s="2">
        <v>93000000</v>
      </c>
      <c r="I1109" s="2">
        <v>5.9</v>
      </c>
      <c r="J1109" s="3">
        <v>6706368</v>
      </c>
      <c r="K1109">
        <f t="shared" si="42"/>
        <v>1.3775047412552699E-3</v>
      </c>
      <c r="R1109" s="12" t="str">
        <f ca="1">IFERROR(__xludf.DUMMYFUNCTION("""COMPUTED_VALUE"""),"Chicken Run ")</f>
        <v>Chicken Run </v>
      </c>
      <c r="S1109" s="12">
        <f t="shared" si="41"/>
        <v>91791027</v>
      </c>
    </row>
    <row r="1110" spans="1:19" x14ac:dyDescent="0.3">
      <c r="A1110" s="2" t="s">
        <v>882</v>
      </c>
      <c r="B1110" s="2">
        <v>114</v>
      </c>
      <c r="C1110" s="3">
        <v>54228104</v>
      </c>
      <c r="D1110" s="3" t="s">
        <v>5892</v>
      </c>
      <c r="E1110" s="2" t="s">
        <v>1178</v>
      </c>
      <c r="F1110" s="2" t="s">
        <v>10</v>
      </c>
      <c r="G1110" s="2" t="s">
        <v>11</v>
      </c>
      <c r="H1110" s="2">
        <v>58000000</v>
      </c>
      <c r="I1110" s="2">
        <v>6</v>
      </c>
      <c r="J1110" s="3">
        <v>6712241</v>
      </c>
      <c r="K1110">
        <f t="shared" si="42"/>
        <v>1.3775047412552699E-3</v>
      </c>
      <c r="R1110" s="12" t="str">
        <f ca="1">IFERROR(__xludf.DUMMYFUNCTION("""COMPUTED_VALUE"""),"Along Came Polly ")</f>
        <v>Along Came Polly </v>
      </c>
      <c r="S1110" s="12">
        <f t="shared" si="41"/>
        <v>-11187759</v>
      </c>
    </row>
    <row r="1111" spans="1:19" x14ac:dyDescent="0.3">
      <c r="A1111" s="2" t="s">
        <v>2013</v>
      </c>
      <c r="B1111" s="2">
        <v>87</v>
      </c>
      <c r="C1111" s="3">
        <v>215185</v>
      </c>
      <c r="D1111" s="3" t="s">
        <v>5773</v>
      </c>
      <c r="E1111" s="2" t="s">
        <v>4041</v>
      </c>
      <c r="F1111" s="2" t="s">
        <v>10</v>
      </c>
      <c r="G1111" s="2" t="s">
        <v>11</v>
      </c>
      <c r="H1111" s="2">
        <v>22000000</v>
      </c>
      <c r="I1111" s="2">
        <v>5.8</v>
      </c>
      <c r="J1111" s="3">
        <v>6712451</v>
      </c>
      <c r="K1111">
        <f t="shared" si="42"/>
        <v>1.3775047412552699E-3</v>
      </c>
      <c r="R1111" s="12" t="str">
        <f ca="1">IFERROR(__xludf.DUMMYFUNCTION("""COMPUTED_VALUE"""),"Boomerang ")</f>
        <v>Boomerang </v>
      </c>
      <c r="S1111" s="12">
        <f t="shared" si="41"/>
        <v>-5352405</v>
      </c>
    </row>
    <row r="1112" spans="1:19" x14ac:dyDescent="0.3">
      <c r="A1112" s="2" t="s">
        <v>3216</v>
      </c>
      <c r="B1112" s="2">
        <v>93</v>
      </c>
      <c r="C1112" s="3">
        <v>109306210</v>
      </c>
      <c r="D1112" s="3" t="s">
        <v>520</v>
      </c>
      <c r="E1112" s="2" t="s">
        <v>3217</v>
      </c>
      <c r="F1112" s="2" t="s">
        <v>10</v>
      </c>
      <c r="G1112" s="2" t="s">
        <v>11</v>
      </c>
      <c r="H1112" s="2">
        <v>2700000</v>
      </c>
      <c r="I1112" s="2">
        <v>5.9</v>
      </c>
      <c r="J1112" s="3">
        <v>6719300</v>
      </c>
      <c r="K1112">
        <f t="shared" si="42"/>
        <v>1.3775047412552699E-3</v>
      </c>
      <c r="R1112" s="12" t="str">
        <f ca="1">IFERROR(__xludf.DUMMYFUNCTION("""COMPUTED_VALUE"""),"The Heat ")</f>
        <v>The Heat </v>
      </c>
      <c r="S1112" s="12">
        <f t="shared" si="41"/>
        <v>-63506218</v>
      </c>
    </row>
    <row r="1113" spans="1:19" x14ac:dyDescent="0.3">
      <c r="A1113" s="2" t="s">
        <v>5381</v>
      </c>
      <c r="B1113" s="2">
        <v>83</v>
      </c>
      <c r="C1113" s="3">
        <v>33927476</v>
      </c>
      <c r="D1113" s="3" t="s">
        <v>6145</v>
      </c>
      <c r="E1113" s="2" t="s">
        <v>5382</v>
      </c>
      <c r="F1113" s="2" t="s">
        <v>10</v>
      </c>
      <c r="G1113" s="2" t="s">
        <v>11</v>
      </c>
      <c r="H1113" s="2">
        <v>1000000</v>
      </c>
      <c r="I1113" s="2">
        <v>2.2000000000000002</v>
      </c>
      <c r="J1113" s="3">
        <v>6734844</v>
      </c>
      <c r="K1113">
        <f t="shared" si="42"/>
        <v>1.3775047412552699E-3</v>
      </c>
      <c r="R1113" s="12" t="str">
        <f ca="1">IFERROR(__xludf.DUMMYFUNCTION("""COMPUTED_VALUE"""),"Cleopatra ")</f>
        <v>Cleopatra </v>
      </c>
      <c r="S1113" s="12">
        <f t="shared" ref="S1113:S1176" si="43">C1091-H1091</f>
        <v>-3061430</v>
      </c>
    </row>
    <row r="1114" spans="1:19" x14ac:dyDescent="0.3">
      <c r="A1114" s="2" t="s">
        <v>2277</v>
      </c>
      <c r="B1114" s="2">
        <v>140</v>
      </c>
      <c r="C1114" s="3">
        <v>47474112</v>
      </c>
      <c r="D1114" s="3" t="s">
        <v>5894</v>
      </c>
      <c r="E1114" s="2" t="s">
        <v>3989</v>
      </c>
      <c r="F1114" s="2" t="s">
        <v>10</v>
      </c>
      <c r="G1114" s="2" t="s">
        <v>16</v>
      </c>
      <c r="H1114" s="2">
        <v>10000000</v>
      </c>
      <c r="I1114" s="2">
        <v>5.4</v>
      </c>
      <c r="J1114" s="3">
        <v>6739141</v>
      </c>
      <c r="K1114">
        <f t="shared" si="42"/>
        <v>1.3775047412552699E-3</v>
      </c>
      <c r="R1114" s="12" t="str">
        <f ca="1">IFERROR(__xludf.DUMMYFUNCTION("""COMPUTED_VALUE"""),"Here Comes the Boom ")</f>
        <v>Here Comes the Boom </v>
      </c>
      <c r="S1114" s="12">
        <f t="shared" si="43"/>
        <v>35625000</v>
      </c>
    </row>
    <row r="1115" spans="1:19" x14ac:dyDescent="0.3">
      <c r="A1115" s="2" t="s">
        <v>1340</v>
      </c>
      <c r="B1115" s="2">
        <v>128</v>
      </c>
      <c r="C1115" s="3">
        <v>47592825</v>
      </c>
      <c r="D1115" s="3" t="s">
        <v>5849</v>
      </c>
      <c r="E1115" s="2" t="s">
        <v>1684</v>
      </c>
      <c r="F1115" s="2" t="s">
        <v>10</v>
      </c>
      <c r="G1115" s="2" t="s">
        <v>11</v>
      </c>
      <c r="H1115" s="2">
        <v>40000000</v>
      </c>
      <c r="I1115" s="2">
        <v>7.5</v>
      </c>
      <c r="J1115" s="3">
        <v>6754898</v>
      </c>
      <c r="K1115">
        <f t="shared" si="42"/>
        <v>1.3775047412552699E-3</v>
      </c>
      <c r="R1115" s="12" t="str">
        <f ca="1">IFERROR(__xludf.DUMMYFUNCTION("""COMPUTED_VALUE"""),"High Crimes ")</f>
        <v>High Crimes </v>
      </c>
      <c r="S1115" s="12">
        <f t="shared" si="43"/>
        <v>-45787549</v>
      </c>
    </row>
    <row r="1116" spans="1:19" x14ac:dyDescent="0.3">
      <c r="A1116" s="2" t="s">
        <v>228</v>
      </c>
      <c r="B1116" s="2">
        <v>101</v>
      </c>
      <c r="C1116" s="3">
        <v>80000000</v>
      </c>
      <c r="D1116" s="3" t="s">
        <v>5921</v>
      </c>
      <c r="E1116" s="2" t="s">
        <v>390</v>
      </c>
      <c r="F1116" s="2" t="s">
        <v>10</v>
      </c>
      <c r="G1116" s="2" t="s">
        <v>11</v>
      </c>
      <c r="H1116" s="2">
        <v>125000000</v>
      </c>
      <c r="I1116" s="2">
        <v>5.9</v>
      </c>
      <c r="J1116" s="3">
        <v>6755271</v>
      </c>
      <c r="K1116">
        <f t="shared" si="42"/>
        <v>1.3775047412552699E-3</v>
      </c>
      <c r="R1116" s="12" t="str">
        <f ca="1">IFERROR(__xludf.DUMMYFUNCTION("""COMPUTED_VALUE"""),"The Mirror Has Two Faces ")</f>
        <v>The Mirror Has Two Faces </v>
      </c>
      <c r="S1116" s="12">
        <f t="shared" si="43"/>
        <v>-71737907</v>
      </c>
    </row>
    <row r="1117" spans="1:19" x14ac:dyDescent="0.3">
      <c r="A1117" s="2" t="s">
        <v>2581</v>
      </c>
      <c r="B1117" s="2">
        <v>134</v>
      </c>
      <c r="C1117" s="3">
        <v>4835968</v>
      </c>
      <c r="D1117" s="3" t="s">
        <v>5887</v>
      </c>
      <c r="E1117" s="2" t="s">
        <v>2682</v>
      </c>
      <c r="F1117" s="2" t="s">
        <v>751</v>
      </c>
      <c r="G1117" s="2" t="s">
        <v>504</v>
      </c>
      <c r="H1117" s="2">
        <v>25000000</v>
      </c>
      <c r="I1117" s="2">
        <v>7.1</v>
      </c>
      <c r="J1117" s="3">
        <v>6768055</v>
      </c>
      <c r="K1117">
        <f t="shared" si="42"/>
        <v>1.3775047412552699E-3</v>
      </c>
      <c r="R1117" s="12" t="str">
        <f ca="1">IFERROR(__xludf.DUMMYFUNCTION("""COMPUTED_VALUE"""),"The Mothman Prophecies ")</f>
        <v>The Mothman Prophecies </v>
      </c>
      <c r="S1117" s="12">
        <f t="shared" si="43"/>
        <v>50239856</v>
      </c>
    </row>
    <row r="1118" spans="1:19" x14ac:dyDescent="0.3">
      <c r="A1118" s="2" t="s">
        <v>112</v>
      </c>
      <c r="B1118" s="2">
        <v>158</v>
      </c>
      <c r="C1118" s="3">
        <v>27296514</v>
      </c>
      <c r="D1118" s="3" t="s">
        <v>5960</v>
      </c>
      <c r="E1118" s="2" t="s">
        <v>113</v>
      </c>
      <c r="F1118" s="2" t="s">
        <v>10</v>
      </c>
      <c r="G1118" s="2" t="s">
        <v>11</v>
      </c>
      <c r="H1118" s="2">
        <v>200000000</v>
      </c>
      <c r="I1118" s="2">
        <v>5.8</v>
      </c>
      <c r="J1118" s="3">
        <v>6830957</v>
      </c>
      <c r="K1118">
        <f t="shared" si="42"/>
        <v>1.3775047412552699E-3</v>
      </c>
      <c r="R1118" s="12" t="str">
        <f ca="1">IFERROR(__xludf.DUMMYFUNCTION("""COMPUTED_VALUE"""),"Brüno ")</f>
        <v>Brüno </v>
      </c>
      <c r="S1118" s="12">
        <f t="shared" si="43"/>
        <v>-8973330</v>
      </c>
    </row>
    <row r="1119" spans="1:19" x14ac:dyDescent="0.3">
      <c r="A1119" s="2" t="s">
        <v>836</v>
      </c>
      <c r="B1119" s="2">
        <v>133</v>
      </c>
      <c r="C1119" s="3">
        <v>54235441</v>
      </c>
      <c r="D1119" s="3" t="s">
        <v>5767</v>
      </c>
      <c r="E1119" s="2" t="s">
        <v>2468</v>
      </c>
      <c r="F1119" s="2" t="s">
        <v>10</v>
      </c>
      <c r="G1119" s="2" t="s">
        <v>11</v>
      </c>
      <c r="H1119" s="2">
        <v>26000000</v>
      </c>
      <c r="I1119" s="2">
        <v>7.1</v>
      </c>
      <c r="J1119" s="3">
        <v>6842058</v>
      </c>
      <c r="K1119">
        <f t="shared" si="42"/>
        <v>1.3775047412552699E-3</v>
      </c>
      <c r="R1119" s="12" t="str">
        <f ca="1">IFERROR(__xludf.DUMMYFUNCTION("""COMPUTED_VALUE"""),"Licence to Kill ")</f>
        <v>Licence to Kill </v>
      </c>
      <c r="S1119" s="12">
        <f t="shared" si="43"/>
        <v>76497271</v>
      </c>
    </row>
    <row r="1120" spans="1:19" x14ac:dyDescent="0.3">
      <c r="A1120" s="2" t="s">
        <v>4516</v>
      </c>
      <c r="B1120" s="2">
        <v>96</v>
      </c>
      <c r="C1120" s="3">
        <v>71500556</v>
      </c>
      <c r="D1120" s="3" t="s">
        <v>5974</v>
      </c>
      <c r="E1120" s="2" t="s">
        <v>4517</v>
      </c>
      <c r="F1120" s="2" t="s">
        <v>10</v>
      </c>
      <c r="G1120" s="2" t="s">
        <v>2131</v>
      </c>
      <c r="H1120" s="2">
        <v>6000000</v>
      </c>
      <c r="I1120" s="2">
        <v>7.3</v>
      </c>
      <c r="J1120" s="3">
        <v>6851636</v>
      </c>
      <c r="K1120">
        <f t="shared" si="42"/>
        <v>1.3775047412552699E-3</v>
      </c>
      <c r="R1120" s="12" t="str">
        <f ca="1">IFERROR(__xludf.DUMMYFUNCTION("""COMPUTED_VALUE"""),"Red Riding Hood ")</f>
        <v>Red Riding Hood </v>
      </c>
      <c r="S1120" s="12">
        <f t="shared" si="43"/>
        <v>-83069589</v>
      </c>
    </row>
    <row r="1121" spans="1:19" x14ac:dyDescent="0.3">
      <c r="A1121" s="2" t="s">
        <v>3112</v>
      </c>
      <c r="B1121" s="2">
        <v>92</v>
      </c>
      <c r="C1121" s="3">
        <v>104383624</v>
      </c>
      <c r="D1121" s="3" t="s">
        <v>5910</v>
      </c>
      <c r="E1121" s="2" t="s">
        <v>4286</v>
      </c>
      <c r="F1121" s="2" t="s">
        <v>10</v>
      </c>
      <c r="G1121" s="2" t="s">
        <v>16</v>
      </c>
      <c r="H1121" s="2">
        <v>8000000</v>
      </c>
      <c r="I1121" s="2">
        <v>6.9</v>
      </c>
      <c r="J1121" s="3">
        <v>6851969</v>
      </c>
      <c r="K1121">
        <f t="shared" si="42"/>
        <v>1.3775047412552699E-3</v>
      </c>
      <c r="R1121" s="12" t="str">
        <f ca="1">IFERROR(__xludf.DUMMYFUNCTION("""COMPUTED_VALUE"""),"15 Minutes ")</f>
        <v>15 Minutes </v>
      </c>
      <c r="S1121" s="12">
        <f t="shared" si="43"/>
        <v>60000082</v>
      </c>
    </row>
    <row r="1122" spans="1:19" x14ac:dyDescent="0.3">
      <c r="A1122" s="2" t="s">
        <v>1856</v>
      </c>
      <c r="B1122" s="2">
        <v>98</v>
      </c>
      <c r="C1122" s="3">
        <v>31452765</v>
      </c>
      <c r="D1122" s="3" t="s">
        <v>5975</v>
      </c>
      <c r="E1122" s="2" t="s">
        <v>4303</v>
      </c>
      <c r="F1122" s="2" t="s">
        <v>10</v>
      </c>
      <c r="G1122" s="2" t="s">
        <v>16</v>
      </c>
      <c r="H1122" s="2">
        <v>8000000</v>
      </c>
      <c r="I1122" s="2">
        <v>6.9</v>
      </c>
      <c r="J1122" s="3">
        <v>6852144</v>
      </c>
      <c r="K1122">
        <f t="shared" si="42"/>
        <v>1.3775047412552699E-3</v>
      </c>
      <c r="R1122" s="12" t="str">
        <f ca="1">IFERROR(__xludf.DUMMYFUNCTION("""COMPUTED_VALUE"""),"Super Mario Bros. ")</f>
        <v>Super Mario Bros. </v>
      </c>
      <c r="S1122" s="12">
        <f t="shared" si="43"/>
        <v>-29847121</v>
      </c>
    </row>
    <row r="1123" spans="1:19" x14ac:dyDescent="0.3">
      <c r="A1123" s="2" t="s">
        <v>2537</v>
      </c>
      <c r="B1123" s="2">
        <v>96</v>
      </c>
      <c r="C1123" s="3">
        <v>35228696</v>
      </c>
      <c r="D1123" s="3" t="s">
        <v>6146</v>
      </c>
      <c r="E1123" s="2" t="s">
        <v>2538</v>
      </c>
      <c r="F1123" s="2" t="s">
        <v>10</v>
      </c>
      <c r="G1123" s="2" t="s">
        <v>11</v>
      </c>
      <c r="H1123" s="2">
        <v>17000000</v>
      </c>
      <c r="I1123" s="2">
        <v>7.2</v>
      </c>
      <c r="J1123" s="3">
        <v>6855137</v>
      </c>
      <c r="K1123">
        <f t="shared" si="42"/>
        <v>1.3775047412552699E-3</v>
      </c>
      <c r="R1123" s="12" t="str">
        <f ca="1">IFERROR(__xludf.DUMMYFUNCTION("""COMPUTED_VALUE"""),"Lord of War ")</f>
        <v>Lord of War </v>
      </c>
      <c r="S1123" s="12">
        <f t="shared" si="43"/>
        <v>-158528570</v>
      </c>
    </row>
    <row r="1124" spans="1:19" x14ac:dyDescent="0.3">
      <c r="A1124" s="2" t="s">
        <v>2135</v>
      </c>
      <c r="B1124" s="2">
        <v>100</v>
      </c>
      <c r="C1124" s="3">
        <v>67962333</v>
      </c>
      <c r="D1124" s="3" t="s">
        <v>6147</v>
      </c>
      <c r="E1124" s="2" t="s">
        <v>3647</v>
      </c>
      <c r="F1124" s="2" t="s">
        <v>10</v>
      </c>
      <c r="G1124" s="2" t="s">
        <v>1840</v>
      </c>
      <c r="H1124" s="2">
        <v>13400000</v>
      </c>
      <c r="I1124" s="2">
        <v>3.6</v>
      </c>
      <c r="J1124" s="3">
        <v>6857096</v>
      </c>
      <c r="K1124">
        <f t="shared" si="42"/>
        <v>1.3775047412552699E-3</v>
      </c>
      <c r="R1124" s="12" t="str">
        <f ca="1">IFERROR(__xludf.DUMMYFUNCTION("""COMPUTED_VALUE"""),"Hero ")</f>
        <v>Hero </v>
      </c>
      <c r="S1124" s="12">
        <f t="shared" si="43"/>
        <v>-31870545</v>
      </c>
    </row>
    <row r="1125" spans="1:19" x14ac:dyDescent="0.3">
      <c r="A1125" s="2" t="s">
        <v>5104</v>
      </c>
      <c r="B1125" s="2">
        <v>96</v>
      </c>
      <c r="C1125" s="3">
        <v>32522352</v>
      </c>
      <c r="D1125" s="3" t="s">
        <v>5973</v>
      </c>
      <c r="E1125" s="2" t="s">
        <v>5105</v>
      </c>
      <c r="F1125" s="2" t="s">
        <v>10</v>
      </c>
      <c r="G1125" s="2" t="s">
        <v>11</v>
      </c>
      <c r="H1125" s="2">
        <v>6000000</v>
      </c>
      <c r="I1125" s="2">
        <v>7</v>
      </c>
      <c r="J1125" s="3">
        <v>6923891</v>
      </c>
      <c r="K1125">
        <f t="shared" si="42"/>
        <v>1.3775047412552699E-3</v>
      </c>
      <c r="R1125" s="12" t="str">
        <f ca="1">IFERROR(__xludf.DUMMYFUNCTION("""COMPUTED_VALUE"""),"One for the Money ")</f>
        <v>One for the Money </v>
      </c>
      <c r="S1125" s="12">
        <f t="shared" si="43"/>
        <v>-5010239</v>
      </c>
    </row>
    <row r="1126" spans="1:19" x14ac:dyDescent="0.3">
      <c r="A1126" s="2" t="s">
        <v>475</v>
      </c>
      <c r="B1126" s="2">
        <v>103</v>
      </c>
      <c r="C1126" s="3">
        <v>47456450</v>
      </c>
      <c r="D1126" s="3" t="s">
        <v>5857</v>
      </c>
      <c r="E1126" s="2" t="s">
        <v>948</v>
      </c>
      <c r="F1126" s="2" t="s">
        <v>10</v>
      </c>
      <c r="G1126" s="2" t="s">
        <v>11</v>
      </c>
      <c r="H1126" s="2">
        <v>59000000</v>
      </c>
      <c r="I1126" s="2">
        <v>7.6</v>
      </c>
      <c r="J1126" s="3">
        <v>6982680</v>
      </c>
      <c r="K1126">
        <f t="shared" si="42"/>
        <v>1.3775047412552699E-3</v>
      </c>
      <c r="R1126" s="12" t="str">
        <f ca="1">IFERROR(__xludf.DUMMYFUNCTION("""COMPUTED_VALUE"""),"The Interview ")</f>
        <v>The Interview </v>
      </c>
      <c r="S1126" s="12">
        <f t="shared" si="43"/>
        <v>-124660367</v>
      </c>
    </row>
    <row r="1127" spans="1:19" x14ac:dyDescent="0.3">
      <c r="A1127" s="2" t="s">
        <v>4043</v>
      </c>
      <c r="B1127" s="2">
        <v>97</v>
      </c>
      <c r="C1127" s="3">
        <v>20218921</v>
      </c>
      <c r="D1127" s="3" t="s">
        <v>5849</v>
      </c>
      <c r="E1127" s="2" t="s">
        <v>4044</v>
      </c>
      <c r="F1127" s="2" t="s">
        <v>10</v>
      </c>
      <c r="G1127" s="2" t="s">
        <v>199</v>
      </c>
      <c r="H1127" s="2">
        <v>10000000</v>
      </c>
      <c r="I1127" s="2">
        <v>6.5</v>
      </c>
      <c r="J1127" s="3">
        <v>6998324</v>
      </c>
      <c r="K1127">
        <f t="shared" si="42"/>
        <v>1.3775047412552699E-3</v>
      </c>
      <c r="R1127" s="12" t="str">
        <f ca="1">IFERROR(__xludf.DUMMYFUNCTION("""COMPUTED_VALUE"""),"The Warrior's Way ")</f>
        <v>The Warrior's Way </v>
      </c>
      <c r="S1127" s="12">
        <f t="shared" si="43"/>
        <v>-98742998</v>
      </c>
    </row>
    <row r="1128" spans="1:19" x14ac:dyDescent="0.3">
      <c r="A1128" s="2" t="s">
        <v>5385</v>
      </c>
      <c r="B1128" s="2">
        <v>138</v>
      </c>
      <c r="C1128" s="3">
        <v>11614236</v>
      </c>
      <c r="D1128" s="3" t="s">
        <v>520</v>
      </c>
      <c r="E1128" s="2" t="s">
        <v>5386</v>
      </c>
      <c r="F1128" s="2" t="s">
        <v>10</v>
      </c>
      <c r="G1128" s="2" t="s">
        <v>11</v>
      </c>
      <c r="H1128" s="2">
        <v>1000000</v>
      </c>
      <c r="I1128" s="2">
        <v>3.4</v>
      </c>
      <c r="J1128" s="3">
        <v>7000000</v>
      </c>
      <c r="K1128">
        <f t="shared" si="42"/>
        <v>1.3775047412552699E-3</v>
      </c>
      <c r="R1128" s="12" t="str">
        <f ca="1">IFERROR(__xludf.DUMMYFUNCTION("""COMPUTED_VALUE"""),"Micmacs ")</f>
        <v>Micmacs </v>
      </c>
      <c r="S1128" s="12">
        <f t="shared" si="43"/>
        <v>14014398</v>
      </c>
    </row>
    <row r="1129" spans="1:19" x14ac:dyDescent="0.3">
      <c r="A1129" s="2" t="s">
        <v>1242</v>
      </c>
      <c r="B1129" s="2">
        <v>98</v>
      </c>
      <c r="C1129" s="2">
        <v>1987762</v>
      </c>
      <c r="D1129" s="3" t="s">
        <v>6148</v>
      </c>
      <c r="E1129" s="2" t="s">
        <v>4106</v>
      </c>
      <c r="F1129" s="2" t="s">
        <v>10</v>
      </c>
      <c r="G1129" s="2" t="s">
        <v>11</v>
      </c>
      <c r="H1129" s="2">
        <v>11000000</v>
      </c>
      <c r="I1129" s="2">
        <v>6.7</v>
      </c>
      <c r="J1129" s="3">
        <v>7001720</v>
      </c>
      <c r="K1129">
        <f t="shared" si="42"/>
        <v>1.3775047412552699E-3</v>
      </c>
      <c r="R1129" s="12" t="str">
        <f ca="1">IFERROR(__xludf.DUMMYFUNCTION("""COMPUTED_VALUE"""),"8 Mile ")</f>
        <v>8 Mile </v>
      </c>
      <c r="S1129" s="12">
        <f t="shared" si="43"/>
        <v>14222000</v>
      </c>
    </row>
    <row r="1130" spans="1:19" x14ac:dyDescent="0.3">
      <c r="A1130" s="2" t="s">
        <v>1631</v>
      </c>
      <c r="B1130" s="2">
        <v>133</v>
      </c>
      <c r="C1130" s="3">
        <v>109243478</v>
      </c>
      <c r="D1130" s="3" t="s">
        <v>6149</v>
      </c>
      <c r="E1130" s="2" t="s">
        <v>1632</v>
      </c>
      <c r="F1130" s="2" t="s">
        <v>10</v>
      </c>
      <c r="G1130" s="2" t="s">
        <v>16</v>
      </c>
      <c r="H1130" s="2">
        <v>32000000</v>
      </c>
      <c r="I1130" s="2">
        <v>6.6</v>
      </c>
      <c r="J1130" s="3">
        <v>7002255</v>
      </c>
      <c r="K1130">
        <f t="shared" si="42"/>
        <v>1.3775047412552699E-3</v>
      </c>
      <c r="R1130" s="12" t="str">
        <f ca="1">IFERROR(__xludf.DUMMYFUNCTION("""COMPUTED_VALUE"""),"A Knight's Tale ")</f>
        <v>A Knight's Tale </v>
      </c>
      <c r="S1130" s="12">
        <f t="shared" si="43"/>
        <v>21588220</v>
      </c>
    </row>
    <row r="1131" spans="1:19" x14ac:dyDescent="0.3">
      <c r="A1131" s="2" t="s">
        <v>5339</v>
      </c>
      <c r="B1131" s="2">
        <v>53</v>
      </c>
      <c r="C1131" s="3">
        <v>73820094</v>
      </c>
      <c r="D1131" s="3" t="s">
        <v>5818</v>
      </c>
      <c r="E1131" s="2" t="s">
        <v>5340</v>
      </c>
      <c r="F1131" s="2" t="s">
        <v>10</v>
      </c>
      <c r="G1131" s="2" t="s">
        <v>11</v>
      </c>
      <c r="H1131" s="2">
        <v>1000000</v>
      </c>
      <c r="I1131" s="2">
        <v>7.7</v>
      </c>
      <c r="J1131" s="3">
        <v>7009668</v>
      </c>
      <c r="K1131">
        <f t="shared" si="42"/>
        <v>1.3775047412552699E-3</v>
      </c>
      <c r="R1131" s="12" t="str">
        <f ca="1">IFERROR(__xludf.DUMMYFUNCTION("""COMPUTED_VALUE"""),"The Medallion ")</f>
        <v>The Medallion </v>
      </c>
      <c r="S1131" s="12">
        <f t="shared" si="43"/>
        <v>90436380</v>
      </c>
    </row>
    <row r="1132" spans="1:19" x14ac:dyDescent="0.3">
      <c r="A1132" s="2" t="s">
        <v>5136</v>
      </c>
      <c r="B1132" s="2">
        <v>89</v>
      </c>
      <c r="C1132" s="3">
        <v>34531832</v>
      </c>
      <c r="D1132" s="3" t="s">
        <v>6150</v>
      </c>
      <c r="E1132" s="2" t="s">
        <v>5137</v>
      </c>
      <c r="F1132" s="2" t="s">
        <v>10</v>
      </c>
      <c r="G1132" s="2" t="s">
        <v>11</v>
      </c>
      <c r="H1132" s="2">
        <v>1900000</v>
      </c>
      <c r="I1132" s="2">
        <v>7.2</v>
      </c>
      <c r="J1132" s="3">
        <v>7017178</v>
      </c>
      <c r="K1132">
        <f t="shared" si="42"/>
        <v>1.3775047412552699E-3</v>
      </c>
      <c r="R1132" s="12" t="str">
        <f ca="1">IFERROR(__xludf.DUMMYFUNCTION("""COMPUTED_VALUE"""),"The Sixth Sense ")</f>
        <v>The Sixth Sense </v>
      </c>
      <c r="S1132" s="12">
        <f t="shared" si="43"/>
        <v>-3771896</v>
      </c>
    </row>
    <row r="1133" spans="1:19" x14ac:dyDescent="0.3">
      <c r="A1133" s="2" t="s">
        <v>574</v>
      </c>
      <c r="B1133" s="2">
        <v>117</v>
      </c>
      <c r="C1133" s="3">
        <v>118683135</v>
      </c>
      <c r="D1133" s="3" t="s">
        <v>6151</v>
      </c>
      <c r="E1133" s="2" t="s">
        <v>687</v>
      </c>
      <c r="F1133" s="2" t="s">
        <v>10</v>
      </c>
      <c r="G1133" s="2" t="s">
        <v>11</v>
      </c>
      <c r="H1133" s="2">
        <v>80000000</v>
      </c>
      <c r="I1133" s="2">
        <v>6.4</v>
      </c>
      <c r="J1133" s="3">
        <v>7022940</v>
      </c>
      <c r="K1133">
        <f t="shared" si="42"/>
        <v>1.3775047412552699E-3</v>
      </c>
      <c r="R1133" s="12" t="str">
        <f ca="1">IFERROR(__xludf.DUMMYFUNCTION("""COMPUTED_VALUE"""),"Man on a Ledge ")</f>
        <v>Man on a Ledge </v>
      </c>
      <c r="S1133" s="12">
        <f t="shared" si="43"/>
        <v>-21784815</v>
      </c>
    </row>
    <row r="1134" spans="1:19" x14ac:dyDescent="0.3">
      <c r="A1134" s="2" t="s">
        <v>5045</v>
      </c>
      <c r="B1134" s="2">
        <v>92</v>
      </c>
      <c r="C1134" s="3">
        <v>100003492</v>
      </c>
      <c r="D1134" s="3" t="s">
        <v>5865</v>
      </c>
      <c r="E1134" s="2" t="s">
        <v>5046</v>
      </c>
      <c r="F1134" s="2" t="s">
        <v>10</v>
      </c>
      <c r="G1134" s="2" t="s">
        <v>11</v>
      </c>
      <c r="H1134" s="2">
        <v>2200000</v>
      </c>
      <c r="I1134" s="2">
        <v>4.7</v>
      </c>
      <c r="J1134" s="3">
        <v>7059537</v>
      </c>
      <c r="K1134">
        <f t="shared" si="42"/>
        <v>1.3775047412552699E-3</v>
      </c>
      <c r="R1134" s="12" t="str">
        <f ca="1">IFERROR(__xludf.DUMMYFUNCTION("""COMPUTED_VALUE"""),"The Big Year ")</f>
        <v>The Big Year </v>
      </c>
      <c r="S1134" s="12">
        <f t="shared" si="43"/>
        <v>106606210</v>
      </c>
    </row>
    <row r="1135" spans="1:19" x14ac:dyDescent="0.3">
      <c r="A1135" s="2" t="s">
        <v>4929</v>
      </c>
      <c r="B1135" s="2">
        <v>95</v>
      </c>
      <c r="C1135" s="3">
        <v>42272747</v>
      </c>
      <c r="D1135" s="3" t="s">
        <v>5910</v>
      </c>
      <c r="E1135" s="2" t="s">
        <v>4930</v>
      </c>
      <c r="F1135" s="2" t="s">
        <v>10</v>
      </c>
      <c r="G1135" s="2" t="s">
        <v>11</v>
      </c>
      <c r="H1135" s="2">
        <v>3000000</v>
      </c>
      <c r="I1135" s="2">
        <v>3.2</v>
      </c>
      <c r="J1135" s="3">
        <v>7060876</v>
      </c>
      <c r="K1135">
        <f t="shared" si="42"/>
        <v>1.3775047412552699E-3</v>
      </c>
      <c r="R1135" s="12" t="str">
        <f ca="1">IFERROR(__xludf.DUMMYFUNCTION("""COMPUTED_VALUE"""),"The Karate Kid ")</f>
        <v>The Karate Kid </v>
      </c>
      <c r="S1135" s="12">
        <f t="shared" si="43"/>
        <v>32927476</v>
      </c>
    </row>
    <row r="1136" spans="1:19" x14ac:dyDescent="0.3">
      <c r="A1136" s="2" t="s">
        <v>128</v>
      </c>
      <c r="B1136" s="2">
        <v>216</v>
      </c>
      <c r="C1136" s="3">
        <v>2000000</v>
      </c>
      <c r="D1136" s="3" t="s">
        <v>520</v>
      </c>
      <c r="E1136" s="2" t="s">
        <v>510</v>
      </c>
      <c r="F1136" s="2" t="s">
        <v>10</v>
      </c>
      <c r="G1136" s="2" t="s">
        <v>11</v>
      </c>
      <c r="H1136" s="2">
        <v>100000000</v>
      </c>
      <c r="I1136" s="2">
        <v>7.5</v>
      </c>
      <c r="J1136" s="3">
        <v>7097125</v>
      </c>
      <c r="K1136">
        <f t="shared" si="42"/>
        <v>1.3775047412552699E-3</v>
      </c>
      <c r="R1136" s="12" t="str">
        <f ca="1">IFERROR(__xludf.DUMMYFUNCTION("""COMPUTED_VALUE"""),"American Hustle ")</f>
        <v>American Hustle </v>
      </c>
      <c r="S1136" s="12">
        <f t="shared" si="43"/>
        <v>37474112</v>
      </c>
    </row>
    <row r="1137" spans="1:19" x14ac:dyDescent="0.3">
      <c r="A1137" s="2" t="s">
        <v>2310</v>
      </c>
      <c r="B1137" s="2">
        <v>93</v>
      </c>
      <c r="C1137" s="3">
        <v>140459099</v>
      </c>
      <c r="D1137" s="3" t="s">
        <v>5995</v>
      </c>
      <c r="E1137" s="2" t="s">
        <v>2311</v>
      </c>
      <c r="F1137" s="2" t="s">
        <v>10</v>
      </c>
      <c r="G1137" s="2" t="s">
        <v>11</v>
      </c>
      <c r="H1137" s="2">
        <v>30000000</v>
      </c>
      <c r="I1137" s="2">
        <v>5.0999999999999996</v>
      </c>
      <c r="J1137" s="3">
        <v>7098492</v>
      </c>
      <c r="K1137">
        <f t="shared" si="42"/>
        <v>1.3775047412552699E-3</v>
      </c>
      <c r="R1137" s="12" t="str">
        <f ca="1">IFERROR(__xludf.DUMMYFUNCTION("""COMPUTED_VALUE"""),"The Proposal ")</f>
        <v>The Proposal </v>
      </c>
      <c r="S1137" s="12">
        <f t="shared" si="43"/>
        <v>7592825</v>
      </c>
    </row>
    <row r="1138" spans="1:19" x14ac:dyDescent="0.3">
      <c r="A1138" s="2" t="s">
        <v>2939</v>
      </c>
      <c r="B1138" s="2">
        <v>101</v>
      </c>
      <c r="C1138" s="3">
        <v>181015141</v>
      </c>
      <c r="D1138" s="3" t="s">
        <v>5940</v>
      </c>
      <c r="E1138" s="2" t="s">
        <v>3451</v>
      </c>
      <c r="F1138" s="2" t="s">
        <v>10</v>
      </c>
      <c r="G1138" s="2" t="s">
        <v>11</v>
      </c>
      <c r="H1138" s="2">
        <v>15000000</v>
      </c>
      <c r="I1138" s="2">
        <v>6.2</v>
      </c>
      <c r="J1138" s="3">
        <v>7137502</v>
      </c>
      <c r="K1138">
        <f t="shared" si="42"/>
        <v>1.3775047412552699E-3</v>
      </c>
      <c r="R1138" s="12" t="str">
        <f ca="1">IFERROR(__xludf.DUMMYFUNCTION("""COMPUTED_VALUE"""),"Double Jeopardy ")</f>
        <v>Double Jeopardy </v>
      </c>
      <c r="S1138" s="12">
        <f t="shared" si="43"/>
        <v>-45000000</v>
      </c>
    </row>
    <row r="1139" spans="1:19" x14ac:dyDescent="0.3">
      <c r="A1139" s="2" t="s">
        <v>2216</v>
      </c>
      <c r="B1139" s="2">
        <v>98</v>
      </c>
      <c r="C1139" s="2">
        <v>13383737</v>
      </c>
      <c r="D1139" s="3" t="s">
        <v>5912</v>
      </c>
      <c r="E1139" s="2" t="s">
        <v>3002</v>
      </c>
      <c r="F1139" s="2" t="s">
        <v>10</v>
      </c>
      <c r="G1139" s="2" t="s">
        <v>11</v>
      </c>
      <c r="H1139" s="2">
        <v>20000000</v>
      </c>
      <c r="I1139" s="2">
        <v>7.5</v>
      </c>
      <c r="J1139" s="3">
        <v>7156725</v>
      </c>
      <c r="K1139">
        <f t="shared" si="42"/>
        <v>1.3775047412552699E-3</v>
      </c>
      <c r="R1139" s="12" t="str">
        <f ca="1">IFERROR(__xludf.DUMMYFUNCTION("""COMPUTED_VALUE"""),"Back to the Future Part II ")</f>
        <v>Back to the Future Part II </v>
      </c>
      <c r="S1139" s="12">
        <f t="shared" si="43"/>
        <v>-20164032</v>
      </c>
    </row>
    <row r="1140" spans="1:19" x14ac:dyDescent="0.3">
      <c r="A1140" s="2" t="s">
        <v>1677</v>
      </c>
      <c r="B1140" s="2">
        <v>116</v>
      </c>
      <c r="C1140" s="2">
        <v>89138076</v>
      </c>
      <c r="D1140" s="3" t="s">
        <v>6152</v>
      </c>
      <c r="E1140" s="2" t="s">
        <v>1678</v>
      </c>
      <c r="F1140" s="2" t="s">
        <v>10</v>
      </c>
      <c r="G1140" s="2" t="s">
        <v>11</v>
      </c>
      <c r="H1140" s="2">
        <v>40000000</v>
      </c>
      <c r="I1140" s="2">
        <v>5.5</v>
      </c>
      <c r="J1140" s="3">
        <v>7156933</v>
      </c>
      <c r="K1140">
        <f t="shared" si="42"/>
        <v>1.3775047412552699E-3</v>
      </c>
      <c r="R1140" s="12" t="str">
        <f ca="1">IFERROR(__xludf.DUMMYFUNCTION("""COMPUTED_VALUE"""),"Lucy ")</f>
        <v>Lucy </v>
      </c>
      <c r="S1140" s="12">
        <f t="shared" si="43"/>
        <v>-172703486</v>
      </c>
    </row>
    <row r="1141" spans="1:19" x14ac:dyDescent="0.3">
      <c r="A1141" s="2" t="s">
        <v>974</v>
      </c>
      <c r="B1141" s="2">
        <v>159</v>
      </c>
      <c r="C1141" s="3">
        <v>86300000</v>
      </c>
      <c r="D1141" s="3" t="s">
        <v>6051</v>
      </c>
      <c r="E1141" s="2" t="s">
        <v>975</v>
      </c>
      <c r="F1141" s="2" t="s">
        <v>10</v>
      </c>
      <c r="G1141" s="2" t="s">
        <v>16</v>
      </c>
      <c r="H1141" s="2">
        <v>65000000</v>
      </c>
      <c r="I1141" s="2">
        <v>7.3</v>
      </c>
      <c r="J1141" s="3">
        <v>7159147</v>
      </c>
      <c r="K1141">
        <f t="shared" si="42"/>
        <v>1.3775047412552699E-3</v>
      </c>
      <c r="R1141" s="12" t="str">
        <f ca="1">IFERROR(__xludf.DUMMYFUNCTION("""COMPUTED_VALUE"""),"Fifty Shades of Grey ")</f>
        <v>Fifty Shades of Grey </v>
      </c>
      <c r="S1141" s="12">
        <f t="shared" si="43"/>
        <v>28235441</v>
      </c>
    </row>
    <row r="1142" spans="1:19" x14ac:dyDescent="0.3">
      <c r="A1142" s="2" t="s">
        <v>930</v>
      </c>
      <c r="B1142" s="2">
        <v>141</v>
      </c>
      <c r="C1142" s="3">
        <v>130468626</v>
      </c>
      <c r="D1142" s="3" t="s">
        <v>5855</v>
      </c>
      <c r="E1142" s="2" t="s">
        <v>931</v>
      </c>
      <c r="F1142" s="2" t="s">
        <v>10</v>
      </c>
      <c r="G1142" s="2" t="s">
        <v>932</v>
      </c>
      <c r="H1142" s="2">
        <v>70000000</v>
      </c>
      <c r="I1142" s="2">
        <v>7.2</v>
      </c>
      <c r="J1142" s="3">
        <v>7186670</v>
      </c>
      <c r="K1142">
        <f t="shared" si="42"/>
        <v>1.3775047412552699E-3</v>
      </c>
      <c r="R1142" s="12" t="str">
        <f ca="1">IFERROR(__xludf.DUMMYFUNCTION("""COMPUTED_VALUE"""),"Spy Kids 3-D: Game Over ")</f>
        <v>Spy Kids 3-D: Game Over </v>
      </c>
      <c r="S1142" s="12">
        <f t="shared" si="43"/>
        <v>65500556</v>
      </c>
    </row>
    <row r="1143" spans="1:19" x14ac:dyDescent="0.3">
      <c r="A1143" s="2" t="s">
        <v>3514</v>
      </c>
      <c r="B1143" s="2">
        <v>109</v>
      </c>
      <c r="C1143" s="3">
        <v>9396487</v>
      </c>
      <c r="D1143" s="3" t="s">
        <v>5913</v>
      </c>
      <c r="E1143" s="2" t="s">
        <v>3741</v>
      </c>
      <c r="F1143" s="2" t="s">
        <v>10</v>
      </c>
      <c r="G1143" s="2" t="s">
        <v>11</v>
      </c>
      <c r="H1143" s="2">
        <v>13000000</v>
      </c>
      <c r="I1143" s="2">
        <v>6.1</v>
      </c>
      <c r="J1143" s="3">
        <v>7204138</v>
      </c>
      <c r="K1143">
        <f t="shared" si="42"/>
        <v>1.3775047412552699E-3</v>
      </c>
      <c r="R1143" s="12" t="str">
        <f ca="1">IFERROR(__xludf.DUMMYFUNCTION("""COMPUTED_VALUE"""),"A Time to Kill ")</f>
        <v>A Time to Kill </v>
      </c>
      <c r="S1143" s="12">
        <f t="shared" si="43"/>
        <v>96383624</v>
      </c>
    </row>
    <row r="1144" spans="1:19" x14ac:dyDescent="0.3">
      <c r="A1144" s="2" t="s">
        <v>1856</v>
      </c>
      <c r="B1144" s="2">
        <v>98</v>
      </c>
      <c r="C1144" s="3">
        <v>39989008</v>
      </c>
      <c r="D1144" s="3" t="s">
        <v>5869</v>
      </c>
      <c r="E1144" s="2" t="s">
        <v>2695</v>
      </c>
      <c r="F1144" s="2" t="s">
        <v>10</v>
      </c>
      <c r="G1144" s="2" t="s">
        <v>11</v>
      </c>
      <c r="H1144" s="2">
        <v>24000000</v>
      </c>
      <c r="I1144" s="2">
        <v>6.7</v>
      </c>
      <c r="J1144" s="3">
        <v>7219578</v>
      </c>
      <c r="K1144">
        <f t="shared" si="42"/>
        <v>1.3775047412552699E-3</v>
      </c>
      <c r="R1144" s="12" t="str">
        <f ca="1">IFERROR(__xludf.DUMMYFUNCTION("""COMPUTED_VALUE"""),"Cheaper by the Dozen ")</f>
        <v>Cheaper by the Dozen </v>
      </c>
      <c r="S1144" s="12">
        <f t="shared" si="43"/>
        <v>23452765</v>
      </c>
    </row>
    <row r="1145" spans="1:19" x14ac:dyDescent="0.3">
      <c r="A1145" s="2" t="s">
        <v>2398</v>
      </c>
      <c r="B1145" s="2">
        <v>90</v>
      </c>
      <c r="C1145" s="3">
        <v>4956401</v>
      </c>
      <c r="D1145" s="3" t="s">
        <v>5936</v>
      </c>
      <c r="E1145" s="2" t="s">
        <v>3183</v>
      </c>
      <c r="F1145" s="2" t="s">
        <v>10</v>
      </c>
      <c r="G1145" s="2" t="s">
        <v>11</v>
      </c>
      <c r="H1145" s="2">
        <v>18000000</v>
      </c>
      <c r="I1145" s="2">
        <v>6.5</v>
      </c>
      <c r="J1145" s="3">
        <v>7221458</v>
      </c>
      <c r="K1145">
        <f t="shared" si="42"/>
        <v>1.3775047412552699E-3</v>
      </c>
      <c r="R1145" s="12" t="str">
        <f ca="1">IFERROR(__xludf.DUMMYFUNCTION("""COMPUTED_VALUE"""),"Lone Survivor ")</f>
        <v>Lone Survivor </v>
      </c>
      <c r="S1145" s="12">
        <f t="shared" si="43"/>
        <v>18228696</v>
      </c>
    </row>
    <row r="1146" spans="1:19" x14ac:dyDescent="0.3">
      <c r="A1146" s="2" t="s">
        <v>638</v>
      </c>
      <c r="B1146" s="2">
        <v>97</v>
      </c>
      <c r="C1146" s="3">
        <v>8243880</v>
      </c>
      <c r="D1146" s="3" t="s">
        <v>5961</v>
      </c>
      <c r="E1146" s="2" t="s">
        <v>639</v>
      </c>
      <c r="F1146" s="2" t="s">
        <v>10</v>
      </c>
      <c r="G1146" s="2" t="s">
        <v>16</v>
      </c>
      <c r="H1146" s="2">
        <v>100000000</v>
      </c>
      <c r="I1146" s="2">
        <v>7.1</v>
      </c>
      <c r="J1146" s="3">
        <v>7262288</v>
      </c>
      <c r="K1146">
        <f t="shared" si="42"/>
        <v>1.3775047412552699E-3</v>
      </c>
      <c r="R1146" s="12" t="str">
        <f ca="1">IFERROR(__xludf.DUMMYFUNCTION("""COMPUTED_VALUE"""),"A League of Their Own ")</f>
        <v>A League of Their Own </v>
      </c>
      <c r="S1146" s="12">
        <f t="shared" si="43"/>
        <v>54562333</v>
      </c>
    </row>
    <row r="1147" spans="1:19" x14ac:dyDescent="0.3">
      <c r="A1147" s="2" t="s">
        <v>1354</v>
      </c>
      <c r="B1147" s="2">
        <v>108</v>
      </c>
      <c r="C1147" s="3">
        <v>116631310</v>
      </c>
      <c r="D1147" s="3" t="s">
        <v>5818</v>
      </c>
      <c r="E1147" s="2" t="s">
        <v>1994</v>
      </c>
      <c r="F1147" s="2" t="s">
        <v>10</v>
      </c>
      <c r="G1147" s="2" t="s">
        <v>98</v>
      </c>
      <c r="H1147" s="2">
        <v>30000000</v>
      </c>
      <c r="I1147" s="2">
        <v>5.3</v>
      </c>
      <c r="J1147" s="3">
        <v>7267324</v>
      </c>
      <c r="K1147">
        <f t="shared" si="42"/>
        <v>1.3775047412552699E-3</v>
      </c>
      <c r="R1147" s="12" t="str">
        <f ca="1">IFERROR(__xludf.DUMMYFUNCTION("""COMPUTED_VALUE"""),"The Conjuring 2 ")</f>
        <v>The Conjuring 2 </v>
      </c>
      <c r="S1147" s="12">
        <f t="shared" si="43"/>
        <v>26522352</v>
      </c>
    </row>
    <row r="1148" spans="1:19" x14ac:dyDescent="0.3">
      <c r="A1148" s="2" t="s">
        <v>197</v>
      </c>
      <c r="B1148" s="2">
        <v>129</v>
      </c>
      <c r="C1148" s="3">
        <v>31397498</v>
      </c>
      <c r="D1148" s="3" t="s">
        <v>6153</v>
      </c>
      <c r="E1148" s="2" t="s">
        <v>970</v>
      </c>
      <c r="F1148" s="2" t="s">
        <v>10</v>
      </c>
      <c r="G1148" s="2" t="s">
        <v>11</v>
      </c>
      <c r="H1148" s="2">
        <v>63000000</v>
      </c>
      <c r="I1148" s="2">
        <v>6</v>
      </c>
      <c r="J1148" s="3">
        <v>7268659</v>
      </c>
      <c r="K1148">
        <f t="shared" si="42"/>
        <v>1.3775047412552699E-3</v>
      </c>
      <c r="R1148" s="12" t="str">
        <f ca="1">IFERROR(__xludf.DUMMYFUNCTION("""COMPUTED_VALUE"""),"The Social Network ")</f>
        <v>The Social Network </v>
      </c>
      <c r="S1148" s="12">
        <f t="shared" si="43"/>
        <v>-11543550</v>
      </c>
    </row>
    <row r="1149" spans="1:19" x14ac:dyDescent="0.3">
      <c r="A1149" s="2" t="s">
        <v>4149</v>
      </c>
      <c r="B1149" s="2">
        <v>81</v>
      </c>
      <c r="C1149" s="3">
        <v>100117603</v>
      </c>
      <c r="D1149" s="3" t="s">
        <v>6154</v>
      </c>
      <c r="E1149" s="2" t="s">
        <v>4150</v>
      </c>
      <c r="F1149" s="2" t="s">
        <v>4151</v>
      </c>
      <c r="G1149" s="2" t="s">
        <v>4152</v>
      </c>
      <c r="H1149" s="2">
        <v>10000000</v>
      </c>
      <c r="I1149" s="2">
        <v>6.9</v>
      </c>
      <c r="J1149" s="3">
        <v>7282851</v>
      </c>
      <c r="K1149">
        <f t="shared" si="42"/>
        <v>1.3775047412552699E-3</v>
      </c>
      <c r="R1149" s="12" t="str">
        <f ca="1">IFERROR(__xludf.DUMMYFUNCTION("""COMPUTED_VALUE"""),"He's Just Not That Into You ")</f>
        <v>He's Just Not That Into You </v>
      </c>
      <c r="S1149" s="12">
        <f t="shared" si="43"/>
        <v>10218921</v>
      </c>
    </row>
    <row r="1150" spans="1:19" x14ac:dyDescent="0.3">
      <c r="A1150" s="2" t="s">
        <v>3516</v>
      </c>
      <c r="B1150" s="2">
        <v>94</v>
      </c>
      <c r="C1150" s="3">
        <v>66207920</v>
      </c>
      <c r="D1150" s="3" t="s">
        <v>5869</v>
      </c>
      <c r="E1150" s="2" t="s">
        <v>3517</v>
      </c>
      <c r="F1150" s="2" t="s">
        <v>10</v>
      </c>
      <c r="G1150" s="2" t="s">
        <v>11</v>
      </c>
      <c r="H1150" s="2">
        <v>15000000</v>
      </c>
      <c r="I1150" s="2">
        <v>5.5</v>
      </c>
      <c r="J1150" s="3">
        <v>7292175</v>
      </c>
      <c r="K1150">
        <f t="shared" si="42"/>
        <v>1.3775047412552699E-3</v>
      </c>
      <c r="R1150" s="12" t="str">
        <f ca="1">IFERROR(__xludf.DUMMYFUNCTION("""COMPUTED_VALUE"""),"Scary Movie 4 ")</f>
        <v>Scary Movie 4 </v>
      </c>
      <c r="S1150" s="12">
        <f t="shared" si="43"/>
        <v>10614236</v>
      </c>
    </row>
    <row r="1151" spans="1:19" x14ac:dyDescent="0.3">
      <c r="A1151" s="2" t="s">
        <v>1365</v>
      </c>
      <c r="B1151" s="2">
        <v>100</v>
      </c>
      <c r="C1151" s="3">
        <v>118500000</v>
      </c>
      <c r="D1151" s="3" t="s">
        <v>1703</v>
      </c>
      <c r="E1151" s="2" t="s">
        <v>2795</v>
      </c>
      <c r="F1151" s="2" t="s">
        <v>10</v>
      </c>
      <c r="G1151" s="2" t="s">
        <v>11</v>
      </c>
      <c r="H1151" s="2">
        <v>22000000</v>
      </c>
      <c r="I1151" s="2">
        <v>6.5</v>
      </c>
      <c r="J1151" s="3">
        <v>7362100</v>
      </c>
      <c r="K1151">
        <f t="shared" si="42"/>
        <v>1.3775047412552699E-3</v>
      </c>
      <c r="R1151" s="12" t="str">
        <f ca="1">IFERROR(__xludf.DUMMYFUNCTION("""COMPUTED_VALUE"""),"Scream 3 ")</f>
        <v>Scream 3 </v>
      </c>
      <c r="S1151" s="12">
        <f t="shared" si="43"/>
        <v>-9012238</v>
      </c>
    </row>
    <row r="1152" spans="1:19" x14ac:dyDescent="0.3">
      <c r="A1152" s="2" t="s">
        <v>574</v>
      </c>
      <c r="B1152" s="2">
        <v>102</v>
      </c>
      <c r="C1152" s="3">
        <v>110476776</v>
      </c>
      <c r="D1152" s="3" t="s">
        <v>5961</v>
      </c>
      <c r="E1152" s="2" t="s">
        <v>791</v>
      </c>
      <c r="F1152" s="2" t="s">
        <v>10</v>
      </c>
      <c r="G1152" s="2" t="s">
        <v>11</v>
      </c>
      <c r="H1152" s="2">
        <v>80000000</v>
      </c>
      <c r="I1152" s="2">
        <v>6</v>
      </c>
      <c r="J1152" s="3">
        <v>7369373</v>
      </c>
      <c r="K1152">
        <f t="shared" si="42"/>
        <v>1.3775047412552699E-3</v>
      </c>
      <c r="R1152" s="12" t="str">
        <f ca="1">IFERROR(__xludf.DUMMYFUNCTION("""COMPUTED_VALUE"""),"Back to the Future Part III ")</f>
        <v>Back to the Future Part III </v>
      </c>
      <c r="S1152" s="12">
        <f t="shared" si="43"/>
        <v>77243478</v>
      </c>
    </row>
    <row r="1153" spans="1:19" x14ac:dyDescent="0.3">
      <c r="A1153" s="2" t="s">
        <v>1160</v>
      </c>
      <c r="B1153" s="2">
        <v>107</v>
      </c>
      <c r="C1153" s="3">
        <v>31199215</v>
      </c>
      <c r="D1153" s="3" t="s">
        <v>5891</v>
      </c>
      <c r="E1153" s="2" t="s">
        <v>1161</v>
      </c>
      <c r="F1153" s="2" t="s">
        <v>10</v>
      </c>
      <c r="G1153" s="2" t="s">
        <v>16</v>
      </c>
      <c r="H1153" s="3">
        <v>45207112</v>
      </c>
      <c r="I1153" s="2">
        <v>5.5</v>
      </c>
      <c r="J1153" s="3">
        <v>7382993</v>
      </c>
      <c r="K1153">
        <f t="shared" si="42"/>
        <v>1.3775047412552699E-3</v>
      </c>
      <c r="R1153" s="12" t="str">
        <f ca="1">IFERROR(__xludf.DUMMYFUNCTION("""COMPUTED_VALUE"""),"Get Hard ")</f>
        <v>Get Hard </v>
      </c>
      <c r="S1153" s="12">
        <f t="shared" si="43"/>
        <v>72820094</v>
      </c>
    </row>
    <row r="1154" spans="1:19" x14ac:dyDescent="0.3">
      <c r="A1154" s="2" t="s">
        <v>965</v>
      </c>
      <c r="B1154" s="2">
        <v>134</v>
      </c>
      <c r="C1154" s="3">
        <v>118471320</v>
      </c>
      <c r="D1154" s="3" t="s">
        <v>5849</v>
      </c>
      <c r="E1154" s="2" t="s">
        <v>1115</v>
      </c>
      <c r="F1154" s="2" t="s">
        <v>10</v>
      </c>
      <c r="G1154" s="2" t="s">
        <v>11</v>
      </c>
      <c r="H1154" s="2">
        <v>60000000</v>
      </c>
      <c r="I1154" s="2">
        <v>7.4</v>
      </c>
      <c r="J1154" s="3">
        <v>7417210</v>
      </c>
      <c r="K1154">
        <f t="shared" ref="K1154:K1217" si="44">CORREL(H$2:H$3941,J$2:J$3941)</f>
        <v>1.3775047412552699E-3</v>
      </c>
      <c r="R1154" s="12" t="str">
        <f ca="1">IFERROR(__xludf.DUMMYFUNCTION("""COMPUTED_VALUE"""),"Bram Stoker's Dracula ")</f>
        <v>Bram Stoker's Dracula </v>
      </c>
      <c r="S1154" s="12">
        <f t="shared" si="43"/>
        <v>32631832</v>
      </c>
    </row>
    <row r="1155" spans="1:19" x14ac:dyDescent="0.3">
      <c r="A1155" s="2" t="s">
        <v>1557</v>
      </c>
      <c r="B1155" s="2">
        <v>123</v>
      </c>
      <c r="C1155" s="3">
        <v>25842000</v>
      </c>
      <c r="D1155" s="3" t="s">
        <v>5974</v>
      </c>
      <c r="E1155" s="2" t="s">
        <v>3800</v>
      </c>
      <c r="F1155" s="2" t="s">
        <v>10</v>
      </c>
      <c r="G1155" s="2" t="s">
        <v>11</v>
      </c>
      <c r="H1155" s="2">
        <v>12000000</v>
      </c>
      <c r="I1155" s="2">
        <v>7.4</v>
      </c>
      <c r="J1155" s="3">
        <v>7434726</v>
      </c>
      <c r="K1155">
        <f t="shared" si="44"/>
        <v>1.3775047412552699E-3</v>
      </c>
      <c r="R1155" s="12" t="str">
        <f ca="1">IFERROR(__xludf.DUMMYFUNCTION("""COMPUTED_VALUE"""),"Julie &amp; Julia ")</f>
        <v>Julie &amp; Julia </v>
      </c>
      <c r="S1155" s="12">
        <f t="shared" si="43"/>
        <v>38683135</v>
      </c>
    </row>
    <row r="1156" spans="1:19" x14ac:dyDescent="0.3">
      <c r="A1156" s="2" t="s">
        <v>5619</v>
      </c>
      <c r="B1156" s="2">
        <v>83</v>
      </c>
      <c r="C1156" s="2"/>
      <c r="D1156" s="3" t="s">
        <v>6125</v>
      </c>
      <c r="E1156" s="2" t="s">
        <v>5620</v>
      </c>
      <c r="F1156" s="2" t="s">
        <v>10</v>
      </c>
      <c r="G1156" s="2" t="s">
        <v>11</v>
      </c>
      <c r="H1156" s="2">
        <v>240000</v>
      </c>
      <c r="I1156" s="2">
        <v>6.5</v>
      </c>
      <c r="J1156" s="3">
        <v>7443007</v>
      </c>
      <c r="K1156">
        <f t="shared" si="44"/>
        <v>1.3775047412552699E-3</v>
      </c>
      <c r="R1156" s="12" t="str">
        <f ca="1">IFERROR(__xludf.DUMMYFUNCTION("""COMPUTED_VALUE"""),"42 ")</f>
        <v>42 </v>
      </c>
      <c r="S1156" s="12">
        <f t="shared" si="43"/>
        <v>97803492</v>
      </c>
    </row>
    <row r="1157" spans="1:19" x14ac:dyDescent="0.3">
      <c r="A1157" s="2" t="s">
        <v>4230</v>
      </c>
      <c r="B1157" s="2">
        <v>124</v>
      </c>
      <c r="C1157" s="3">
        <v>66489425</v>
      </c>
      <c r="D1157" s="3" t="s">
        <v>6155</v>
      </c>
      <c r="E1157" s="2" t="s">
        <v>5213</v>
      </c>
      <c r="F1157" s="2" t="s">
        <v>10</v>
      </c>
      <c r="G1157" s="2" t="s">
        <v>11</v>
      </c>
      <c r="H1157" s="2">
        <v>1700000</v>
      </c>
      <c r="I1157" s="2">
        <v>5.8</v>
      </c>
      <c r="J1157" s="3">
        <v>7455447</v>
      </c>
      <c r="K1157">
        <f t="shared" si="44"/>
        <v>1.3775047412552699E-3</v>
      </c>
      <c r="R1157" s="12" t="str">
        <f ca="1">IFERROR(__xludf.DUMMYFUNCTION("""COMPUTED_VALUE"""),"The Talented Mr. Ripley ")</f>
        <v>The Talented Mr. Ripley </v>
      </c>
      <c r="S1157" s="12">
        <f t="shared" si="43"/>
        <v>39272747</v>
      </c>
    </row>
    <row r="1158" spans="1:19" x14ac:dyDescent="0.3">
      <c r="A1158" s="2" t="s">
        <v>12</v>
      </c>
      <c r="B1158" s="2">
        <v>102</v>
      </c>
      <c r="C1158" s="3">
        <v>14942422</v>
      </c>
      <c r="D1158" s="3" t="s">
        <v>5910</v>
      </c>
      <c r="E1158" s="2" t="s">
        <v>3006</v>
      </c>
      <c r="F1158" s="2" t="s">
        <v>10</v>
      </c>
      <c r="G1158" s="2" t="s">
        <v>11</v>
      </c>
      <c r="H1158" s="2">
        <v>22000000</v>
      </c>
      <c r="I1158" s="2">
        <v>6.6</v>
      </c>
      <c r="J1158" s="3">
        <v>7458269</v>
      </c>
      <c r="K1158">
        <f t="shared" si="44"/>
        <v>1.3775047412552699E-3</v>
      </c>
      <c r="R1158" s="12" t="str">
        <f ca="1">IFERROR(__xludf.DUMMYFUNCTION("""COMPUTED_VALUE"""),"Dumb and Dumber To ")</f>
        <v>Dumb and Dumber To </v>
      </c>
      <c r="S1158" s="12">
        <f t="shared" si="43"/>
        <v>-98000000</v>
      </c>
    </row>
    <row r="1159" spans="1:19" x14ac:dyDescent="0.3">
      <c r="A1159" s="2" t="s">
        <v>21</v>
      </c>
      <c r="B1159" s="2">
        <v>156</v>
      </c>
      <c r="C1159" s="3">
        <v>20772796</v>
      </c>
      <c r="D1159" s="3" t="s">
        <v>5830</v>
      </c>
      <c r="E1159" s="2" t="s">
        <v>22</v>
      </c>
      <c r="F1159" s="2" t="s">
        <v>10</v>
      </c>
      <c r="G1159" s="2" t="s">
        <v>11</v>
      </c>
      <c r="H1159" s="2">
        <v>258000000</v>
      </c>
      <c r="I1159" s="2">
        <v>6.2</v>
      </c>
      <c r="J1159" s="3">
        <v>7486906</v>
      </c>
      <c r="K1159">
        <f t="shared" si="44"/>
        <v>1.3775047412552699E-3</v>
      </c>
      <c r="R1159" s="12" t="str">
        <f ca="1">IFERROR(__xludf.DUMMYFUNCTION("""COMPUTED_VALUE"""),"Eight Below ")</f>
        <v>Eight Below </v>
      </c>
      <c r="S1159" s="12">
        <f t="shared" si="43"/>
        <v>110459099</v>
      </c>
    </row>
    <row r="1160" spans="1:19" x14ac:dyDescent="0.3">
      <c r="A1160" s="2" t="s">
        <v>707</v>
      </c>
      <c r="B1160" s="2">
        <v>93</v>
      </c>
      <c r="C1160" s="3">
        <v>21413502</v>
      </c>
      <c r="D1160" s="3" t="s">
        <v>5919</v>
      </c>
      <c r="E1160" s="2" t="s">
        <v>1509</v>
      </c>
      <c r="F1160" s="2" t="s">
        <v>10</v>
      </c>
      <c r="G1160" s="2" t="s">
        <v>11</v>
      </c>
      <c r="H1160" s="2">
        <v>45000000</v>
      </c>
      <c r="I1160" s="2">
        <v>5.8</v>
      </c>
      <c r="J1160" s="3">
        <v>7496522</v>
      </c>
      <c r="K1160">
        <f t="shared" si="44"/>
        <v>1.3775047412552699E-3</v>
      </c>
      <c r="R1160" s="12" t="str">
        <f ca="1">IFERROR(__xludf.DUMMYFUNCTION("""COMPUTED_VALUE"""),"The Intern ")</f>
        <v>The Intern </v>
      </c>
      <c r="S1160" s="12">
        <f t="shared" si="43"/>
        <v>166015141</v>
      </c>
    </row>
    <row r="1161" spans="1:19" x14ac:dyDescent="0.3">
      <c r="A1161" s="2" t="s">
        <v>3664</v>
      </c>
      <c r="B1161" s="2">
        <v>84</v>
      </c>
      <c r="C1161" s="3">
        <v>71347010</v>
      </c>
      <c r="D1161" s="3" t="s">
        <v>5818</v>
      </c>
      <c r="E1161" s="2" t="s">
        <v>3665</v>
      </c>
      <c r="F1161" s="2" t="s">
        <v>10</v>
      </c>
      <c r="G1161" s="2" t="s">
        <v>11</v>
      </c>
      <c r="H1161" s="2">
        <v>8200000</v>
      </c>
      <c r="I1161" s="2">
        <v>6.1</v>
      </c>
      <c r="J1161" s="3">
        <v>7518876</v>
      </c>
      <c r="K1161">
        <f t="shared" si="44"/>
        <v>1.3775047412552699E-3</v>
      </c>
      <c r="R1161" s="12" t="str">
        <f ca="1">IFERROR(__xludf.DUMMYFUNCTION("""COMPUTED_VALUE"""),"Ride Along 2 ")</f>
        <v>Ride Along 2 </v>
      </c>
      <c r="S1161" s="12">
        <f t="shared" si="43"/>
        <v>-6616263</v>
      </c>
    </row>
    <row r="1162" spans="1:19" x14ac:dyDescent="0.3">
      <c r="A1162" s="2" t="s">
        <v>1793</v>
      </c>
      <c r="B1162" s="2">
        <v>114</v>
      </c>
      <c r="C1162" s="3">
        <v>39692139</v>
      </c>
      <c r="D1162" s="3" t="s">
        <v>5793</v>
      </c>
      <c r="E1162" s="2" t="s">
        <v>1794</v>
      </c>
      <c r="F1162" s="2" t="s">
        <v>10</v>
      </c>
      <c r="G1162" s="2" t="s">
        <v>932</v>
      </c>
      <c r="H1162" s="2">
        <v>45000000</v>
      </c>
      <c r="I1162" s="2">
        <v>7.6</v>
      </c>
      <c r="J1162" s="3">
        <v>7556708</v>
      </c>
      <c r="K1162">
        <f t="shared" si="44"/>
        <v>1.3775047412552699E-3</v>
      </c>
      <c r="R1162" s="12" t="str">
        <f ca="1">IFERROR(__xludf.DUMMYFUNCTION("""COMPUTED_VALUE"""),"The Last of the Mohicans ")</f>
        <v>The Last of the Mohicans </v>
      </c>
      <c r="S1162" s="12">
        <f t="shared" si="43"/>
        <v>49138076</v>
      </c>
    </row>
    <row r="1163" spans="1:19" x14ac:dyDescent="0.3">
      <c r="A1163" s="2" t="s">
        <v>1096</v>
      </c>
      <c r="B1163" s="2">
        <v>92</v>
      </c>
      <c r="C1163" s="3">
        <v>93815117</v>
      </c>
      <c r="D1163" s="3" t="s">
        <v>5799</v>
      </c>
      <c r="E1163" s="2" t="s">
        <v>4371</v>
      </c>
      <c r="F1163" s="2" t="s">
        <v>10</v>
      </c>
      <c r="G1163" s="2" t="s">
        <v>11</v>
      </c>
      <c r="H1163" s="2">
        <v>7000000</v>
      </c>
      <c r="I1163" s="2">
        <v>6.8</v>
      </c>
      <c r="J1163" s="3">
        <v>7563397</v>
      </c>
      <c r="K1163">
        <f t="shared" si="44"/>
        <v>1.3775047412552699E-3</v>
      </c>
      <c r="R1163" s="12" t="str">
        <f ca="1">IFERROR(__xludf.DUMMYFUNCTION("""COMPUTED_VALUE"""),"Ray ")</f>
        <v>Ray </v>
      </c>
      <c r="S1163" s="12">
        <f t="shared" si="43"/>
        <v>21300000</v>
      </c>
    </row>
    <row r="1164" spans="1:19" x14ac:dyDescent="0.3">
      <c r="A1164" s="2" t="s">
        <v>3424</v>
      </c>
      <c r="B1164" s="2">
        <v>119</v>
      </c>
      <c r="C1164" s="3">
        <v>54215416</v>
      </c>
      <c r="D1164" s="3" t="s">
        <v>5753</v>
      </c>
      <c r="E1164" s="2" t="s">
        <v>3425</v>
      </c>
      <c r="F1164" s="2" t="s">
        <v>10</v>
      </c>
      <c r="G1164" s="2" t="s">
        <v>11</v>
      </c>
      <c r="H1164" s="2">
        <v>15000000</v>
      </c>
      <c r="I1164" s="2">
        <v>4.9000000000000004</v>
      </c>
      <c r="J1164" s="3">
        <v>7563670</v>
      </c>
      <c r="K1164">
        <f t="shared" si="44"/>
        <v>1.3775047412552699E-3</v>
      </c>
      <c r="R1164" s="12" t="str">
        <f ca="1">IFERROR(__xludf.DUMMYFUNCTION("""COMPUTED_VALUE"""),"Sin City ")</f>
        <v>Sin City </v>
      </c>
      <c r="S1164" s="12">
        <f t="shared" si="43"/>
        <v>60468626</v>
      </c>
    </row>
    <row r="1165" spans="1:19" x14ac:dyDescent="0.3">
      <c r="A1165" s="2" t="s">
        <v>1354</v>
      </c>
      <c r="B1165" s="2">
        <v>108</v>
      </c>
      <c r="C1165" s="3">
        <v>11854694</v>
      </c>
      <c r="D1165" s="3" t="s">
        <v>5768</v>
      </c>
      <c r="E1165" s="2" t="s">
        <v>1994</v>
      </c>
      <c r="F1165" s="2" t="s">
        <v>10</v>
      </c>
      <c r="G1165" s="2" t="s">
        <v>98</v>
      </c>
      <c r="H1165" s="2">
        <v>30000000</v>
      </c>
      <c r="I1165" s="2">
        <v>5.3</v>
      </c>
      <c r="J1165" s="3">
        <v>7564000</v>
      </c>
      <c r="K1165">
        <f t="shared" si="44"/>
        <v>1.3775047412552699E-3</v>
      </c>
      <c r="R1165" s="12" t="str">
        <f ca="1">IFERROR(__xludf.DUMMYFUNCTION("""COMPUTED_VALUE"""),"Vantage Point ")</f>
        <v>Vantage Point </v>
      </c>
      <c r="S1165" s="12">
        <f t="shared" si="43"/>
        <v>-3603513</v>
      </c>
    </row>
    <row r="1166" spans="1:19" x14ac:dyDescent="0.3">
      <c r="A1166" s="2" t="s">
        <v>845</v>
      </c>
      <c r="B1166" s="2">
        <v>87</v>
      </c>
      <c r="C1166" s="3">
        <v>55473600</v>
      </c>
      <c r="D1166" s="3" t="s">
        <v>6049</v>
      </c>
      <c r="E1166" s="2" t="s">
        <v>846</v>
      </c>
      <c r="F1166" s="2" t="s">
        <v>10</v>
      </c>
      <c r="G1166" s="2" t="s">
        <v>11</v>
      </c>
      <c r="H1166" s="2">
        <v>75000000</v>
      </c>
      <c r="I1166" s="2">
        <v>7.4</v>
      </c>
      <c r="J1166" s="3">
        <v>7574066</v>
      </c>
      <c r="K1166">
        <f t="shared" si="44"/>
        <v>1.3775047412552699E-3</v>
      </c>
      <c r="R1166" s="12" t="str">
        <f ca="1">IFERROR(__xludf.DUMMYFUNCTION("""COMPUTED_VALUE"""),"I Love You, Man ")</f>
        <v>I Love You, Man </v>
      </c>
      <c r="S1166" s="12">
        <f t="shared" si="43"/>
        <v>15989008</v>
      </c>
    </row>
    <row r="1167" spans="1:19" x14ac:dyDescent="0.3">
      <c r="A1167" s="2" t="s">
        <v>3483</v>
      </c>
      <c r="B1167" s="2">
        <v>87</v>
      </c>
      <c r="C1167" s="3">
        <v>4000000</v>
      </c>
      <c r="D1167" s="3" t="s">
        <v>5808</v>
      </c>
      <c r="E1167" s="2" t="s">
        <v>3484</v>
      </c>
      <c r="F1167" s="2" t="s">
        <v>10</v>
      </c>
      <c r="G1167" s="2" t="s">
        <v>11</v>
      </c>
      <c r="H1167" s="2">
        <v>15000000</v>
      </c>
      <c r="I1167" s="2">
        <v>4.5</v>
      </c>
      <c r="J1167" s="3">
        <v>7605668</v>
      </c>
      <c r="K1167">
        <f t="shared" si="44"/>
        <v>1.3775047412552699E-3</v>
      </c>
      <c r="R1167" s="12" t="str">
        <f ca="1">IFERROR(__xludf.DUMMYFUNCTION("""COMPUTED_VALUE"""),"Shallow Hal ")</f>
        <v>Shallow Hal </v>
      </c>
      <c r="S1167" s="12">
        <f t="shared" si="43"/>
        <v>-13043599</v>
      </c>
    </row>
    <row r="1168" spans="1:19" x14ac:dyDescent="0.3">
      <c r="A1168" s="2" t="s">
        <v>436</v>
      </c>
      <c r="B1168" s="2">
        <v>97</v>
      </c>
      <c r="C1168" s="3">
        <v>14821531</v>
      </c>
      <c r="D1168" s="3" t="s">
        <v>5797</v>
      </c>
      <c r="E1168" s="2" t="s">
        <v>437</v>
      </c>
      <c r="F1168" s="2" t="s">
        <v>10</v>
      </c>
      <c r="G1168" s="2" t="s">
        <v>11</v>
      </c>
      <c r="H1168" s="2">
        <v>105000000</v>
      </c>
      <c r="I1168" s="2">
        <v>7.1</v>
      </c>
      <c r="J1168" s="3">
        <v>7659747</v>
      </c>
      <c r="K1168">
        <f t="shared" si="44"/>
        <v>1.3775047412552699E-3</v>
      </c>
      <c r="R1168" s="12" t="str">
        <f ca="1">IFERROR(__xludf.DUMMYFUNCTION("""COMPUTED_VALUE"""),"JFK ")</f>
        <v>JFK </v>
      </c>
      <c r="S1168" s="12">
        <f t="shared" si="43"/>
        <v>-91756120</v>
      </c>
    </row>
    <row r="1169" spans="1:19" x14ac:dyDescent="0.3">
      <c r="A1169" s="2" t="s">
        <v>1059</v>
      </c>
      <c r="B1169" s="2">
        <v>126</v>
      </c>
      <c r="C1169" s="3">
        <v>18621249</v>
      </c>
      <c r="D1169" s="3" t="s">
        <v>5973</v>
      </c>
      <c r="E1169" s="2" t="s">
        <v>1133</v>
      </c>
      <c r="F1169" s="2" t="s">
        <v>10</v>
      </c>
      <c r="G1169" s="2" t="s">
        <v>11</v>
      </c>
      <c r="H1169" s="2">
        <v>60000000</v>
      </c>
      <c r="I1169" s="2">
        <v>6.7</v>
      </c>
      <c r="J1169" s="3">
        <v>7689458</v>
      </c>
      <c r="K1169">
        <f t="shared" si="44"/>
        <v>1.3775047412552699E-3</v>
      </c>
      <c r="R1169" s="12" t="str">
        <f ca="1">IFERROR(__xludf.DUMMYFUNCTION("""COMPUTED_VALUE"""),"Big Momma's House 2 ")</f>
        <v>Big Momma's House 2 </v>
      </c>
      <c r="S1169" s="12">
        <f t="shared" si="43"/>
        <v>86631310</v>
      </c>
    </row>
    <row r="1170" spans="1:19" x14ac:dyDescent="0.3">
      <c r="A1170" s="2" t="s">
        <v>59</v>
      </c>
      <c r="B1170" s="2">
        <v>102</v>
      </c>
      <c r="C1170" s="3">
        <v>40485039</v>
      </c>
      <c r="D1170" s="3" t="s">
        <v>6082</v>
      </c>
      <c r="E1170" s="2" t="s">
        <v>202</v>
      </c>
      <c r="F1170" s="2" t="s">
        <v>10</v>
      </c>
      <c r="G1170" s="2" t="s">
        <v>11</v>
      </c>
      <c r="H1170" s="2">
        <v>150000000</v>
      </c>
      <c r="I1170" s="2">
        <v>6.4</v>
      </c>
      <c r="J1170" s="3">
        <v>7691700</v>
      </c>
      <c r="K1170">
        <f t="shared" si="44"/>
        <v>1.3775047412552699E-3</v>
      </c>
      <c r="R1170" s="12" t="str">
        <f ca="1">IFERROR(__xludf.DUMMYFUNCTION("""COMPUTED_VALUE"""),"The Mexican ")</f>
        <v>The Mexican </v>
      </c>
      <c r="S1170" s="12">
        <f t="shared" si="43"/>
        <v>-31602502</v>
      </c>
    </row>
    <row r="1171" spans="1:19" x14ac:dyDescent="0.3">
      <c r="A1171" s="2" t="s">
        <v>2072</v>
      </c>
      <c r="B1171" s="2">
        <v>98</v>
      </c>
      <c r="C1171" s="3">
        <v>33864342</v>
      </c>
      <c r="D1171" s="3" t="s">
        <v>5869</v>
      </c>
      <c r="E1171" s="2" t="s">
        <v>2728</v>
      </c>
      <c r="F1171" s="2" t="s">
        <v>10</v>
      </c>
      <c r="G1171" s="2" t="s">
        <v>11</v>
      </c>
      <c r="H1171" s="2">
        <v>24000000</v>
      </c>
      <c r="I1171" s="2">
        <v>6.5</v>
      </c>
      <c r="J1171" s="3">
        <v>7739049</v>
      </c>
      <c r="K1171">
        <f t="shared" si="44"/>
        <v>1.3775047412552699E-3</v>
      </c>
      <c r="R1171" s="12" t="str">
        <f ca="1">IFERROR(__xludf.DUMMYFUNCTION("""COMPUTED_VALUE"""),"17 Again ")</f>
        <v>17 Again </v>
      </c>
      <c r="S1171" s="12">
        <f t="shared" si="43"/>
        <v>90117603</v>
      </c>
    </row>
    <row r="1172" spans="1:19" x14ac:dyDescent="0.3">
      <c r="A1172" s="2" t="s">
        <v>2420</v>
      </c>
      <c r="B1172" s="2">
        <v>90</v>
      </c>
      <c r="C1172" s="3">
        <v>39568996</v>
      </c>
      <c r="D1172" s="3" t="s">
        <v>6156</v>
      </c>
      <c r="E1172" s="2" t="s">
        <v>5296</v>
      </c>
      <c r="F1172" s="2" t="s">
        <v>10</v>
      </c>
      <c r="G1172" s="2" t="s">
        <v>11</v>
      </c>
      <c r="H1172" s="2">
        <v>1000000</v>
      </c>
      <c r="I1172" s="2">
        <v>5.9</v>
      </c>
      <c r="J1172" s="3">
        <v>7757130</v>
      </c>
      <c r="K1172">
        <f t="shared" si="44"/>
        <v>1.3775047412552699E-3</v>
      </c>
      <c r="R1172" s="12" t="str">
        <f ca="1">IFERROR(__xludf.DUMMYFUNCTION("""COMPUTED_VALUE"""),"The Other Woman ")</f>
        <v>The Other Woman </v>
      </c>
      <c r="S1172" s="12">
        <f t="shared" si="43"/>
        <v>51207920</v>
      </c>
    </row>
    <row r="1173" spans="1:19" x14ac:dyDescent="0.3">
      <c r="A1173" s="2" t="s">
        <v>81</v>
      </c>
      <c r="B1173" s="2">
        <v>106</v>
      </c>
      <c r="C1173" s="3">
        <v>54540525</v>
      </c>
      <c r="D1173" s="3" t="s">
        <v>5910</v>
      </c>
      <c r="E1173" s="2" t="s">
        <v>82</v>
      </c>
      <c r="F1173" s="2" t="s">
        <v>10</v>
      </c>
      <c r="G1173" s="2" t="s">
        <v>11</v>
      </c>
      <c r="H1173" s="2">
        <v>200000000</v>
      </c>
      <c r="I1173" s="2">
        <v>6.3</v>
      </c>
      <c r="J1173" s="3">
        <v>7764027</v>
      </c>
      <c r="K1173">
        <f t="shared" si="44"/>
        <v>1.3775047412552699E-3</v>
      </c>
      <c r="R1173" s="12" t="str">
        <f ca="1">IFERROR(__xludf.DUMMYFUNCTION("""COMPUTED_VALUE"""),"The Final Destination ")</f>
        <v>The Final Destination </v>
      </c>
      <c r="S1173" s="12">
        <f t="shared" si="43"/>
        <v>96500000</v>
      </c>
    </row>
    <row r="1174" spans="1:19" x14ac:dyDescent="0.3">
      <c r="A1174" s="2" t="s">
        <v>2216</v>
      </c>
      <c r="B1174" s="2">
        <v>119</v>
      </c>
      <c r="C1174" s="2">
        <v>23089926</v>
      </c>
      <c r="D1174" s="3" t="s">
        <v>5973</v>
      </c>
      <c r="E1174" s="2" t="s">
        <v>3452</v>
      </c>
      <c r="F1174" s="2" t="s">
        <v>10</v>
      </c>
      <c r="G1174" s="2" t="s">
        <v>16</v>
      </c>
      <c r="H1174" s="2">
        <v>15000000</v>
      </c>
      <c r="I1174" s="2">
        <v>7.7</v>
      </c>
      <c r="J1174" s="3">
        <v>7774730</v>
      </c>
      <c r="K1174">
        <f t="shared" si="44"/>
        <v>1.3775047412552699E-3</v>
      </c>
      <c r="R1174" s="12" t="str">
        <f ca="1">IFERROR(__xludf.DUMMYFUNCTION("""COMPUTED_VALUE"""),"Bridge of Spies ")</f>
        <v>Bridge of Spies </v>
      </c>
      <c r="S1174" s="12">
        <f t="shared" si="43"/>
        <v>30476776</v>
      </c>
    </row>
    <row r="1175" spans="1:19" x14ac:dyDescent="0.3">
      <c r="A1175" s="2" t="s">
        <v>211</v>
      </c>
      <c r="B1175" s="2">
        <v>114</v>
      </c>
      <c r="C1175" s="3">
        <v>86208010</v>
      </c>
      <c r="D1175" s="3" t="s">
        <v>6157</v>
      </c>
      <c r="E1175" s="2" t="s">
        <v>423</v>
      </c>
      <c r="F1175" s="2" t="s">
        <v>10</v>
      </c>
      <c r="G1175" s="2" t="s">
        <v>11</v>
      </c>
      <c r="H1175" s="2">
        <v>110000000</v>
      </c>
      <c r="I1175" s="2">
        <v>6.7</v>
      </c>
      <c r="J1175" s="3">
        <v>7825820</v>
      </c>
      <c r="K1175">
        <f t="shared" si="44"/>
        <v>1.3775047412552699E-3</v>
      </c>
      <c r="R1175" s="12" t="str">
        <f ca="1">IFERROR(__xludf.DUMMYFUNCTION("""COMPUTED_VALUE"""),"Behind Enemy Lines ")</f>
        <v>Behind Enemy Lines </v>
      </c>
      <c r="S1175" s="12">
        <f t="shared" si="43"/>
        <v>-14007897</v>
      </c>
    </row>
    <row r="1176" spans="1:19" x14ac:dyDescent="0.3">
      <c r="A1176" s="2" t="s">
        <v>2281</v>
      </c>
      <c r="B1176" s="2">
        <v>108</v>
      </c>
      <c r="C1176" s="3">
        <v>144512310</v>
      </c>
      <c r="D1176" s="3" t="s">
        <v>5926</v>
      </c>
      <c r="E1176" s="2" t="s">
        <v>2282</v>
      </c>
      <c r="F1176" s="2" t="s">
        <v>10</v>
      </c>
      <c r="G1176" s="2" t="s">
        <v>11</v>
      </c>
      <c r="H1176" s="2">
        <v>30000000</v>
      </c>
      <c r="I1176" s="2">
        <v>5.9</v>
      </c>
      <c r="J1176" s="3">
        <v>7830611</v>
      </c>
      <c r="K1176">
        <f t="shared" si="44"/>
        <v>1.3775047412552699E-3</v>
      </c>
      <c r="R1176" s="12" t="str">
        <f ca="1">IFERROR(__xludf.DUMMYFUNCTION("""COMPUTED_VALUE"""),"Shall We Dance ")</f>
        <v>Shall We Dance </v>
      </c>
      <c r="S1176" s="12">
        <f t="shared" si="43"/>
        <v>58471320</v>
      </c>
    </row>
    <row r="1177" spans="1:19" x14ac:dyDescent="0.3">
      <c r="A1177" s="2" t="s">
        <v>369</v>
      </c>
      <c r="B1177" s="2">
        <v>112</v>
      </c>
      <c r="C1177" s="3">
        <v>33828318</v>
      </c>
      <c r="D1177" s="3" t="s">
        <v>5920</v>
      </c>
      <c r="E1177" s="2" t="s">
        <v>2737</v>
      </c>
      <c r="F1177" s="2" t="s">
        <v>10</v>
      </c>
      <c r="G1177" s="2" t="s">
        <v>11</v>
      </c>
      <c r="H1177" s="2">
        <v>23000000</v>
      </c>
      <c r="I1177" s="2">
        <v>7.1</v>
      </c>
      <c r="J1177" s="3">
        <v>7837632</v>
      </c>
      <c r="K1177">
        <f t="shared" si="44"/>
        <v>1.3775047412552699E-3</v>
      </c>
      <c r="R1177" s="12" t="str">
        <f ca="1">IFERROR(__xludf.DUMMYFUNCTION("""COMPUTED_VALUE"""),"Small Soldiers ")</f>
        <v>Small Soldiers </v>
      </c>
      <c r="S1177" s="12">
        <f t="shared" ref="S1177:S1240" si="45">C1155-H1155</f>
        <v>13842000</v>
      </c>
    </row>
    <row r="1178" spans="1:19" x14ac:dyDescent="0.3">
      <c r="A1178" s="2" t="s">
        <v>2965</v>
      </c>
      <c r="B1178" s="2">
        <v>98</v>
      </c>
      <c r="C1178" s="3">
        <v>12784397</v>
      </c>
      <c r="D1178" s="3" t="s">
        <v>5975</v>
      </c>
      <c r="E1178" s="2" t="s">
        <v>2966</v>
      </c>
      <c r="F1178" s="2" t="s">
        <v>10</v>
      </c>
      <c r="G1178" s="2" t="s">
        <v>11</v>
      </c>
      <c r="H1178" s="2">
        <v>20000000</v>
      </c>
      <c r="I1178" s="2">
        <v>5.4</v>
      </c>
      <c r="J1178" s="3">
        <v>7871693</v>
      </c>
      <c r="K1178">
        <f t="shared" si="44"/>
        <v>1.3775047412552699E-3</v>
      </c>
      <c r="R1178" s="12" t="str">
        <f ca="1">IFERROR(__xludf.DUMMYFUNCTION("""COMPUTED_VALUE"""),"Spawn ")</f>
        <v>Spawn </v>
      </c>
      <c r="S1178" s="12">
        <f t="shared" si="45"/>
        <v>-240000</v>
      </c>
    </row>
    <row r="1179" spans="1:19" x14ac:dyDescent="0.3">
      <c r="A1179" s="2" t="s">
        <v>4664</v>
      </c>
      <c r="B1179" s="2">
        <v>82</v>
      </c>
      <c r="C1179" s="3">
        <v>43601508</v>
      </c>
      <c r="D1179" s="3" t="s">
        <v>5767</v>
      </c>
      <c r="E1179" s="2" t="s">
        <v>4665</v>
      </c>
      <c r="F1179" s="2" t="s">
        <v>10</v>
      </c>
      <c r="G1179" s="2" t="s">
        <v>11</v>
      </c>
      <c r="H1179" s="2">
        <v>5000000</v>
      </c>
      <c r="I1179" s="2">
        <v>5.9</v>
      </c>
      <c r="J1179" s="3">
        <v>7881335</v>
      </c>
      <c r="K1179">
        <f t="shared" si="44"/>
        <v>1.3775047412552699E-3</v>
      </c>
      <c r="R1179" s="12" t="str">
        <f ca="1">IFERROR(__xludf.DUMMYFUNCTION("""COMPUTED_VALUE"""),"The Count of Monte Cristo ")</f>
        <v>The Count of Monte Cristo </v>
      </c>
      <c r="S1179" s="12">
        <f t="shared" si="45"/>
        <v>64789425</v>
      </c>
    </row>
    <row r="1180" spans="1:19" x14ac:dyDescent="0.3">
      <c r="A1180" s="2" t="s">
        <v>399</v>
      </c>
      <c r="B1180" s="2">
        <v>94</v>
      </c>
      <c r="C1180" s="3">
        <v>100018837</v>
      </c>
      <c r="D1180" s="3" t="s">
        <v>5887</v>
      </c>
      <c r="E1180" s="2" t="s">
        <v>756</v>
      </c>
      <c r="F1180" s="2" t="s">
        <v>10</v>
      </c>
      <c r="G1180" s="2" t="s">
        <v>11</v>
      </c>
      <c r="H1180" s="2">
        <v>79000000</v>
      </c>
      <c r="I1180" s="2">
        <v>5.8</v>
      </c>
      <c r="J1180" s="3">
        <v>7888703</v>
      </c>
      <c r="K1180">
        <f t="shared" si="44"/>
        <v>1.3775047412552699E-3</v>
      </c>
      <c r="R1180" s="12" t="str">
        <f ca="1">IFERROR(__xludf.DUMMYFUNCTION("""COMPUTED_VALUE"""),"The Lincoln Lawyer ")</f>
        <v>The Lincoln Lawyer </v>
      </c>
      <c r="S1180" s="12">
        <f t="shared" si="45"/>
        <v>-7057578</v>
      </c>
    </row>
    <row r="1181" spans="1:19" x14ac:dyDescent="0.3">
      <c r="A1181" s="2" t="s">
        <v>4527</v>
      </c>
      <c r="B1181" s="2">
        <v>101</v>
      </c>
      <c r="C1181" s="3">
        <v>8119205</v>
      </c>
      <c r="D1181" s="3" t="s">
        <v>5940</v>
      </c>
      <c r="E1181" s="2" t="s">
        <v>5089</v>
      </c>
      <c r="F1181" s="2" t="s">
        <v>10</v>
      </c>
      <c r="G1181" s="2" t="s">
        <v>11</v>
      </c>
      <c r="H1181" s="2">
        <v>2000000</v>
      </c>
      <c r="I1181" s="2">
        <v>6.5</v>
      </c>
      <c r="J1181" s="3">
        <v>7916887</v>
      </c>
      <c r="K1181">
        <f t="shared" si="44"/>
        <v>1.3775047412552699E-3</v>
      </c>
      <c r="R1181" s="12" t="str">
        <f ca="1">IFERROR(__xludf.DUMMYFUNCTION("""COMPUTED_VALUE"""),"Unknown ")</f>
        <v>Unknown </v>
      </c>
      <c r="S1181" s="12">
        <f t="shared" si="45"/>
        <v>-237227204</v>
      </c>
    </row>
    <row r="1182" spans="1:19" x14ac:dyDescent="0.3">
      <c r="A1182" s="2" t="s">
        <v>298</v>
      </c>
      <c r="B1182" s="2">
        <v>124</v>
      </c>
      <c r="C1182" s="3">
        <v>47375327</v>
      </c>
      <c r="D1182" s="3" t="s">
        <v>6148</v>
      </c>
      <c r="E1182" s="2" t="s">
        <v>2984</v>
      </c>
      <c r="F1182" s="2" t="s">
        <v>10</v>
      </c>
      <c r="G1182" s="2" t="s">
        <v>11</v>
      </c>
      <c r="H1182" s="2">
        <v>20000000</v>
      </c>
      <c r="I1182" s="2">
        <v>7.7</v>
      </c>
      <c r="J1182" s="3">
        <v>7918283</v>
      </c>
      <c r="K1182">
        <f t="shared" si="44"/>
        <v>1.3775047412552699E-3</v>
      </c>
      <c r="R1182" s="12" t="str">
        <f ca="1">IFERROR(__xludf.DUMMYFUNCTION("""COMPUTED_VALUE"""),"The Prestige ")</f>
        <v>The Prestige </v>
      </c>
      <c r="S1182" s="12">
        <f t="shared" si="45"/>
        <v>-23586498</v>
      </c>
    </row>
    <row r="1183" spans="1:19" x14ac:dyDescent="0.3">
      <c r="A1183" s="2" t="s">
        <v>549</v>
      </c>
      <c r="B1183" s="2">
        <v>116</v>
      </c>
      <c r="C1183" s="3">
        <v>14879556</v>
      </c>
      <c r="D1183" s="3" t="s">
        <v>5808</v>
      </c>
      <c r="E1183" s="2" t="s">
        <v>849</v>
      </c>
      <c r="F1183" s="2" t="s">
        <v>10</v>
      </c>
      <c r="G1183" s="2" t="s">
        <v>11</v>
      </c>
      <c r="H1183" s="2">
        <v>72000000</v>
      </c>
      <c r="I1183" s="2">
        <v>4.5</v>
      </c>
      <c r="J1183" s="3">
        <v>7948159</v>
      </c>
      <c r="K1183">
        <f t="shared" si="44"/>
        <v>1.3775047412552699E-3</v>
      </c>
      <c r="R1183" s="12" t="str">
        <f ca="1">IFERROR(__xludf.DUMMYFUNCTION("""COMPUTED_VALUE"""),"Horrible Bosses 2 ")</f>
        <v>Horrible Bosses 2 </v>
      </c>
      <c r="S1183" s="12">
        <f t="shared" si="45"/>
        <v>63147010</v>
      </c>
    </row>
    <row r="1184" spans="1:19" x14ac:dyDescent="0.3">
      <c r="A1184" s="2" t="s">
        <v>909</v>
      </c>
      <c r="B1184" s="2">
        <v>116</v>
      </c>
      <c r="C1184" s="3">
        <v>67344392</v>
      </c>
      <c r="D1184" s="3" t="s">
        <v>6156</v>
      </c>
      <c r="E1184" s="2" t="s">
        <v>1312</v>
      </c>
      <c r="F1184" s="2" t="s">
        <v>10</v>
      </c>
      <c r="G1184" s="2" t="s">
        <v>11</v>
      </c>
      <c r="H1184" s="2">
        <v>51000000</v>
      </c>
      <c r="I1184" s="2">
        <v>6.5</v>
      </c>
      <c r="J1184" s="3">
        <v>7993039</v>
      </c>
      <c r="K1184">
        <f t="shared" si="44"/>
        <v>1.3775047412552699E-3</v>
      </c>
      <c r="R1184" s="12" t="str">
        <f ca="1">IFERROR(__xludf.DUMMYFUNCTION("""COMPUTED_VALUE"""),"Escape from Planet Earth ")</f>
        <v>Escape from Planet Earth </v>
      </c>
      <c r="S1184" s="12">
        <f t="shared" si="45"/>
        <v>-5307861</v>
      </c>
    </row>
    <row r="1185" spans="1:19" x14ac:dyDescent="0.3">
      <c r="A1185" s="2" t="s">
        <v>5493</v>
      </c>
      <c r="B1185" s="2">
        <v>90</v>
      </c>
      <c r="C1185" s="3">
        <v>30307804</v>
      </c>
      <c r="D1185" s="3" t="s">
        <v>520</v>
      </c>
      <c r="E1185" s="2" t="s">
        <v>5494</v>
      </c>
      <c r="F1185" s="2" t="s">
        <v>10</v>
      </c>
      <c r="G1185" s="2" t="s">
        <v>11</v>
      </c>
      <c r="H1185" s="2">
        <v>500000</v>
      </c>
      <c r="I1185" s="2">
        <v>7.3</v>
      </c>
      <c r="J1185" s="3">
        <v>8000000</v>
      </c>
      <c r="K1185">
        <f t="shared" si="44"/>
        <v>1.3775047412552699E-3</v>
      </c>
      <c r="R1185" s="12" t="str">
        <f ca="1">IFERROR(__xludf.DUMMYFUNCTION("""COMPUTED_VALUE"""),"Apocalypto ")</f>
        <v>Apocalypto </v>
      </c>
      <c r="S1185" s="12">
        <f t="shared" si="45"/>
        <v>86815117</v>
      </c>
    </row>
    <row r="1186" spans="1:19" x14ac:dyDescent="0.3">
      <c r="A1186" s="2" t="s">
        <v>757</v>
      </c>
      <c r="B1186" s="2">
        <v>95</v>
      </c>
      <c r="C1186" s="3">
        <v>33685268</v>
      </c>
      <c r="D1186" s="3" t="s">
        <v>5940</v>
      </c>
      <c r="E1186" s="2" t="s">
        <v>758</v>
      </c>
      <c r="F1186" s="2" t="s">
        <v>10</v>
      </c>
      <c r="G1186" s="2" t="s">
        <v>11</v>
      </c>
      <c r="H1186" s="2">
        <v>78000000</v>
      </c>
      <c r="I1186" s="2">
        <v>6.5</v>
      </c>
      <c r="J1186" s="3">
        <v>8000000</v>
      </c>
      <c r="K1186">
        <f t="shared" si="44"/>
        <v>1.3775047412552699E-3</v>
      </c>
      <c r="R1186" s="12" t="str">
        <f ca="1">IFERROR(__xludf.DUMMYFUNCTION("""COMPUTED_VALUE"""),"The Living Daylights ")</f>
        <v>The Living Daylights </v>
      </c>
      <c r="S1186" s="12">
        <f t="shared" si="45"/>
        <v>39215416</v>
      </c>
    </row>
    <row r="1187" spans="1:19" x14ac:dyDescent="0.3">
      <c r="A1187" s="2" t="s">
        <v>464</v>
      </c>
      <c r="B1187" s="2">
        <v>91</v>
      </c>
      <c r="C1187" s="3">
        <v>90703745</v>
      </c>
      <c r="D1187" s="3" t="s">
        <v>1703</v>
      </c>
      <c r="E1187" s="2" t="s">
        <v>465</v>
      </c>
      <c r="F1187" s="2" t="s">
        <v>10</v>
      </c>
      <c r="G1187" s="2" t="s">
        <v>11</v>
      </c>
      <c r="H1187" s="2">
        <v>100000000</v>
      </c>
      <c r="I1187" s="2">
        <v>6.9</v>
      </c>
      <c r="J1187" s="3">
        <v>8000000</v>
      </c>
      <c r="K1187">
        <f t="shared" si="44"/>
        <v>1.3775047412552699E-3</v>
      </c>
      <c r="R1187" s="12" t="str">
        <f ca="1">IFERROR(__xludf.DUMMYFUNCTION("""COMPUTED_VALUE"""),"Predators ")</f>
        <v>Predators </v>
      </c>
      <c r="S1187" s="12">
        <f t="shared" si="45"/>
        <v>-18145306</v>
      </c>
    </row>
    <row r="1188" spans="1:19" x14ac:dyDescent="0.3">
      <c r="A1188" s="2" t="s">
        <v>4432</v>
      </c>
      <c r="B1188" s="2">
        <v>101</v>
      </c>
      <c r="C1188" s="3">
        <v>82389560</v>
      </c>
      <c r="D1188" s="3" t="s">
        <v>6049</v>
      </c>
      <c r="E1188" s="2" t="s">
        <v>4433</v>
      </c>
      <c r="F1188" s="2" t="s">
        <v>10</v>
      </c>
      <c r="G1188" s="2" t="s">
        <v>71</v>
      </c>
      <c r="H1188" s="2">
        <v>6900000</v>
      </c>
      <c r="I1188" s="2">
        <v>5.6</v>
      </c>
      <c r="J1188" s="3">
        <v>8025872</v>
      </c>
      <c r="K1188">
        <f t="shared" si="44"/>
        <v>1.3775047412552699E-3</v>
      </c>
      <c r="R1188" s="12" t="str">
        <f ca="1">IFERROR(__xludf.DUMMYFUNCTION("""COMPUTED_VALUE"""),"Legal Eagles ")</f>
        <v>Legal Eagles </v>
      </c>
      <c r="S1188" s="12">
        <f t="shared" si="45"/>
        <v>-19526400</v>
      </c>
    </row>
    <row r="1189" spans="1:19" x14ac:dyDescent="0.3">
      <c r="A1189" s="2" t="s">
        <v>1291</v>
      </c>
      <c r="B1189" s="2">
        <v>107</v>
      </c>
      <c r="C1189" s="3">
        <v>43532294</v>
      </c>
      <c r="D1189" s="3" t="s">
        <v>885</v>
      </c>
      <c r="E1189" s="2" t="s">
        <v>2020</v>
      </c>
      <c r="F1189" s="2" t="s">
        <v>10</v>
      </c>
      <c r="G1189" s="2" t="s">
        <v>11</v>
      </c>
      <c r="H1189" s="2">
        <v>55000000</v>
      </c>
      <c r="I1189" s="2">
        <v>7.4</v>
      </c>
      <c r="J1189" s="3">
        <v>8026971</v>
      </c>
      <c r="K1189">
        <f t="shared" si="44"/>
        <v>1.3775047412552699E-3</v>
      </c>
      <c r="R1189" s="12" t="str">
        <f ca="1">IFERROR(__xludf.DUMMYFUNCTION("""COMPUTED_VALUE"""),"Secret Window ")</f>
        <v>Secret Window </v>
      </c>
      <c r="S1189" s="12">
        <f t="shared" si="45"/>
        <v>-11000000</v>
      </c>
    </row>
    <row r="1190" spans="1:19" x14ac:dyDescent="0.3">
      <c r="A1190" s="2" t="s">
        <v>93</v>
      </c>
      <c r="B1190" s="2">
        <v>127</v>
      </c>
      <c r="C1190" s="3">
        <v>32048809</v>
      </c>
      <c r="D1190" s="3" t="s">
        <v>6069</v>
      </c>
      <c r="E1190" s="2" t="s">
        <v>271</v>
      </c>
      <c r="F1190" s="2" t="s">
        <v>10</v>
      </c>
      <c r="G1190" s="2" t="s">
        <v>11</v>
      </c>
      <c r="H1190" s="2">
        <v>150000000</v>
      </c>
      <c r="I1190" s="2">
        <v>8</v>
      </c>
      <c r="J1190" s="3">
        <v>8047690</v>
      </c>
      <c r="K1190">
        <f t="shared" si="44"/>
        <v>1.3775047412552699E-3</v>
      </c>
      <c r="R1190" s="12" t="str">
        <f ca="1">IFERROR(__xludf.DUMMYFUNCTION("""COMPUTED_VALUE"""),"The Lake House ")</f>
        <v>The Lake House </v>
      </c>
      <c r="S1190" s="12">
        <f t="shared" si="45"/>
        <v>-90178469</v>
      </c>
    </row>
    <row r="1191" spans="1:19" x14ac:dyDescent="0.3">
      <c r="A1191" s="2" t="s">
        <v>175</v>
      </c>
      <c r="B1191" s="2">
        <v>120</v>
      </c>
      <c r="C1191" s="3">
        <v>31165421</v>
      </c>
      <c r="D1191" s="3" t="s">
        <v>5940</v>
      </c>
      <c r="E1191" s="2" t="s">
        <v>1673</v>
      </c>
      <c r="F1191" s="2" t="s">
        <v>10</v>
      </c>
      <c r="G1191" s="2" t="s">
        <v>11</v>
      </c>
      <c r="H1191" s="2">
        <v>40000000</v>
      </c>
      <c r="I1191" s="2">
        <v>7.7</v>
      </c>
      <c r="J1191" s="3">
        <v>8054280</v>
      </c>
      <c r="K1191">
        <f t="shared" si="44"/>
        <v>1.3775047412552699E-3</v>
      </c>
      <c r="R1191" s="12" t="str">
        <f ca="1">IFERROR(__xludf.DUMMYFUNCTION("""COMPUTED_VALUE"""),"The Skeleton Key ")</f>
        <v>The Skeleton Key </v>
      </c>
      <c r="S1191" s="12">
        <f t="shared" si="45"/>
        <v>-41378751</v>
      </c>
    </row>
    <row r="1192" spans="1:19" x14ac:dyDescent="0.3">
      <c r="A1192" s="2" t="s">
        <v>544</v>
      </c>
      <c r="B1192" s="2">
        <v>103</v>
      </c>
      <c r="C1192" s="3">
        <v>54098051</v>
      </c>
      <c r="D1192" s="3" t="s">
        <v>6158</v>
      </c>
      <c r="E1192" s="2" t="s">
        <v>1982</v>
      </c>
      <c r="F1192" s="2" t="s">
        <v>10</v>
      </c>
      <c r="G1192" s="2" t="s">
        <v>71</v>
      </c>
      <c r="H1192" s="2">
        <v>35000000</v>
      </c>
      <c r="I1192" s="2">
        <v>5.4</v>
      </c>
      <c r="J1192" s="3">
        <v>8070311</v>
      </c>
      <c r="K1192">
        <f t="shared" si="44"/>
        <v>1.3775047412552699E-3</v>
      </c>
      <c r="R1192" s="12" t="str">
        <f ca="1">IFERROR(__xludf.DUMMYFUNCTION("""COMPUTED_VALUE"""),"The Odd Life of Timothy Green ")</f>
        <v>The Odd Life of Timothy Green </v>
      </c>
      <c r="S1192" s="12">
        <f t="shared" si="45"/>
        <v>-109514961</v>
      </c>
    </row>
    <row r="1193" spans="1:19" x14ac:dyDescent="0.3">
      <c r="A1193" s="2" t="s">
        <v>311</v>
      </c>
      <c r="B1193" s="2">
        <v>94</v>
      </c>
      <c r="C1193" s="3">
        <v>39552600</v>
      </c>
      <c r="D1193" s="3" t="s">
        <v>6159</v>
      </c>
      <c r="E1193" s="2" t="s">
        <v>312</v>
      </c>
      <c r="F1193" s="2" t="s">
        <v>10</v>
      </c>
      <c r="G1193" s="2" t="s">
        <v>11</v>
      </c>
      <c r="H1193" s="2">
        <v>135000000</v>
      </c>
      <c r="I1193" s="2">
        <v>6.7</v>
      </c>
      <c r="J1193" s="3">
        <v>8080116</v>
      </c>
      <c r="K1193">
        <f t="shared" si="44"/>
        <v>1.3775047412552699E-3</v>
      </c>
      <c r="R1193" s="12" t="str">
        <f ca="1">IFERROR(__xludf.DUMMYFUNCTION("""COMPUTED_VALUE"""),"Made of Honor ")</f>
        <v>Made of Honor </v>
      </c>
      <c r="S1193" s="12">
        <f t="shared" si="45"/>
        <v>9864342</v>
      </c>
    </row>
    <row r="1194" spans="1:19" x14ac:dyDescent="0.3">
      <c r="A1194" s="2" t="s">
        <v>197</v>
      </c>
      <c r="B1194" s="2">
        <v>156</v>
      </c>
      <c r="C1194" s="3">
        <v>31179516</v>
      </c>
      <c r="D1194" s="3" t="s">
        <v>6160</v>
      </c>
      <c r="E1194" s="2" t="s">
        <v>1058</v>
      </c>
      <c r="F1194" s="2" t="s">
        <v>10</v>
      </c>
      <c r="G1194" s="2" t="s">
        <v>11</v>
      </c>
      <c r="H1194" s="2">
        <v>55000000</v>
      </c>
      <c r="I1194" s="2">
        <v>6.8</v>
      </c>
      <c r="J1194" s="3">
        <v>8093318</v>
      </c>
      <c r="K1194">
        <f t="shared" si="44"/>
        <v>1.3775047412552699E-3</v>
      </c>
      <c r="R1194" s="12" t="str">
        <f ca="1">IFERROR(__xludf.DUMMYFUNCTION("""COMPUTED_VALUE"""),"Jersey Boys ")</f>
        <v>Jersey Boys </v>
      </c>
      <c r="S1194" s="12">
        <f t="shared" si="45"/>
        <v>38568996</v>
      </c>
    </row>
    <row r="1195" spans="1:19" x14ac:dyDescent="0.3">
      <c r="A1195" s="2" t="s">
        <v>197</v>
      </c>
      <c r="B1195" s="2">
        <v>141</v>
      </c>
      <c r="C1195" s="3">
        <v>31155435</v>
      </c>
      <c r="D1195" s="3" t="s">
        <v>5849</v>
      </c>
      <c r="E1195" s="2" t="s">
        <v>1548</v>
      </c>
      <c r="F1195" s="2" t="s">
        <v>10</v>
      </c>
      <c r="G1195" s="2" t="s">
        <v>11</v>
      </c>
      <c r="H1195" s="2">
        <v>45000000</v>
      </c>
      <c r="I1195" s="2">
        <v>6.5</v>
      </c>
      <c r="J1195" s="3">
        <v>8104069</v>
      </c>
      <c r="K1195">
        <f t="shared" si="44"/>
        <v>1.3775047412552699E-3</v>
      </c>
      <c r="R1195" s="12" t="str">
        <f ca="1">IFERROR(__xludf.DUMMYFUNCTION("""COMPUTED_VALUE"""),"The Rainmaker ")</f>
        <v>The Rainmaker </v>
      </c>
      <c r="S1195" s="12">
        <f t="shared" si="45"/>
        <v>-145459475</v>
      </c>
    </row>
    <row r="1196" spans="1:19" x14ac:dyDescent="0.3">
      <c r="A1196" s="2" t="s">
        <v>2212</v>
      </c>
      <c r="B1196" s="2">
        <v>78</v>
      </c>
      <c r="C1196" s="3">
        <v>94125426</v>
      </c>
      <c r="D1196" s="3" t="s">
        <v>6161</v>
      </c>
      <c r="E1196" s="2" t="s">
        <v>5653</v>
      </c>
      <c r="F1196" s="2" t="s">
        <v>10</v>
      </c>
      <c r="G1196" s="2" t="s">
        <v>11</v>
      </c>
      <c r="H1196" s="3">
        <v>474544677</v>
      </c>
      <c r="I1196" s="2">
        <v>6.3</v>
      </c>
      <c r="J1196" s="3">
        <v>8108247</v>
      </c>
      <c r="K1196">
        <f t="shared" si="44"/>
        <v>1.3775047412552699E-3</v>
      </c>
      <c r="R1196" s="12" t="str">
        <f ca="1">IFERROR(__xludf.DUMMYFUNCTION("""COMPUTED_VALUE"""),"Gothika ")</f>
        <v>Gothika </v>
      </c>
      <c r="S1196" s="12">
        <f t="shared" si="45"/>
        <v>8089926</v>
      </c>
    </row>
    <row r="1197" spans="1:19" x14ac:dyDescent="0.3">
      <c r="A1197" s="2" t="s">
        <v>1782</v>
      </c>
      <c r="B1197" s="2">
        <v>128</v>
      </c>
      <c r="C1197" s="3">
        <v>54132596</v>
      </c>
      <c r="D1197" s="3" t="s">
        <v>5999</v>
      </c>
      <c r="E1197" s="2" t="s">
        <v>1783</v>
      </c>
      <c r="F1197" s="2" t="s">
        <v>10</v>
      </c>
      <c r="G1197" s="2" t="s">
        <v>11</v>
      </c>
      <c r="H1197" s="2">
        <v>60000000</v>
      </c>
      <c r="I1197" s="2">
        <v>5.9</v>
      </c>
      <c r="J1197" s="3">
        <v>8111360</v>
      </c>
      <c r="K1197">
        <f t="shared" si="44"/>
        <v>1.3775047412552699E-3</v>
      </c>
      <c r="R1197" s="12" t="str">
        <f ca="1">IFERROR(__xludf.DUMMYFUNCTION("""COMPUTED_VALUE"""),"Amistad ")</f>
        <v>Amistad </v>
      </c>
      <c r="S1197" s="12">
        <f t="shared" si="45"/>
        <v>-23791990</v>
      </c>
    </row>
    <row r="1198" spans="1:19" x14ac:dyDescent="0.3">
      <c r="A1198" s="2" t="s">
        <v>1502</v>
      </c>
      <c r="B1198" s="2">
        <v>127</v>
      </c>
      <c r="C1198" s="3">
        <v>100012500</v>
      </c>
      <c r="D1198" s="3" t="s">
        <v>5963</v>
      </c>
      <c r="E1198" s="2" t="s">
        <v>1503</v>
      </c>
      <c r="F1198" s="2" t="s">
        <v>10</v>
      </c>
      <c r="G1198" s="2" t="s">
        <v>16</v>
      </c>
      <c r="H1198" s="2">
        <v>25000000</v>
      </c>
      <c r="I1198" s="2">
        <v>7.3</v>
      </c>
      <c r="J1198" s="3">
        <v>8114507</v>
      </c>
      <c r="K1198">
        <f t="shared" si="44"/>
        <v>1.3775047412552699E-3</v>
      </c>
      <c r="R1198" s="12" t="str">
        <f ca="1">IFERROR(__xludf.DUMMYFUNCTION("""COMPUTED_VALUE"""),"Medicine Man ")</f>
        <v>Medicine Man </v>
      </c>
      <c r="S1198" s="12">
        <f t="shared" si="45"/>
        <v>114512310</v>
      </c>
    </row>
    <row r="1199" spans="1:19" x14ac:dyDescent="0.3">
      <c r="A1199" s="2" t="s">
        <v>900</v>
      </c>
      <c r="B1199" s="2">
        <v>125</v>
      </c>
      <c r="C1199" s="3">
        <v>20113965</v>
      </c>
      <c r="D1199" s="3" t="s">
        <v>6162</v>
      </c>
      <c r="E1199" s="2" t="s">
        <v>901</v>
      </c>
      <c r="F1199" s="2" t="s">
        <v>10</v>
      </c>
      <c r="G1199" s="2" t="s">
        <v>11</v>
      </c>
      <c r="H1199" s="2">
        <v>60000000</v>
      </c>
      <c r="I1199" s="2">
        <v>6.3</v>
      </c>
      <c r="J1199" s="3">
        <v>8119205</v>
      </c>
      <c r="K1199">
        <f t="shared" si="44"/>
        <v>1.3775047412552699E-3</v>
      </c>
      <c r="R1199" s="12" t="str">
        <f ca="1">IFERROR(__xludf.DUMMYFUNCTION("""COMPUTED_VALUE"""),"Aliens vs. Predator: Requiem ")</f>
        <v>Aliens vs. Predator: Requiem </v>
      </c>
      <c r="S1199" s="12">
        <f t="shared" si="45"/>
        <v>10828318</v>
      </c>
    </row>
    <row r="1200" spans="1:19" x14ac:dyDescent="0.3">
      <c r="A1200" s="2" t="s">
        <v>949</v>
      </c>
      <c r="B1200" s="2">
        <v>112</v>
      </c>
      <c r="C1200" s="3">
        <v>8326035</v>
      </c>
      <c r="D1200" s="3" t="s">
        <v>520</v>
      </c>
      <c r="E1200" s="2" t="s">
        <v>2364</v>
      </c>
      <c r="F1200" s="2" t="s">
        <v>10</v>
      </c>
      <c r="G1200" s="2" t="s">
        <v>11</v>
      </c>
      <c r="H1200" s="2">
        <v>28000000</v>
      </c>
      <c r="I1200" s="2">
        <v>6.9</v>
      </c>
      <c r="J1200" s="3">
        <v>8129455</v>
      </c>
      <c r="K1200">
        <f t="shared" si="44"/>
        <v>1.3775047412552699E-3</v>
      </c>
      <c r="R1200" s="12" t="str">
        <f ca="1">IFERROR(__xludf.DUMMYFUNCTION("""COMPUTED_VALUE"""),"Ri¢hie Ri¢h ")</f>
        <v>Ri¢hie Ri¢h </v>
      </c>
      <c r="S1200" s="12">
        <f t="shared" si="45"/>
        <v>-7215603</v>
      </c>
    </row>
    <row r="1201" spans="1:19" x14ac:dyDescent="0.3">
      <c r="A1201" s="2" t="s">
        <v>5480</v>
      </c>
      <c r="B1201" s="2">
        <v>108</v>
      </c>
      <c r="C1201" s="3">
        <v>47396698</v>
      </c>
      <c r="D1201" s="3" t="s">
        <v>6056</v>
      </c>
      <c r="E1201" s="2" t="s">
        <v>5481</v>
      </c>
      <c r="F1201" s="2" t="s">
        <v>10</v>
      </c>
      <c r="G1201" s="2" t="s">
        <v>11</v>
      </c>
      <c r="H1201" s="2">
        <v>500000</v>
      </c>
      <c r="I1201" s="2">
        <v>7.6</v>
      </c>
      <c r="J1201" s="3">
        <v>8134217</v>
      </c>
      <c r="K1201">
        <f t="shared" si="44"/>
        <v>1.3775047412552699E-3</v>
      </c>
      <c r="R1201" s="12" t="str">
        <f ca="1">IFERROR(__xludf.DUMMYFUNCTION("""COMPUTED_VALUE"""),"Autumn in New York ")</f>
        <v>Autumn in New York </v>
      </c>
      <c r="S1201" s="12">
        <f t="shared" si="45"/>
        <v>38601508</v>
      </c>
    </row>
    <row r="1202" spans="1:19" x14ac:dyDescent="0.3">
      <c r="A1202" s="2" t="s">
        <v>5703</v>
      </c>
      <c r="B1202" s="2">
        <v>96</v>
      </c>
      <c r="C1202" s="3">
        <v>86049418</v>
      </c>
      <c r="D1202" s="3" t="s">
        <v>5756</v>
      </c>
      <c r="E1202" s="2" t="s">
        <v>5704</v>
      </c>
      <c r="F1202" s="2" t="s">
        <v>10</v>
      </c>
      <c r="G1202" s="2" t="s">
        <v>11</v>
      </c>
      <c r="H1202" s="3">
        <v>474544677</v>
      </c>
      <c r="I1202" s="2">
        <v>5.5</v>
      </c>
      <c r="J1202" s="3">
        <v>8243880</v>
      </c>
      <c r="K1202">
        <f t="shared" si="44"/>
        <v>1.3775047412552699E-3</v>
      </c>
      <c r="R1202" s="12" t="str">
        <f ca="1">IFERROR(__xludf.DUMMYFUNCTION("""COMPUTED_VALUE"""),"Paul ")</f>
        <v>Paul </v>
      </c>
      <c r="S1202" s="12">
        <f t="shared" si="45"/>
        <v>21018837</v>
      </c>
    </row>
    <row r="1203" spans="1:19" x14ac:dyDescent="0.3">
      <c r="A1203" s="2" t="s">
        <v>882</v>
      </c>
      <c r="B1203" s="2">
        <v>93</v>
      </c>
      <c r="C1203" s="3">
        <v>61094903</v>
      </c>
      <c r="D1203" s="3" t="s">
        <v>6141</v>
      </c>
      <c r="E1203" s="2" t="s">
        <v>4361</v>
      </c>
      <c r="F1203" s="2" t="s">
        <v>10</v>
      </c>
      <c r="G1203" s="2" t="s">
        <v>11</v>
      </c>
      <c r="H1203" s="2">
        <v>7500000</v>
      </c>
      <c r="I1203" s="2">
        <v>7.5</v>
      </c>
      <c r="J1203" s="3">
        <v>8279017</v>
      </c>
      <c r="K1203">
        <f t="shared" si="44"/>
        <v>1.3775047412552699E-3</v>
      </c>
      <c r="R1203" s="12" t="str">
        <f ca="1">IFERROR(__xludf.DUMMYFUNCTION("""COMPUTED_VALUE"""),"The Guilt Trip ")</f>
        <v>The Guilt Trip </v>
      </c>
      <c r="S1203" s="12">
        <f t="shared" si="45"/>
        <v>6119205</v>
      </c>
    </row>
    <row r="1204" spans="1:19" x14ac:dyDescent="0.3">
      <c r="A1204" s="2" t="s">
        <v>45</v>
      </c>
      <c r="B1204" s="2">
        <v>186</v>
      </c>
      <c r="C1204" s="3">
        <v>15156200</v>
      </c>
      <c r="D1204" s="3" t="s">
        <v>5767</v>
      </c>
      <c r="E1204" s="2" t="s">
        <v>52</v>
      </c>
      <c r="F1204" s="2" t="s">
        <v>10</v>
      </c>
      <c r="G1204" s="2" t="s">
        <v>11</v>
      </c>
      <c r="H1204" s="2">
        <v>225000000</v>
      </c>
      <c r="I1204" s="2">
        <v>7.9</v>
      </c>
      <c r="J1204" s="3">
        <v>8324748</v>
      </c>
      <c r="K1204">
        <f t="shared" si="44"/>
        <v>1.3775047412552699E-3</v>
      </c>
      <c r="R1204" s="12" t="str">
        <f ca="1">IFERROR(__xludf.DUMMYFUNCTION("""COMPUTED_VALUE"""),"Scream 4 ")</f>
        <v>Scream 4 </v>
      </c>
      <c r="S1204" s="12">
        <f t="shared" si="45"/>
        <v>27375327</v>
      </c>
    </row>
    <row r="1205" spans="1:19" x14ac:dyDescent="0.3">
      <c r="A1205" s="2" t="s">
        <v>1242</v>
      </c>
      <c r="B1205" s="2">
        <v>132</v>
      </c>
      <c r="C1205" s="2">
        <v>204565000</v>
      </c>
      <c r="D1205" s="3" t="s">
        <v>6163</v>
      </c>
      <c r="E1205" s="2" t="s">
        <v>3763</v>
      </c>
      <c r="F1205" s="2" t="s">
        <v>10</v>
      </c>
      <c r="G1205" s="2" t="s">
        <v>11</v>
      </c>
      <c r="H1205" s="2">
        <v>8000000</v>
      </c>
      <c r="I1205" s="2">
        <v>8</v>
      </c>
      <c r="J1205" s="3">
        <v>8326035</v>
      </c>
      <c r="K1205">
        <f t="shared" si="44"/>
        <v>1.3775047412552699E-3</v>
      </c>
      <c r="R1205" s="12" t="str">
        <f ca="1">IFERROR(__xludf.DUMMYFUNCTION("""COMPUTED_VALUE"""),"8MM ")</f>
        <v>8MM </v>
      </c>
      <c r="S1205" s="12">
        <f t="shared" si="45"/>
        <v>-57120444</v>
      </c>
    </row>
    <row r="1206" spans="1:19" x14ac:dyDescent="0.3">
      <c r="A1206" s="2" t="s">
        <v>4389</v>
      </c>
      <c r="B1206" s="2">
        <v>96</v>
      </c>
      <c r="C1206" s="3">
        <v>6706368</v>
      </c>
      <c r="D1206" s="3" t="s">
        <v>6100</v>
      </c>
      <c r="E1206" s="2" t="s">
        <v>4390</v>
      </c>
      <c r="F1206" s="2" t="s">
        <v>10</v>
      </c>
      <c r="G1206" s="2" t="s">
        <v>16</v>
      </c>
      <c r="H1206" s="2">
        <v>7000000</v>
      </c>
      <c r="I1206" s="2">
        <v>6.2</v>
      </c>
      <c r="J1206" s="3">
        <v>8355815</v>
      </c>
      <c r="K1206">
        <f t="shared" si="44"/>
        <v>1.3775047412552699E-3</v>
      </c>
      <c r="R1206" s="12" t="str">
        <f ca="1">IFERROR(__xludf.DUMMYFUNCTION("""COMPUTED_VALUE"""),"The Doors ")</f>
        <v>The Doors </v>
      </c>
      <c r="S1206" s="12">
        <f t="shared" si="45"/>
        <v>16344392</v>
      </c>
    </row>
    <row r="1207" spans="1:19" x14ac:dyDescent="0.3">
      <c r="A1207" s="2" t="s">
        <v>3779</v>
      </c>
      <c r="B1207" s="2">
        <v>81</v>
      </c>
      <c r="C1207" s="3">
        <v>66009973</v>
      </c>
      <c r="D1207" s="3" t="s">
        <v>5940</v>
      </c>
      <c r="E1207" s="2" t="s">
        <v>3780</v>
      </c>
      <c r="F1207" s="2" t="s">
        <v>10</v>
      </c>
      <c r="G1207" s="2" t="s">
        <v>11</v>
      </c>
      <c r="H1207" s="2">
        <v>12000000</v>
      </c>
      <c r="I1207" s="2">
        <v>6.8</v>
      </c>
      <c r="J1207" s="3">
        <v>8373585</v>
      </c>
      <c r="K1207">
        <f t="shared" si="44"/>
        <v>1.3775047412552699E-3</v>
      </c>
      <c r="R1207" s="12" t="str">
        <f ca="1">IFERROR(__xludf.DUMMYFUNCTION("""COMPUTED_VALUE"""),"Sex Tape ")</f>
        <v>Sex Tape </v>
      </c>
      <c r="S1207" s="12">
        <f t="shared" si="45"/>
        <v>29807804</v>
      </c>
    </row>
    <row r="1208" spans="1:19" x14ac:dyDescent="0.3">
      <c r="A1208" s="2" t="s">
        <v>705</v>
      </c>
      <c r="B1208" s="2">
        <v>117</v>
      </c>
      <c r="C1208" s="3">
        <v>39532308</v>
      </c>
      <c r="D1208" s="3" t="s">
        <v>5778</v>
      </c>
      <c r="E1208" s="2" t="s">
        <v>3961</v>
      </c>
      <c r="F1208" s="2" t="s">
        <v>10</v>
      </c>
      <c r="G1208" s="2" t="s">
        <v>11</v>
      </c>
      <c r="H1208" s="2">
        <v>10000000</v>
      </c>
      <c r="I1208" s="2">
        <v>6.9</v>
      </c>
      <c r="J1208" s="3">
        <v>8378141</v>
      </c>
      <c r="K1208">
        <f t="shared" si="44"/>
        <v>1.3775047412552699E-3</v>
      </c>
      <c r="R1208" s="12" t="str">
        <f ca="1">IFERROR(__xludf.DUMMYFUNCTION("""COMPUTED_VALUE"""),"Hanging Up ")</f>
        <v>Hanging Up </v>
      </c>
      <c r="S1208" s="12">
        <f t="shared" si="45"/>
        <v>-44314732</v>
      </c>
    </row>
    <row r="1209" spans="1:19" x14ac:dyDescent="0.3">
      <c r="A1209" s="2" t="s">
        <v>5051</v>
      </c>
      <c r="B1209" s="2">
        <v>172</v>
      </c>
      <c r="C1209" s="2">
        <v>23650000</v>
      </c>
      <c r="D1209" s="3" t="s">
        <v>6164</v>
      </c>
      <c r="E1209" s="2" t="s">
        <v>5052</v>
      </c>
      <c r="F1209" s="2" t="s">
        <v>10</v>
      </c>
      <c r="G1209" s="2" t="s">
        <v>11</v>
      </c>
      <c r="H1209" s="2">
        <v>2100000</v>
      </c>
      <c r="I1209" s="2">
        <v>8.1</v>
      </c>
      <c r="J1209" s="3">
        <v>8396942</v>
      </c>
      <c r="K1209">
        <f t="shared" si="44"/>
        <v>1.3775047412552699E-3</v>
      </c>
      <c r="R1209" s="12" t="str">
        <f ca="1">IFERROR(__xludf.DUMMYFUNCTION("""COMPUTED_VALUE"""),"Final Destination 5 ")</f>
        <v>Final Destination 5 </v>
      </c>
      <c r="S1209" s="12">
        <f t="shared" si="45"/>
        <v>-9296255</v>
      </c>
    </row>
    <row r="1210" spans="1:19" x14ac:dyDescent="0.3">
      <c r="A1210" s="2" t="s">
        <v>99</v>
      </c>
      <c r="B1210" s="2">
        <v>117</v>
      </c>
      <c r="C1210" s="3">
        <v>15483540</v>
      </c>
      <c r="D1210" s="3" t="s">
        <v>5913</v>
      </c>
      <c r="E1210" s="2" t="s">
        <v>4731</v>
      </c>
      <c r="F1210" s="2" t="s">
        <v>10</v>
      </c>
      <c r="G1210" s="2" t="s">
        <v>16</v>
      </c>
      <c r="H1210" s="2">
        <v>4500000</v>
      </c>
      <c r="I1210" s="2">
        <v>7.1</v>
      </c>
      <c r="J1210" s="3">
        <v>8406264</v>
      </c>
      <c r="K1210">
        <f t="shared" si="44"/>
        <v>1.3775047412552699E-3</v>
      </c>
      <c r="R1210" s="12" t="str">
        <f ca="1">IFERROR(__xludf.DUMMYFUNCTION("""COMPUTED_VALUE"""),"Mickey Blue Eyes ")</f>
        <v>Mickey Blue Eyes </v>
      </c>
      <c r="S1210" s="12">
        <f t="shared" si="45"/>
        <v>75489560</v>
      </c>
    </row>
    <row r="1211" spans="1:19" x14ac:dyDescent="0.3">
      <c r="A1211" s="2" t="s">
        <v>1728</v>
      </c>
      <c r="B1211" s="2">
        <v>105</v>
      </c>
      <c r="C1211" s="3">
        <v>25339117</v>
      </c>
      <c r="D1211" s="3" t="s">
        <v>5767</v>
      </c>
      <c r="E1211" s="2" t="s">
        <v>1729</v>
      </c>
      <c r="F1211" s="2" t="s">
        <v>10</v>
      </c>
      <c r="G1211" s="2" t="s">
        <v>11</v>
      </c>
      <c r="H1211" s="2">
        <v>25000000</v>
      </c>
      <c r="I1211" s="2">
        <v>6.6</v>
      </c>
      <c r="J1211" s="3">
        <v>8427204</v>
      </c>
      <c r="K1211">
        <f t="shared" si="44"/>
        <v>1.3775047412552699E-3</v>
      </c>
      <c r="R1211" s="12" t="str">
        <f ca="1">IFERROR(__xludf.DUMMYFUNCTION("""COMPUTED_VALUE"""),"Pay It Forward ")</f>
        <v>Pay It Forward </v>
      </c>
      <c r="S1211" s="12">
        <f t="shared" si="45"/>
        <v>-11467706</v>
      </c>
    </row>
    <row r="1212" spans="1:19" x14ac:dyDescent="0.3">
      <c r="A1212" s="2" t="s">
        <v>5727</v>
      </c>
      <c r="B1212" s="2">
        <v>77</v>
      </c>
      <c r="C1212" s="3">
        <v>20167424</v>
      </c>
      <c r="D1212" s="3" t="s">
        <v>5874</v>
      </c>
      <c r="E1212" s="2" t="s">
        <v>5728</v>
      </c>
      <c r="F1212" s="2" t="s">
        <v>10</v>
      </c>
      <c r="G1212" s="2" t="s">
        <v>11</v>
      </c>
      <c r="H1212" s="3">
        <v>474544677</v>
      </c>
      <c r="I1212" s="2">
        <v>7</v>
      </c>
      <c r="J1212" s="3">
        <v>8434601</v>
      </c>
      <c r="K1212">
        <f t="shared" si="44"/>
        <v>1.3775047412552699E-3</v>
      </c>
      <c r="R1212" s="12" t="str">
        <f ca="1">IFERROR(__xludf.DUMMYFUNCTION("""COMPUTED_VALUE"""),"Fever Pitch ")</f>
        <v>Fever Pitch </v>
      </c>
      <c r="S1212" s="12">
        <f t="shared" si="45"/>
        <v>-117951191</v>
      </c>
    </row>
    <row r="1213" spans="1:19" x14ac:dyDescent="0.3">
      <c r="A1213" s="2" t="s">
        <v>5007</v>
      </c>
      <c r="B1213" s="2">
        <v>75</v>
      </c>
      <c r="C1213" s="3">
        <v>2000000</v>
      </c>
      <c r="D1213" s="3" t="s">
        <v>6041</v>
      </c>
      <c r="E1213" s="2" t="s">
        <v>5008</v>
      </c>
      <c r="F1213" s="2" t="s">
        <v>10</v>
      </c>
      <c r="G1213" s="2" t="s">
        <v>11</v>
      </c>
      <c r="H1213" s="2">
        <v>2500000</v>
      </c>
      <c r="I1213" s="2">
        <v>6.7</v>
      </c>
      <c r="J1213" s="3">
        <v>8460990</v>
      </c>
      <c r="K1213">
        <f t="shared" si="44"/>
        <v>1.3775047412552699E-3</v>
      </c>
      <c r="R1213" s="12" t="str">
        <f ca="1">IFERROR(__xludf.DUMMYFUNCTION("""COMPUTED_VALUE"""),"Drillbit Taylor ")</f>
        <v>Drillbit Taylor </v>
      </c>
      <c r="S1213" s="12">
        <f t="shared" si="45"/>
        <v>-8834579</v>
      </c>
    </row>
    <row r="1214" spans="1:19" x14ac:dyDescent="0.3">
      <c r="A1214" s="2" t="s">
        <v>4687</v>
      </c>
      <c r="B1214" s="2">
        <v>97</v>
      </c>
      <c r="C1214" s="3">
        <v>54116191</v>
      </c>
      <c r="D1214" s="3" t="s">
        <v>885</v>
      </c>
      <c r="E1214" s="2" t="s">
        <v>4688</v>
      </c>
      <c r="F1214" s="2" t="s">
        <v>10</v>
      </c>
      <c r="G1214" s="2" t="s">
        <v>11</v>
      </c>
      <c r="H1214" s="2">
        <v>5000000</v>
      </c>
      <c r="I1214" s="2">
        <v>6.4</v>
      </c>
      <c r="J1214" s="3">
        <v>8460995</v>
      </c>
      <c r="K1214">
        <f t="shared" si="44"/>
        <v>1.3775047412552699E-3</v>
      </c>
      <c r="R1214" s="12" t="str">
        <f ca="1">IFERROR(__xludf.DUMMYFUNCTION("""COMPUTED_VALUE"""),"A Million Ways to Die in the West ")</f>
        <v>A Million Ways to Die in the West </v>
      </c>
      <c r="S1214" s="12">
        <f t="shared" si="45"/>
        <v>19098051</v>
      </c>
    </row>
    <row r="1215" spans="1:19" x14ac:dyDescent="0.3">
      <c r="A1215" s="2" t="s">
        <v>5638</v>
      </c>
      <c r="B1215" s="2">
        <v>86</v>
      </c>
      <c r="C1215" s="3">
        <v>30059386</v>
      </c>
      <c r="D1215" s="3" t="s">
        <v>6141</v>
      </c>
      <c r="E1215" s="2" t="s">
        <v>5639</v>
      </c>
      <c r="F1215" s="2" t="s">
        <v>10</v>
      </c>
      <c r="G1215" s="2" t="s">
        <v>11</v>
      </c>
      <c r="H1215" s="3">
        <v>474544677</v>
      </c>
      <c r="I1215" s="2">
        <v>7.5</v>
      </c>
      <c r="J1215" s="3">
        <v>8500000</v>
      </c>
      <c r="K1215">
        <f t="shared" si="44"/>
        <v>1.3775047412552699E-3</v>
      </c>
      <c r="R1215" s="12" t="str">
        <f ca="1">IFERROR(__xludf.DUMMYFUNCTION("""COMPUTED_VALUE"""),"The Shadow ")</f>
        <v>The Shadow </v>
      </c>
      <c r="S1215" s="12">
        <f t="shared" si="45"/>
        <v>-95447400</v>
      </c>
    </row>
    <row r="1216" spans="1:19" x14ac:dyDescent="0.3">
      <c r="A1216" s="2" t="s">
        <v>429</v>
      </c>
      <c r="B1216" s="2">
        <v>157</v>
      </c>
      <c r="C1216" s="3">
        <v>33860010</v>
      </c>
      <c r="D1216" s="3" t="s">
        <v>5773</v>
      </c>
      <c r="E1216" s="2" t="s">
        <v>936</v>
      </c>
      <c r="F1216" s="2" t="s">
        <v>10</v>
      </c>
      <c r="G1216" s="2" t="s">
        <v>11</v>
      </c>
      <c r="H1216" s="2">
        <v>68000000</v>
      </c>
      <c r="I1216" s="2">
        <v>7.9</v>
      </c>
      <c r="J1216" s="3">
        <v>8508843</v>
      </c>
      <c r="K1216">
        <f t="shared" si="44"/>
        <v>1.3775047412552699E-3</v>
      </c>
      <c r="R1216" s="12" t="str">
        <f ca="1">IFERROR(__xludf.DUMMYFUNCTION("""COMPUTED_VALUE"""),"Extremely Loud &amp; Incredibly Close ")</f>
        <v>Extremely Loud &amp; Incredibly Close </v>
      </c>
      <c r="S1216" s="12">
        <f t="shared" si="45"/>
        <v>-23820484</v>
      </c>
    </row>
    <row r="1217" spans="1:19" x14ac:dyDescent="0.3">
      <c r="A1217" s="2" t="s">
        <v>2018</v>
      </c>
      <c r="B1217" s="2">
        <v>76</v>
      </c>
      <c r="C1217" s="3">
        <v>18600911</v>
      </c>
      <c r="D1217" s="3" t="s">
        <v>5778</v>
      </c>
      <c r="E1217" s="2" t="s">
        <v>2019</v>
      </c>
      <c r="F1217" s="2" t="s">
        <v>10</v>
      </c>
      <c r="G1217" s="2" t="s">
        <v>16</v>
      </c>
      <c r="H1217" s="2">
        <v>35000000</v>
      </c>
      <c r="I1217" s="2">
        <v>5.6</v>
      </c>
      <c r="J1217" s="3">
        <v>8535575</v>
      </c>
      <c r="K1217">
        <f t="shared" si="44"/>
        <v>1.3775047412552699E-3</v>
      </c>
      <c r="R1217" s="12" t="str">
        <f ca="1">IFERROR(__xludf.DUMMYFUNCTION("""COMPUTED_VALUE"""),"Morning Glory ")</f>
        <v>Morning Glory </v>
      </c>
      <c r="S1217" s="12">
        <f t="shared" si="45"/>
        <v>-13844565</v>
      </c>
    </row>
    <row r="1218" spans="1:19" x14ac:dyDescent="0.3">
      <c r="A1218" s="2" t="s">
        <v>646</v>
      </c>
      <c r="B1218" s="2">
        <v>99</v>
      </c>
      <c r="C1218" s="3">
        <v>27067160</v>
      </c>
      <c r="D1218" s="3" t="s">
        <v>6041</v>
      </c>
      <c r="E1218" s="2" t="s">
        <v>4644</v>
      </c>
      <c r="F1218" s="2" t="s">
        <v>10</v>
      </c>
      <c r="G1218" s="2" t="s">
        <v>16</v>
      </c>
      <c r="H1218" s="2">
        <v>4000000</v>
      </c>
      <c r="I1218" s="2">
        <v>8</v>
      </c>
      <c r="J1218" s="3">
        <v>8579684</v>
      </c>
      <c r="K1218">
        <f t="shared" ref="K1218:K1281" si="46">CORREL(H$2:H$3941,J$2:J$3941)</f>
        <v>1.3775047412552699E-3</v>
      </c>
      <c r="R1218" s="12" t="str">
        <f ca="1">IFERROR(__xludf.DUMMYFUNCTION("""COMPUTED_VALUE"""),"Get Rich or Die Tryin' ")</f>
        <v>Get Rich or Die Tryin' </v>
      </c>
      <c r="S1218" s="12">
        <f t="shared" si="45"/>
        <v>-380419251</v>
      </c>
    </row>
    <row r="1219" spans="1:19" x14ac:dyDescent="0.3">
      <c r="A1219" s="2" t="s">
        <v>350</v>
      </c>
      <c r="B1219" s="2">
        <v>98</v>
      </c>
      <c r="C1219" s="3">
        <v>39514713</v>
      </c>
      <c r="D1219" s="3" t="s">
        <v>6165</v>
      </c>
      <c r="E1219" s="2" t="s">
        <v>2123</v>
      </c>
      <c r="F1219" s="2" t="s">
        <v>10</v>
      </c>
      <c r="G1219" s="2" t="s">
        <v>11</v>
      </c>
      <c r="H1219" s="2">
        <v>32000000</v>
      </c>
      <c r="I1219" s="2">
        <v>6.4</v>
      </c>
      <c r="J1219" s="3">
        <v>8586376</v>
      </c>
      <c r="K1219">
        <f t="shared" si="46"/>
        <v>1.3775047412552699E-3</v>
      </c>
      <c r="R1219" s="12" t="str">
        <f ca="1">IFERROR(__xludf.DUMMYFUNCTION("""COMPUTED_VALUE"""),"The Art of War ")</f>
        <v>The Art of War </v>
      </c>
      <c r="S1219" s="12">
        <f t="shared" si="45"/>
        <v>-5867404</v>
      </c>
    </row>
    <row r="1220" spans="1:19" x14ac:dyDescent="0.3">
      <c r="A1220" s="2" t="s">
        <v>4827</v>
      </c>
      <c r="B1220" s="2">
        <v>113</v>
      </c>
      <c r="C1220" s="3">
        <v>71423726</v>
      </c>
      <c r="D1220" s="3" t="s">
        <v>6166</v>
      </c>
      <c r="E1220" s="2" t="s">
        <v>4828</v>
      </c>
      <c r="F1220" s="2" t="s">
        <v>723</v>
      </c>
      <c r="G1220" s="2" t="s">
        <v>932</v>
      </c>
      <c r="H1220" s="2">
        <v>4000000</v>
      </c>
      <c r="I1220" s="2">
        <v>7.7</v>
      </c>
      <c r="J1220" s="3">
        <v>8596914</v>
      </c>
      <c r="K1220">
        <f t="shared" si="46"/>
        <v>1.3775047412552699E-3</v>
      </c>
      <c r="R1220" s="12" t="str">
        <f ca="1">IFERROR(__xludf.DUMMYFUNCTION("""COMPUTED_VALUE"""),"Rent ")</f>
        <v>Rent </v>
      </c>
      <c r="S1220" s="12">
        <f t="shared" si="45"/>
        <v>75012500</v>
      </c>
    </row>
    <row r="1221" spans="1:19" x14ac:dyDescent="0.3">
      <c r="A1221" s="2" t="s">
        <v>167</v>
      </c>
      <c r="B1221" s="2">
        <v>109</v>
      </c>
      <c r="C1221" s="3">
        <v>32416109</v>
      </c>
      <c r="D1221" s="3" t="s">
        <v>5869</v>
      </c>
      <c r="E1221" s="2" t="s">
        <v>168</v>
      </c>
      <c r="F1221" s="2" t="s">
        <v>10</v>
      </c>
      <c r="G1221" s="2" t="s">
        <v>11</v>
      </c>
      <c r="H1221" s="2">
        <v>200000000</v>
      </c>
      <c r="I1221" s="2">
        <v>6.4</v>
      </c>
      <c r="J1221" s="3">
        <v>8600000</v>
      </c>
      <c r="K1221">
        <f t="shared" si="46"/>
        <v>1.3775047412552699E-3</v>
      </c>
      <c r="R1221" s="12" t="str">
        <f ca="1">IFERROR(__xludf.DUMMYFUNCTION("""COMPUTED_VALUE"""),"Bless the Child ")</f>
        <v>Bless the Child </v>
      </c>
      <c r="S1221" s="12">
        <f t="shared" si="45"/>
        <v>-39886035</v>
      </c>
    </row>
    <row r="1222" spans="1:19" x14ac:dyDescent="0.3">
      <c r="A1222" s="2" t="s">
        <v>69</v>
      </c>
      <c r="B1222" s="2">
        <v>91</v>
      </c>
      <c r="C1222" s="3">
        <v>35168677</v>
      </c>
      <c r="D1222" s="3" t="s">
        <v>6167</v>
      </c>
      <c r="E1222" s="2" t="s">
        <v>111</v>
      </c>
      <c r="F1222" s="2" t="s">
        <v>10</v>
      </c>
      <c r="G1222" s="2" t="s">
        <v>11</v>
      </c>
      <c r="H1222" s="2">
        <v>140000000</v>
      </c>
      <c r="I1222" s="2">
        <v>6.2</v>
      </c>
      <c r="J1222" s="3">
        <v>8662318</v>
      </c>
      <c r="K1222">
        <f t="shared" si="46"/>
        <v>1.3775047412552699E-3</v>
      </c>
      <c r="R1222" s="12" t="str">
        <f ca="1">IFERROR(__xludf.DUMMYFUNCTION("""COMPUTED_VALUE"""),"The Out-of-Towners ")</f>
        <v>The Out-of-Towners </v>
      </c>
      <c r="S1222" s="12">
        <f t="shared" si="45"/>
        <v>-19673965</v>
      </c>
    </row>
    <row r="1223" spans="1:19" x14ac:dyDescent="0.3">
      <c r="A1223" s="2" t="s">
        <v>396</v>
      </c>
      <c r="B1223" s="2">
        <v>100</v>
      </c>
      <c r="C1223" s="3">
        <v>20763013</v>
      </c>
      <c r="D1223" s="3" t="s">
        <v>5869</v>
      </c>
      <c r="E1223" s="2" t="s">
        <v>397</v>
      </c>
      <c r="F1223" s="2" t="s">
        <v>10</v>
      </c>
      <c r="G1223" s="2" t="s">
        <v>11</v>
      </c>
      <c r="H1223" s="2">
        <v>120000000</v>
      </c>
      <c r="I1223" s="2">
        <v>4.3</v>
      </c>
      <c r="J1223" s="3">
        <v>8712564</v>
      </c>
      <c r="K1223">
        <f t="shared" si="46"/>
        <v>1.3775047412552699E-3</v>
      </c>
      <c r="R1223" s="12" t="str">
        <f ca="1">IFERROR(__xludf.DUMMYFUNCTION("""COMPUTED_VALUE"""),"The Island of Dr. Moreau ")</f>
        <v>The Island of Dr. Moreau </v>
      </c>
      <c r="S1223" s="12">
        <f t="shared" si="45"/>
        <v>46896698</v>
      </c>
    </row>
    <row r="1224" spans="1:19" x14ac:dyDescent="0.3">
      <c r="A1224" s="2" t="s">
        <v>1561</v>
      </c>
      <c r="B1224" s="2">
        <v>98</v>
      </c>
      <c r="C1224" s="3">
        <v>39511038</v>
      </c>
      <c r="D1224" s="3" t="s">
        <v>6168</v>
      </c>
      <c r="E1224" s="2" t="s">
        <v>1734</v>
      </c>
      <c r="F1224" s="2" t="s">
        <v>10</v>
      </c>
      <c r="G1224" s="2" t="s">
        <v>11</v>
      </c>
      <c r="H1224" s="2">
        <v>40000000</v>
      </c>
      <c r="I1224" s="2">
        <v>5.8</v>
      </c>
      <c r="J1224" s="3">
        <v>8735529</v>
      </c>
      <c r="K1224">
        <f t="shared" si="46"/>
        <v>1.3775047412552699E-3</v>
      </c>
      <c r="R1224" s="12" t="str">
        <f ca="1">IFERROR(__xludf.DUMMYFUNCTION("""COMPUTED_VALUE"""),"The Musketeer ")</f>
        <v>The Musketeer </v>
      </c>
      <c r="S1224" s="12">
        <f t="shared" si="45"/>
        <v>-388495259</v>
      </c>
    </row>
    <row r="1225" spans="1:19" x14ac:dyDescent="0.3">
      <c r="A1225" s="2" t="s">
        <v>2642</v>
      </c>
      <c r="B1225" s="2">
        <v>109</v>
      </c>
      <c r="C1225" s="3">
        <v>6739141</v>
      </c>
      <c r="D1225" s="3" t="s">
        <v>5849</v>
      </c>
      <c r="E1225" s="2" t="s">
        <v>3653</v>
      </c>
      <c r="F1225" s="2" t="s">
        <v>10</v>
      </c>
      <c r="G1225" s="2" t="s">
        <v>11</v>
      </c>
      <c r="H1225" s="2">
        <v>13000000</v>
      </c>
      <c r="I1225" s="2">
        <v>6.8</v>
      </c>
      <c r="J1225" s="3">
        <v>8742261</v>
      </c>
      <c r="K1225">
        <f t="shared" si="46"/>
        <v>1.3775047412552699E-3</v>
      </c>
      <c r="R1225" s="12" t="str">
        <f ca="1">IFERROR(__xludf.DUMMYFUNCTION("""COMPUTED_VALUE"""),"The Other Boleyn Girl ")</f>
        <v>The Other Boleyn Girl </v>
      </c>
      <c r="S1225" s="12">
        <f t="shared" si="45"/>
        <v>53594903</v>
      </c>
    </row>
    <row r="1226" spans="1:19" x14ac:dyDescent="0.3">
      <c r="A1226" s="2" t="s">
        <v>17</v>
      </c>
      <c r="B1226" s="2">
        <v>128</v>
      </c>
      <c r="C1226" s="3">
        <v>79883359</v>
      </c>
      <c r="D1226" s="3" t="s">
        <v>6151</v>
      </c>
      <c r="E1226" s="2" t="s">
        <v>206</v>
      </c>
      <c r="F1226" s="2" t="s">
        <v>10</v>
      </c>
      <c r="G1226" s="2" t="s">
        <v>11</v>
      </c>
      <c r="H1226" s="2">
        <v>150000000</v>
      </c>
      <c r="I1226" s="2">
        <v>8.3000000000000007</v>
      </c>
      <c r="J1226" s="3">
        <v>8786715</v>
      </c>
      <c r="K1226">
        <f t="shared" si="46"/>
        <v>1.3775047412552699E-3</v>
      </c>
      <c r="R1226" s="12" t="str">
        <f ca="1">IFERROR(__xludf.DUMMYFUNCTION("""COMPUTED_VALUE"""),"Sweet November ")</f>
        <v>Sweet November </v>
      </c>
      <c r="S1226" s="12">
        <f t="shared" si="45"/>
        <v>-209843800</v>
      </c>
    </row>
    <row r="1227" spans="1:19" x14ac:dyDescent="0.3">
      <c r="A1227" s="2" t="s">
        <v>3908</v>
      </c>
      <c r="B1227" s="2">
        <v>111</v>
      </c>
      <c r="C1227" s="3">
        <v>54200000</v>
      </c>
      <c r="D1227" s="3" t="s">
        <v>885</v>
      </c>
      <c r="E1227" s="2" t="s">
        <v>3909</v>
      </c>
      <c r="F1227" s="2" t="s">
        <v>10</v>
      </c>
      <c r="G1227" s="2" t="s">
        <v>16</v>
      </c>
      <c r="H1227" s="2">
        <v>11000000</v>
      </c>
      <c r="I1227" s="2">
        <v>7.5</v>
      </c>
      <c r="J1227" s="3">
        <v>8828771</v>
      </c>
      <c r="K1227">
        <f t="shared" si="46"/>
        <v>1.3775047412552699E-3</v>
      </c>
      <c r="R1227" s="12" t="str">
        <f ca="1">IFERROR(__xludf.DUMMYFUNCTION("""COMPUTED_VALUE"""),"The Reaping ")</f>
        <v>The Reaping </v>
      </c>
      <c r="S1227" s="12">
        <f t="shared" si="45"/>
        <v>196565000</v>
      </c>
    </row>
    <row r="1228" spans="1:19" x14ac:dyDescent="0.3">
      <c r="A1228" s="2" t="s">
        <v>814</v>
      </c>
      <c r="B1228" s="2">
        <v>112</v>
      </c>
      <c r="C1228" s="3">
        <v>31141074</v>
      </c>
      <c r="D1228" s="3" t="s">
        <v>6169</v>
      </c>
      <c r="E1228" s="2" t="s">
        <v>835</v>
      </c>
      <c r="F1228" s="2" t="s">
        <v>10</v>
      </c>
      <c r="G1228" s="2" t="s">
        <v>11</v>
      </c>
      <c r="H1228" s="2">
        <v>70000000</v>
      </c>
      <c r="I1228" s="2">
        <v>5.6</v>
      </c>
      <c r="J1228" s="3">
        <v>8855646</v>
      </c>
      <c r="K1228">
        <f t="shared" si="46"/>
        <v>1.3775047412552699E-3</v>
      </c>
      <c r="R1228" s="12" t="str">
        <f ca="1">IFERROR(__xludf.DUMMYFUNCTION("""COMPUTED_VALUE"""),"Mean Streets ")</f>
        <v>Mean Streets </v>
      </c>
      <c r="S1228" s="12">
        <f t="shared" si="45"/>
        <v>-293632</v>
      </c>
    </row>
    <row r="1229" spans="1:19" x14ac:dyDescent="0.3">
      <c r="A1229" s="2" t="s">
        <v>546</v>
      </c>
      <c r="B1229" s="2">
        <v>125</v>
      </c>
      <c r="C1229" s="3">
        <v>20047715</v>
      </c>
      <c r="D1229" s="3" t="s">
        <v>5893</v>
      </c>
      <c r="E1229" s="2" t="s">
        <v>1967</v>
      </c>
      <c r="F1229" s="2" t="s">
        <v>10</v>
      </c>
      <c r="G1229" s="2" t="s">
        <v>11</v>
      </c>
      <c r="H1229" s="2">
        <v>35000000</v>
      </c>
      <c r="I1229" s="2">
        <v>7.5</v>
      </c>
      <c r="J1229" s="3">
        <v>8888143</v>
      </c>
      <c r="K1229">
        <f t="shared" si="46"/>
        <v>1.3775047412552699E-3</v>
      </c>
      <c r="R1229" s="12" t="str">
        <f ca="1">IFERROR(__xludf.DUMMYFUNCTION("""COMPUTED_VALUE"""),"Renaissance Man ")</f>
        <v>Renaissance Man </v>
      </c>
      <c r="S1229" s="12">
        <f t="shared" si="45"/>
        <v>54009973</v>
      </c>
    </row>
    <row r="1230" spans="1:19" x14ac:dyDescent="0.3">
      <c r="A1230" s="2" t="s">
        <v>21</v>
      </c>
      <c r="B1230" s="2">
        <v>156</v>
      </c>
      <c r="C1230" s="3">
        <v>31252964</v>
      </c>
      <c r="D1230" s="3" t="s">
        <v>520</v>
      </c>
      <c r="E1230" s="2" t="s">
        <v>22</v>
      </c>
      <c r="F1230" s="2" t="s">
        <v>10</v>
      </c>
      <c r="G1230" s="2" t="s">
        <v>11</v>
      </c>
      <c r="H1230" s="2">
        <v>258000000</v>
      </c>
      <c r="I1230" s="2">
        <v>6.2</v>
      </c>
      <c r="J1230" s="3">
        <v>8888355</v>
      </c>
      <c r="K1230">
        <f t="shared" si="46"/>
        <v>1.3775047412552699E-3</v>
      </c>
      <c r="R1230" s="12" t="str">
        <f ca="1">IFERROR(__xludf.DUMMYFUNCTION("""COMPUTED_VALUE"""),"Colombiana ")</f>
        <v>Colombiana </v>
      </c>
      <c r="S1230" s="12">
        <f t="shared" si="45"/>
        <v>29532308</v>
      </c>
    </row>
    <row r="1231" spans="1:19" x14ac:dyDescent="0.3">
      <c r="A1231" s="2" t="s">
        <v>3345</v>
      </c>
      <c r="B1231" s="2">
        <v>112</v>
      </c>
      <c r="C1231" s="3">
        <v>130313314</v>
      </c>
      <c r="D1231" s="3" t="s">
        <v>5799</v>
      </c>
      <c r="E1231" s="2" t="s">
        <v>3346</v>
      </c>
      <c r="F1231" s="2" t="s">
        <v>10</v>
      </c>
      <c r="G1231" s="2" t="s">
        <v>11</v>
      </c>
      <c r="H1231" s="2">
        <v>15000000</v>
      </c>
      <c r="I1231" s="2">
        <v>6</v>
      </c>
      <c r="J1231" s="3">
        <v>9000000</v>
      </c>
      <c r="K1231">
        <f t="shared" si="46"/>
        <v>1.3775047412552699E-3</v>
      </c>
      <c r="R1231" s="12" t="str">
        <f ca="1">IFERROR(__xludf.DUMMYFUNCTION("""COMPUTED_VALUE"""),"The Magic Sword: Quest for Camelot ")</f>
        <v>The Magic Sword: Quest for Camelot </v>
      </c>
      <c r="S1231" s="12">
        <f t="shared" si="45"/>
        <v>21550000</v>
      </c>
    </row>
    <row r="1232" spans="1:19" x14ac:dyDescent="0.3">
      <c r="A1232" s="2" t="s">
        <v>1299</v>
      </c>
      <c r="B1232" s="2">
        <v>100</v>
      </c>
      <c r="C1232" s="3">
        <v>108244774</v>
      </c>
      <c r="D1232" s="3" t="s">
        <v>5795</v>
      </c>
      <c r="E1232" s="2" t="s">
        <v>5246</v>
      </c>
      <c r="F1232" s="2" t="s">
        <v>10</v>
      </c>
      <c r="G1232" s="2" t="s">
        <v>11</v>
      </c>
      <c r="H1232" s="2">
        <v>1200000</v>
      </c>
      <c r="I1232" s="2">
        <v>7.1</v>
      </c>
      <c r="J1232" s="3">
        <v>9003011</v>
      </c>
      <c r="K1232">
        <f t="shared" si="46"/>
        <v>1.3775047412552699E-3</v>
      </c>
      <c r="R1232" s="12" t="str">
        <f ca="1">IFERROR(__xludf.DUMMYFUNCTION("""COMPUTED_VALUE"""),"City by the Sea ")</f>
        <v>City by the Sea </v>
      </c>
      <c r="S1232" s="12">
        <f t="shared" si="45"/>
        <v>10983540</v>
      </c>
    </row>
    <row r="1233" spans="1:19" x14ac:dyDescent="0.3">
      <c r="A1233" s="2" t="s">
        <v>560</v>
      </c>
      <c r="B1233" s="2">
        <v>114</v>
      </c>
      <c r="C1233" s="3">
        <v>130127620</v>
      </c>
      <c r="D1233" s="3" t="s">
        <v>6170</v>
      </c>
      <c r="E1233" s="2" t="s">
        <v>561</v>
      </c>
      <c r="F1233" s="2" t="s">
        <v>10</v>
      </c>
      <c r="G1233" s="2" t="s">
        <v>11</v>
      </c>
      <c r="H1233" s="2">
        <v>90000000</v>
      </c>
      <c r="I1233" s="2">
        <v>7.3</v>
      </c>
      <c r="J1233" s="3">
        <v>9013113</v>
      </c>
      <c r="K1233">
        <f t="shared" si="46"/>
        <v>1.3775047412552699E-3</v>
      </c>
      <c r="R1233" s="12" t="str">
        <f ca="1">IFERROR(__xludf.DUMMYFUNCTION("""COMPUTED_VALUE"""),"At First Sight ")</f>
        <v>At First Sight </v>
      </c>
      <c r="S1233" s="12">
        <f t="shared" si="45"/>
        <v>339117</v>
      </c>
    </row>
    <row r="1234" spans="1:19" x14ac:dyDescent="0.3">
      <c r="A1234" s="2" t="s">
        <v>2717</v>
      </c>
      <c r="B1234" s="2">
        <v>132</v>
      </c>
      <c r="C1234" s="3">
        <v>44737059</v>
      </c>
      <c r="D1234" s="3" t="s">
        <v>5919</v>
      </c>
      <c r="E1234" s="2" t="s">
        <v>4103</v>
      </c>
      <c r="F1234" s="2" t="s">
        <v>10</v>
      </c>
      <c r="G1234" s="2" t="s">
        <v>16</v>
      </c>
      <c r="H1234" s="2">
        <v>10000000</v>
      </c>
      <c r="I1234" s="2">
        <v>7.2</v>
      </c>
      <c r="J1234" s="3">
        <v>9030581</v>
      </c>
      <c r="K1234">
        <f t="shared" si="46"/>
        <v>1.3775047412552699E-3</v>
      </c>
      <c r="R1234" s="12" t="str">
        <f ca="1">IFERROR(__xludf.DUMMYFUNCTION("""COMPUTED_VALUE"""),"Torque ")</f>
        <v>Torque </v>
      </c>
      <c r="S1234" s="12">
        <f t="shared" si="45"/>
        <v>-454377253</v>
      </c>
    </row>
    <row r="1235" spans="1:19" x14ac:dyDescent="0.3">
      <c r="A1235" s="2" t="s">
        <v>3356</v>
      </c>
      <c r="B1235" s="2">
        <v>134</v>
      </c>
      <c r="C1235" s="3">
        <v>102413606</v>
      </c>
      <c r="D1235" s="3" t="s">
        <v>5753</v>
      </c>
      <c r="E1235" s="2" t="s">
        <v>3455</v>
      </c>
      <c r="F1235" s="2" t="s">
        <v>10</v>
      </c>
      <c r="G1235" s="2" t="s">
        <v>16</v>
      </c>
      <c r="H1235" s="2">
        <v>11500000</v>
      </c>
      <c r="I1235" s="2">
        <v>7.9</v>
      </c>
      <c r="J1235" s="3">
        <v>9054736</v>
      </c>
      <c r="K1235">
        <f t="shared" si="46"/>
        <v>1.3775047412552699E-3</v>
      </c>
      <c r="R1235" s="12" t="str">
        <f ca="1">IFERROR(__xludf.DUMMYFUNCTION("""COMPUTED_VALUE"""),"City Hall ")</f>
        <v>City Hall </v>
      </c>
      <c r="S1235" s="12">
        <f t="shared" si="45"/>
        <v>-500000</v>
      </c>
    </row>
    <row r="1236" spans="1:19" x14ac:dyDescent="0.3">
      <c r="A1236" s="2" t="s">
        <v>152</v>
      </c>
      <c r="B1236" s="2">
        <v>128</v>
      </c>
      <c r="C1236" s="3">
        <v>39442871</v>
      </c>
      <c r="D1236" s="3" t="s">
        <v>6171</v>
      </c>
      <c r="E1236" s="2" t="s">
        <v>153</v>
      </c>
      <c r="F1236" s="2" t="s">
        <v>10</v>
      </c>
      <c r="G1236" s="2" t="s">
        <v>11</v>
      </c>
      <c r="H1236" s="2">
        <v>175000000</v>
      </c>
      <c r="I1236" s="2">
        <v>6.3</v>
      </c>
      <c r="J1236" s="3">
        <v>9059588</v>
      </c>
      <c r="K1236">
        <f t="shared" si="46"/>
        <v>1.3775047412552699E-3</v>
      </c>
      <c r="R1236" s="12" t="str">
        <f ca="1">IFERROR(__xludf.DUMMYFUNCTION("""COMPUTED_VALUE"""),"Showgirls ")</f>
        <v>Showgirls </v>
      </c>
      <c r="S1236" s="12">
        <f t="shared" si="45"/>
        <v>49116191</v>
      </c>
    </row>
    <row r="1237" spans="1:19" x14ac:dyDescent="0.3">
      <c r="A1237" s="2" t="s">
        <v>868</v>
      </c>
      <c r="B1237" s="2">
        <v>139</v>
      </c>
      <c r="C1237" s="3">
        <v>65948711</v>
      </c>
      <c r="D1237" s="3" t="s">
        <v>5831</v>
      </c>
      <c r="E1237" s="2" t="s">
        <v>1320</v>
      </c>
      <c r="F1237" s="2" t="s">
        <v>10</v>
      </c>
      <c r="G1237" s="2" t="s">
        <v>11</v>
      </c>
      <c r="H1237" s="2">
        <v>50000000</v>
      </c>
      <c r="I1237" s="2">
        <v>7.3</v>
      </c>
      <c r="J1237" s="3">
        <v>9094451</v>
      </c>
      <c r="K1237">
        <f t="shared" si="46"/>
        <v>1.3775047412552699E-3</v>
      </c>
      <c r="R1237" s="12" t="str">
        <f ca="1">IFERROR(__xludf.DUMMYFUNCTION("""COMPUTED_VALUE"""),"Marie Antoinette ")</f>
        <v>Marie Antoinette </v>
      </c>
      <c r="S1237" s="12">
        <f t="shared" si="45"/>
        <v>-444485291</v>
      </c>
    </row>
    <row r="1238" spans="1:19" x14ac:dyDescent="0.3">
      <c r="A1238" s="2" t="s">
        <v>1902</v>
      </c>
      <c r="B1238" s="2">
        <v>102</v>
      </c>
      <c r="C1238" s="3">
        <v>31146570</v>
      </c>
      <c r="D1238" s="3" t="s">
        <v>5940</v>
      </c>
      <c r="E1238" s="2" t="s">
        <v>4955</v>
      </c>
      <c r="F1238" s="2" t="s">
        <v>10</v>
      </c>
      <c r="G1238" s="2" t="s">
        <v>11</v>
      </c>
      <c r="H1238" s="2">
        <v>3000000</v>
      </c>
      <c r="I1238" s="2">
        <v>5.4</v>
      </c>
      <c r="J1238" s="3">
        <v>9109322</v>
      </c>
      <c r="K1238">
        <f t="shared" si="46"/>
        <v>1.3775047412552699E-3</v>
      </c>
      <c r="R1238" s="12" t="str">
        <f ca="1">IFERROR(__xludf.DUMMYFUNCTION("""COMPUTED_VALUE"""),"Kiss of Death ")</f>
        <v>Kiss of Death </v>
      </c>
      <c r="S1238" s="12">
        <f t="shared" si="45"/>
        <v>-34139990</v>
      </c>
    </row>
    <row r="1239" spans="1:19" x14ac:dyDescent="0.3">
      <c r="A1239" s="2" t="s">
        <v>3229</v>
      </c>
      <c r="B1239" s="2">
        <v>122</v>
      </c>
      <c r="C1239" s="2">
        <v>22000</v>
      </c>
      <c r="D1239" s="3" t="s">
        <v>6172</v>
      </c>
      <c r="E1239" s="2" t="s">
        <v>4974</v>
      </c>
      <c r="F1239" s="2" t="s">
        <v>10</v>
      </c>
      <c r="G1239" s="2" t="s">
        <v>199</v>
      </c>
      <c r="H1239" s="2">
        <v>3000000</v>
      </c>
      <c r="I1239" s="2">
        <v>5.8</v>
      </c>
      <c r="J1239" s="3">
        <v>9123834</v>
      </c>
      <c r="K1239">
        <f t="shared" si="46"/>
        <v>1.3775047412552699E-3</v>
      </c>
      <c r="R1239" s="12" t="str">
        <f ca="1">IFERROR(__xludf.DUMMYFUNCTION("""COMPUTED_VALUE"""),"Get Carter ")</f>
        <v>Get Carter </v>
      </c>
      <c r="S1239" s="12">
        <f t="shared" si="45"/>
        <v>-16399089</v>
      </c>
    </row>
    <row r="1240" spans="1:19" x14ac:dyDescent="0.3">
      <c r="A1240" s="2" t="s">
        <v>810</v>
      </c>
      <c r="B1240" s="2">
        <v>121</v>
      </c>
      <c r="C1240" s="3">
        <v>66002193</v>
      </c>
      <c r="D1240" s="3" t="s">
        <v>5930</v>
      </c>
      <c r="E1240" s="2" t="s">
        <v>3646</v>
      </c>
      <c r="F1240" s="2" t="s">
        <v>10</v>
      </c>
      <c r="G1240" s="2" t="s">
        <v>11</v>
      </c>
      <c r="H1240" s="2">
        <v>13000000</v>
      </c>
      <c r="I1240" s="2">
        <v>7.3</v>
      </c>
      <c r="J1240" s="3">
        <v>9166863</v>
      </c>
      <c r="K1240">
        <f t="shared" si="46"/>
        <v>1.3775047412552699E-3</v>
      </c>
      <c r="R1240" s="12" t="str">
        <f ca="1">IFERROR(__xludf.DUMMYFUNCTION("""COMPUTED_VALUE"""),"The Impossible ")</f>
        <v>The Impossible </v>
      </c>
      <c r="S1240" s="12">
        <f t="shared" si="45"/>
        <v>23067160</v>
      </c>
    </row>
    <row r="1241" spans="1:19" x14ac:dyDescent="0.3">
      <c r="A1241" s="2" t="s">
        <v>2422</v>
      </c>
      <c r="B1241" s="2">
        <v>96</v>
      </c>
      <c r="C1241" s="3">
        <v>50628009</v>
      </c>
      <c r="D1241" s="3" t="s">
        <v>6173</v>
      </c>
      <c r="E1241" s="2" t="s">
        <v>2806</v>
      </c>
      <c r="F1241" s="2" t="s">
        <v>10</v>
      </c>
      <c r="G1241" s="2" t="s">
        <v>504</v>
      </c>
      <c r="H1241" s="2">
        <v>25000000</v>
      </c>
      <c r="I1241" s="2">
        <v>5.0999999999999996</v>
      </c>
      <c r="J1241" s="3">
        <v>9170214</v>
      </c>
      <c r="K1241">
        <f t="shared" si="46"/>
        <v>1.3775047412552699E-3</v>
      </c>
      <c r="R1241" s="12" t="str">
        <f ca="1">IFERROR(__xludf.DUMMYFUNCTION("""COMPUTED_VALUE"""),"Ishtar ")</f>
        <v>Ishtar </v>
      </c>
      <c r="S1241" s="12">
        <f t="shared" ref="S1241:S1304" si="47">C1219-H1219</f>
        <v>7514713</v>
      </c>
    </row>
    <row r="1242" spans="1:19" x14ac:dyDescent="0.3">
      <c r="A1242" s="2" t="s">
        <v>1619</v>
      </c>
      <c r="B1242" s="2">
        <v>84</v>
      </c>
      <c r="C1242" s="3">
        <v>39462438</v>
      </c>
      <c r="D1242" s="3" t="s">
        <v>5892</v>
      </c>
      <c r="E1242" s="2" t="s">
        <v>3912</v>
      </c>
      <c r="F1242" s="2" t="s">
        <v>10</v>
      </c>
      <c r="G1242" s="2" t="s">
        <v>11</v>
      </c>
      <c r="H1242" s="2">
        <v>11000000</v>
      </c>
      <c r="I1242" s="2">
        <v>5.0999999999999996</v>
      </c>
      <c r="J1242" s="3">
        <v>9172810</v>
      </c>
      <c r="K1242">
        <f t="shared" si="46"/>
        <v>1.3775047412552699E-3</v>
      </c>
      <c r="R1242" s="12" t="str">
        <f ca="1">IFERROR(__xludf.DUMMYFUNCTION("""COMPUTED_VALUE"""),"Fantastic Mr. Fox ")</f>
        <v>Fantastic Mr. Fox </v>
      </c>
      <c r="S1242" s="12">
        <f t="shared" si="47"/>
        <v>67423726</v>
      </c>
    </row>
    <row r="1243" spans="1:19" x14ac:dyDescent="0.3">
      <c r="A1243" s="2" t="s">
        <v>1784</v>
      </c>
      <c r="B1243" s="2">
        <v>84</v>
      </c>
      <c r="C1243" s="3">
        <v>65807024</v>
      </c>
      <c r="D1243" s="3" t="s">
        <v>6101</v>
      </c>
      <c r="E1243" s="2" t="s">
        <v>1785</v>
      </c>
      <c r="F1243" s="2" t="s">
        <v>10</v>
      </c>
      <c r="G1243" s="2" t="s">
        <v>11</v>
      </c>
      <c r="H1243" s="2">
        <v>40000000</v>
      </c>
      <c r="I1243" s="2">
        <v>4</v>
      </c>
      <c r="J1243" s="3">
        <v>9176553</v>
      </c>
      <c r="K1243">
        <f t="shared" si="46"/>
        <v>1.3775047412552699E-3</v>
      </c>
      <c r="R1243" s="12" t="str">
        <f ca="1">IFERROR(__xludf.DUMMYFUNCTION("""COMPUTED_VALUE"""),"Life or Something Like It ")</f>
        <v>Life or Something Like It </v>
      </c>
      <c r="S1243" s="12">
        <f t="shared" si="47"/>
        <v>-167583891</v>
      </c>
    </row>
    <row r="1244" spans="1:19" x14ac:dyDescent="0.3">
      <c r="A1244" s="2" t="s">
        <v>734</v>
      </c>
      <c r="B1244" s="2">
        <v>87</v>
      </c>
      <c r="C1244" s="3">
        <v>125332007</v>
      </c>
      <c r="D1244" s="3" t="s">
        <v>6174</v>
      </c>
      <c r="E1244" s="2" t="s">
        <v>735</v>
      </c>
      <c r="F1244" s="2" t="s">
        <v>10</v>
      </c>
      <c r="G1244" s="2" t="s">
        <v>11</v>
      </c>
      <c r="H1244" s="2">
        <v>80000000</v>
      </c>
      <c r="I1244" s="2">
        <v>5.2</v>
      </c>
      <c r="J1244" s="3">
        <v>9180275</v>
      </c>
      <c r="K1244">
        <f t="shared" si="46"/>
        <v>1.3775047412552699E-3</v>
      </c>
      <c r="R1244" s="12" t="str">
        <f ca="1">IFERROR(__xludf.DUMMYFUNCTION("""COMPUTED_VALUE"""),"Memoirs of an Invisible Man ")</f>
        <v>Memoirs of an Invisible Man </v>
      </c>
      <c r="S1244" s="12">
        <f t="shared" si="47"/>
        <v>-104831323</v>
      </c>
    </row>
    <row r="1245" spans="1:19" x14ac:dyDescent="0.3">
      <c r="A1245" s="2" t="s">
        <v>1563</v>
      </c>
      <c r="B1245" s="2">
        <v>91</v>
      </c>
      <c r="C1245" s="3">
        <v>65703412</v>
      </c>
      <c r="D1245" s="3" t="s">
        <v>5958</v>
      </c>
      <c r="E1245" s="2" t="s">
        <v>1564</v>
      </c>
      <c r="F1245" s="2" t="s">
        <v>10</v>
      </c>
      <c r="G1245" s="2" t="s">
        <v>11</v>
      </c>
      <c r="H1245" s="2">
        <v>45000000</v>
      </c>
      <c r="I1245" s="2">
        <v>5.3</v>
      </c>
      <c r="J1245" s="3">
        <v>9190525</v>
      </c>
      <c r="K1245">
        <f t="shared" si="46"/>
        <v>1.3775047412552699E-3</v>
      </c>
      <c r="R1245" s="12" t="str">
        <f ca="1">IFERROR(__xludf.DUMMYFUNCTION("""COMPUTED_VALUE"""),"Amélie ")</f>
        <v>Amélie </v>
      </c>
      <c r="S1245" s="12">
        <f t="shared" si="47"/>
        <v>-99236987</v>
      </c>
    </row>
    <row r="1246" spans="1:19" x14ac:dyDescent="0.3">
      <c r="A1246" s="2" t="s">
        <v>350</v>
      </c>
      <c r="B1246" s="2">
        <v>123</v>
      </c>
      <c r="C1246" s="3">
        <v>71346930</v>
      </c>
      <c r="D1246" s="3" t="s">
        <v>5800</v>
      </c>
      <c r="E1246" s="2" t="s">
        <v>1746</v>
      </c>
      <c r="F1246" s="2" t="s">
        <v>10</v>
      </c>
      <c r="G1246" s="2" t="s">
        <v>199</v>
      </c>
      <c r="H1246" s="2">
        <v>40000000</v>
      </c>
      <c r="I1246" s="2">
        <v>6.5</v>
      </c>
      <c r="J1246" s="3">
        <v>9203192</v>
      </c>
      <c r="K1246">
        <f t="shared" si="46"/>
        <v>1.3775047412552699E-3</v>
      </c>
      <c r="R1246" s="12" t="str">
        <f ca="1">IFERROR(__xludf.DUMMYFUNCTION("""COMPUTED_VALUE"""),"New York Minute ")</f>
        <v>New York Minute </v>
      </c>
      <c r="S1246" s="12">
        <f t="shared" si="47"/>
        <v>-488962</v>
      </c>
    </row>
    <row r="1247" spans="1:19" x14ac:dyDescent="0.3">
      <c r="A1247" s="2" t="s">
        <v>1145</v>
      </c>
      <c r="B1247" s="2">
        <v>126</v>
      </c>
      <c r="C1247" s="3">
        <v>24475193</v>
      </c>
      <c r="D1247" s="3" t="s">
        <v>5898</v>
      </c>
      <c r="E1247" s="2" t="s">
        <v>4185</v>
      </c>
      <c r="F1247" s="2" t="s">
        <v>10</v>
      </c>
      <c r="G1247" s="2" t="s">
        <v>11</v>
      </c>
      <c r="H1247" s="2">
        <v>20000000</v>
      </c>
      <c r="I1247" s="2">
        <v>7</v>
      </c>
      <c r="J1247" s="3">
        <v>9286314</v>
      </c>
      <c r="K1247">
        <f t="shared" si="46"/>
        <v>1.3775047412552699E-3</v>
      </c>
      <c r="R1247" s="12" t="str">
        <f ca="1">IFERROR(__xludf.DUMMYFUNCTION("""COMPUTED_VALUE"""),"Alfie ")</f>
        <v>Alfie </v>
      </c>
      <c r="S1247" s="12">
        <f t="shared" si="47"/>
        <v>-6260859</v>
      </c>
    </row>
    <row r="1248" spans="1:19" x14ac:dyDescent="0.3">
      <c r="A1248" s="2" t="s">
        <v>3707</v>
      </c>
      <c r="B1248" s="2">
        <v>93</v>
      </c>
      <c r="C1248" s="3">
        <v>18500966</v>
      </c>
      <c r="D1248" s="3" t="s">
        <v>5846</v>
      </c>
      <c r="E1248" s="2" t="s">
        <v>3708</v>
      </c>
      <c r="F1248" s="2" t="s">
        <v>10</v>
      </c>
      <c r="G1248" s="2" t="s">
        <v>16</v>
      </c>
      <c r="H1248" s="2">
        <v>13000000</v>
      </c>
      <c r="I1248" s="2">
        <v>6.1</v>
      </c>
      <c r="J1248" s="3">
        <v>9353573</v>
      </c>
      <c r="K1248">
        <f t="shared" si="46"/>
        <v>1.3775047412552699E-3</v>
      </c>
      <c r="R1248" s="12" t="str">
        <f ca="1">IFERROR(__xludf.DUMMYFUNCTION("""COMPUTED_VALUE"""),"Big Miracle ")</f>
        <v>Big Miracle </v>
      </c>
      <c r="S1248" s="12">
        <f t="shared" si="47"/>
        <v>-70116641</v>
      </c>
    </row>
    <row r="1249" spans="1:19" x14ac:dyDescent="0.3">
      <c r="A1249" s="2" t="s">
        <v>3622</v>
      </c>
      <c r="B1249" s="2">
        <v>90</v>
      </c>
      <c r="C1249" s="3">
        <v>39440655</v>
      </c>
      <c r="D1249" s="3" t="s">
        <v>6175</v>
      </c>
      <c r="E1249" s="2" t="s">
        <v>3623</v>
      </c>
      <c r="F1249" s="2" t="s">
        <v>10</v>
      </c>
      <c r="G1249" s="2" t="s">
        <v>11</v>
      </c>
      <c r="H1249" s="2">
        <v>24000000</v>
      </c>
      <c r="I1249" s="2">
        <v>5.9</v>
      </c>
      <c r="J1249" s="3">
        <v>9396487</v>
      </c>
      <c r="K1249">
        <f t="shared" si="46"/>
        <v>1.3775047412552699E-3</v>
      </c>
      <c r="R1249" s="12" t="str">
        <f ca="1">IFERROR(__xludf.DUMMYFUNCTION("""COMPUTED_VALUE"""),"The Deep End of the Ocean ")</f>
        <v>The Deep End of the Ocean </v>
      </c>
      <c r="S1249" s="12">
        <f t="shared" si="47"/>
        <v>43200000</v>
      </c>
    </row>
    <row r="1250" spans="1:19" x14ac:dyDescent="0.3">
      <c r="A1250" s="2" t="s">
        <v>5241</v>
      </c>
      <c r="B1250" s="2">
        <v>80</v>
      </c>
      <c r="C1250" s="2">
        <v>2833383</v>
      </c>
      <c r="D1250" s="3" t="s">
        <v>6176</v>
      </c>
      <c r="E1250" s="2" t="s">
        <v>5242</v>
      </c>
      <c r="F1250" s="2" t="s">
        <v>10</v>
      </c>
      <c r="G1250" s="2" t="s">
        <v>11</v>
      </c>
      <c r="H1250" s="2">
        <v>427000</v>
      </c>
      <c r="I1250" s="2">
        <v>5.7</v>
      </c>
      <c r="J1250" s="3">
        <v>9402410</v>
      </c>
      <c r="K1250">
        <f t="shared" si="46"/>
        <v>1.3775047412552699E-3</v>
      </c>
      <c r="R1250" s="12" t="str">
        <f ca="1">IFERROR(__xludf.DUMMYFUNCTION("""COMPUTED_VALUE"""),"Feardotcom ")</f>
        <v>Feardotcom </v>
      </c>
      <c r="S1250" s="12">
        <f t="shared" si="47"/>
        <v>-38858926</v>
      </c>
    </row>
    <row r="1251" spans="1:19" x14ac:dyDescent="0.3">
      <c r="A1251" s="2" t="s">
        <v>197</v>
      </c>
      <c r="B1251" s="2">
        <v>212</v>
      </c>
      <c r="C1251" s="3">
        <v>27281507</v>
      </c>
      <c r="D1251" s="3" t="s">
        <v>6177</v>
      </c>
      <c r="E1251" s="2" t="s">
        <v>1576</v>
      </c>
      <c r="F1251" s="2" t="s">
        <v>10</v>
      </c>
      <c r="G1251" s="2" t="s">
        <v>11</v>
      </c>
      <c r="H1251" s="2">
        <v>50000000</v>
      </c>
      <c r="I1251" s="2">
        <v>7.1</v>
      </c>
      <c r="J1251" s="3">
        <v>9430988</v>
      </c>
      <c r="K1251">
        <f t="shared" si="46"/>
        <v>1.3775047412552699E-3</v>
      </c>
      <c r="R1251" s="12" t="str">
        <f ca="1">IFERROR(__xludf.DUMMYFUNCTION("""COMPUTED_VALUE"""),"Cirque du Freak: The Vampire's Assistant ")</f>
        <v>Cirque du Freak: The Vampire's Assistant </v>
      </c>
      <c r="S1251" s="12">
        <f t="shared" si="47"/>
        <v>-14952285</v>
      </c>
    </row>
    <row r="1252" spans="1:19" x14ac:dyDescent="0.3">
      <c r="A1252" s="2" t="s">
        <v>2848</v>
      </c>
      <c r="B1252" s="2">
        <v>114</v>
      </c>
      <c r="C1252" s="3">
        <v>182204440</v>
      </c>
      <c r="D1252" s="3" t="s">
        <v>6178</v>
      </c>
      <c r="E1252" s="2" t="s">
        <v>2849</v>
      </c>
      <c r="F1252" s="2" t="s">
        <v>10</v>
      </c>
      <c r="G1252" s="2" t="s">
        <v>11</v>
      </c>
      <c r="H1252" s="2">
        <v>35000000</v>
      </c>
      <c r="I1252" s="2">
        <v>5.8</v>
      </c>
      <c r="J1252" s="3">
        <v>9437933</v>
      </c>
      <c r="K1252">
        <f t="shared" si="46"/>
        <v>1.3775047412552699E-3</v>
      </c>
      <c r="R1252" s="12" t="str">
        <f ca="1">IFERROR(__xludf.DUMMYFUNCTION("""COMPUTED_VALUE"""),"Duplex ")</f>
        <v>Duplex </v>
      </c>
      <c r="S1252" s="12">
        <f t="shared" si="47"/>
        <v>-226747036</v>
      </c>
    </row>
    <row r="1253" spans="1:19" x14ac:dyDescent="0.3">
      <c r="A1253" s="2" t="s">
        <v>1597</v>
      </c>
      <c r="B1253" s="2">
        <v>88</v>
      </c>
      <c r="C1253" s="3">
        <v>91547205</v>
      </c>
      <c r="D1253" s="3" t="s">
        <v>5768</v>
      </c>
      <c r="E1253" s="2" t="s">
        <v>1598</v>
      </c>
      <c r="F1253" s="2" t="s">
        <v>10</v>
      </c>
      <c r="G1253" s="2" t="s">
        <v>11</v>
      </c>
      <c r="H1253" s="2">
        <v>2600000</v>
      </c>
      <c r="I1253" s="2">
        <v>7.5</v>
      </c>
      <c r="J1253" s="3">
        <v>9449219</v>
      </c>
      <c r="K1253">
        <f t="shared" si="46"/>
        <v>1.3775047412552699E-3</v>
      </c>
      <c r="R1253" s="12" t="str">
        <f ca="1">IFERROR(__xludf.DUMMYFUNCTION("""COMPUTED_VALUE"""),"Raise the Titanic ")</f>
        <v>Raise the Titanic </v>
      </c>
      <c r="S1253" s="12">
        <f t="shared" si="47"/>
        <v>115313314</v>
      </c>
    </row>
    <row r="1254" spans="1:19" x14ac:dyDescent="0.3">
      <c r="A1254" s="2" t="s">
        <v>630</v>
      </c>
      <c r="B1254" s="2">
        <v>110</v>
      </c>
      <c r="C1254" s="3">
        <v>54257433</v>
      </c>
      <c r="D1254" s="3" t="s">
        <v>6179</v>
      </c>
      <c r="E1254" s="2" t="s">
        <v>3280</v>
      </c>
      <c r="F1254" s="2" t="s">
        <v>10</v>
      </c>
      <c r="G1254" s="2" t="s">
        <v>11</v>
      </c>
      <c r="H1254" s="2">
        <v>16000000</v>
      </c>
      <c r="I1254" s="2">
        <v>7.6</v>
      </c>
      <c r="J1254" s="3">
        <v>9473382</v>
      </c>
      <c r="K1254">
        <f t="shared" si="46"/>
        <v>1.3775047412552699E-3</v>
      </c>
      <c r="R1254" s="12" t="str">
        <f ca="1">IFERROR(__xludf.DUMMYFUNCTION("""COMPUTED_VALUE"""),"Universal Soldier: The Return ")</f>
        <v>Universal Soldier: The Return </v>
      </c>
      <c r="S1254" s="12">
        <f t="shared" si="47"/>
        <v>107044774</v>
      </c>
    </row>
    <row r="1255" spans="1:19" x14ac:dyDescent="0.3">
      <c r="A1255" s="2" t="s">
        <v>1886</v>
      </c>
      <c r="B1255" s="2">
        <v>188</v>
      </c>
      <c r="C1255" s="3">
        <v>4884663</v>
      </c>
      <c r="D1255" s="3" t="s">
        <v>5890</v>
      </c>
      <c r="E1255" s="2" t="s">
        <v>1901</v>
      </c>
      <c r="F1255" s="2" t="s">
        <v>10</v>
      </c>
      <c r="G1255" s="2" t="s">
        <v>11</v>
      </c>
      <c r="H1255" s="2">
        <v>37000000</v>
      </c>
      <c r="I1255" s="2">
        <v>8</v>
      </c>
      <c r="J1255" s="3">
        <v>9483821</v>
      </c>
      <c r="K1255">
        <f t="shared" si="46"/>
        <v>1.3775047412552699E-3</v>
      </c>
      <c r="R1255" s="12" t="str">
        <f ca="1">IFERROR(__xludf.DUMMYFUNCTION("""COMPUTED_VALUE"""),"Pandorum ")</f>
        <v>Pandorum </v>
      </c>
      <c r="S1255" s="12">
        <f t="shared" si="47"/>
        <v>40127620</v>
      </c>
    </row>
    <row r="1256" spans="1:19" x14ac:dyDescent="0.3">
      <c r="A1256" s="2" t="s">
        <v>5365</v>
      </c>
      <c r="B1256" s="2">
        <v>96</v>
      </c>
      <c r="C1256" s="3">
        <v>31136950</v>
      </c>
      <c r="D1256" s="3" t="s">
        <v>6035</v>
      </c>
      <c r="E1256" s="2" t="s">
        <v>5366</v>
      </c>
      <c r="F1256" s="2" t="s">
        <v>10</v>
      </c>
      <c r="G1256" s="2" t="s">
        <v>11</v>
      </c>
      <c r="H1256" s="2">
        <v>1500000</v>
      </c>
      <c r="I1256" s="2">
        <v>5.4</v>
      </c>
      <c r="J1256" s="3">
        <v>9525276</v>
      </c>
      <c r="K1256">
        <f t="shared" si="46"/>
        <v>1.3775047412552699E-3</v>
      </c>
      <c r="R1256" s="12" t="str">
        <f ca="1">IFERROR(__xludf.DUMMYFUNCTION("""COMPUTED_VALUE"""),"Impostor ")</f>
        <v>Impostor </v>
      </c>
      <c r="S1256" s="12">
        <f t="shared" si="47"/>
        <v>34737059</v>
      </c>
    </row>
    <row r="1257" spans="1:19" x14ac:dyDescent="0.3">
      <c r="A1257" s="2" t="s">
        <v>5362</v>
      </c>
      <c r="B1257" s="2">
        <v>81</v>
      </c>
      <c r="C1257" s="3">
        <v>6594136</v>
      </c>
      <c r="D1257" s="3" t="s">
        <v>5825</v>
      </c>
      <c r="E1257" s="2" t="s">
        <v>5363</v>
      </c>
      <c r="F1257" s="2" t="s">
        <v>10</v>
      </c>
      <c r="G1257" s="2" t="s">
        <v>11</v>
      </c>
      <c r="H1257" s="2">
        <v>1000000</v>
      </c>
      <c r="I1257" s="2">
        <v>6.9</v>
      </c>
      <c r="J1257" s="3">
        <v>9528092</v>
      </c>
      <c r="K1257">
        <f t="shared" si="46"/>
        <v>1.3775047412552699E-3</v>
      </c>
      <c r="R1257" s="12" t="str">
        <f ca="1">IFERROR(__xludf.DUMMYFUNCTION("""COMPUTED_VALUE"""),"Extreme Ops ")</f>
        <v>Extreme Ops </v>
      </c>
      <c r="S1257" s="12">
        <f t="shared" si="47"/>
        <v>90913606</v>
      </c>
    </row>
    <row r="1258" spans="1:19" x14ac:dyDescent="0.3">
      <c r="A1258" s="2" t="s">
        <v>1288</v>
      </c>
      <c r="B1258" s="2">
        <v>189</v>
      </c>
      <c r="C1258" s="3">
        <v>12793213</v>
      </c>
      <c r="D1258" s="3" t="s">
        <v>5869</v>
      </c>
      <c r="E1258" s="2" t="s">
        <v>1289</v>
      </c>
      <c r="F1258" s="2" t="s">
        <v>10</v>
      </c>
      <c r="G1258" s="2" t="s">
        <v>11</v>
      </c>
      <c r="H1258" s="2">
        <v>53000000</v>
      </c>
      <c r="I1258" s="2">
        <v>7.6</v>
      </c>
      <c r="J1258" s="3">
        <v>9589875</v>
      </c>
      <c r="K1258">
        <f t="shared" si="46"/>
        <v>1.3775047412552699E-3</v>
      </c>
      <c r="R1258" s="12" t="str">
        <f ca="1">IFERROR(__xludf.DUMMYFUNCTION("""COMPUTED_VALUE"""),"Just Visiting ")</f>
        <v>Just Visiting </v>
      </c>
      <c r="S1258" s="12">
        <f t="shared" si="47"/>
        <v>-135557129</v>
      </c>
    </row>
    <row r="1259" spans="1:19" x14ac:dyDescent="0.3">
      <c r="A1259" s="2" t="s">
        <v>5388</v>
      </c>
      <c r="B1259" s="2">
        <v>96</v>
      </c>
      <c r="C1259" s="3">
        <v>137963328</v>
      </c>
      <c r="D1259" s="3" t="s">
        <v>5869</v>
      </c>
      <c r="E1259" s="2" t="s">
        <v>5389</v>
      </c>
      <c r="F1259" s="2" t="s">
        <v>10</v>
      </c>
      <c r="G1259" s="2" t="s">
        <v>16</v>
      </c>
      <c r="H1259" s="2">
        <v>1000000</v>
      </c>
      <c r="I1259" s="2">
        <v>5.6</v>
      </c>
      <c r="J1259" s="3">
        <v>9600000</v>
      </c>
      <c r="K1259">
        <f t="shared" si="46"/>
        <v>1.3775047412552699E-3</v>
      </c>
      <c r="R1259" s="12" t="str">
        <f ca="1">IFERROR(__xludf.DUMMYFUNCTION("""COMPUTED_VALUE"""),"Sunshine ")</f>
        <v>Sunshine </v>
      </c>
      <c r="S1259" s="12">
        <f t="shared" si="47"/>
        <v>15948711</v>
      </c>
    </row>
    <row r="1260" spans="1:19" x14ac:dyDescent="0.3">
      <c r="A1260" s="2" t="s">
        <v>958</v>
      </c>
      <c r="B1260" s="2">
        <v>123</v>
      </c>
      <c r="C1260" s="3">
        <v>79817937</v>
      </c>
      <c r="D1260" s="3" t="s">
        <v>520</v>
      </c>
      <c r="E1260" s="2" t="s">
        <v>1683</v>
      </c>
      <c r="F1260" s="2" t="s">
        <v>10</v>
      </c>
      <c r="G1260" s="2" t="s">
        <v>11</v>
      </c>
      <c r="H1260" s="2">
        <v>40000000</v>
      </c>
      <c r="I1260" s="2">
        <v>7</v>
      </c>
      <c r="J1260" s="3">
        <v>9628751</v>
      </c>
      <c r="K1260">
        <f t="shared" si="46"/>
        <v>1.3775047412552699E-3</v>
      </c>
      <c r="R1260" s="12" t="str">
        <f ca="1">IFERROR(__xludf.DUMMYFUNCTION("""COMPUTED_VALUE"""),"A Thousand Words ")</f>
        <v>A Thousand Words </v>
      </c>
      <c r="S1260" s="12">
        <f t="shared" si="47"/>
        <v>28146570</v>
      </c>
    </row>
    <row r="1261" spans="1:19" x14ac:dyDescent="0.3">
      <c r="A1261" s="2" t="s">
        <v>1677</v>
      </c>
      <c r="B1261" s="2">
        <v>85</v>
      </c>
      <c r="C1261" s="2">
        <v>57859105</v>
      </c>
      <c r="D1261" s="3" t="s">
        <v>5974</v>
      </c>
      <c r="E1261" s="2" t="s">
        <v>2478</v>
      </c>
      <c r="F1261" s="2" t="s">
        <v>10</v>
      </c>
      <c r="G1261" s="2" t="s">
        <v>11</v>
      </c>
      <c r="H1261" s="2">
        <v>26000000</v>
      </c>
      <c r="I1261" s="2">
        <v>6.5</v>
      </c>
      <c r="J1261" s="3">
        <v>9639242</v>
      </c>
      <c r="K1261">
        <f t="shared" si="46"/>
        <v>1.3775047412552699E-3</v>
      </c>
      <c r="R1261" s="12" t="str">
        <f ca="1">IFERROR(__xludf.DUMMYFUNCTION("""COMPUTED_VALUE"""),"Delgo ")</f>
        <v>Delgo </v>
      </c>
      <c r="S1261" s="12">
        <f t="shared" si="47"/>
        <v>-2978000</v>
      </c>
    </row>
    <row r="1262" spans="1:19" x14ac:dyDescent="0.3">
      <c r="A1262" s="2" t="s">
        <v>1740</v>
      </c>
      <c r="B1262" s="2">
        <v>103</v>
      </c>
      <c r="C1262" s="3">
        <v>11576087</v>
      </c>
      <c r="D1262" s="3" t="s">
        <v>5861</v>
      </c>
      <c r="E1262" s="2" t="s">
        <v>1741</v>
      </c>
      <c r="F1262" s="2" t="s">
        <v>10</v>
      </c>
      <c r="G1262" s="2" t="s">
        <v>11</v>
      </c>
      <c r="H1262" s="2">
        <v>40000000</v>
      </c>
      <c r="I1262" s="2">
        <v>5.5</v>
      </c>
      <c r="J1262" s="3">
        <v>9652000</v>
      </c>
      <c r="K1262">
        <f t="shared" si="46"/>
        <v>1.3775047412552699E-3</v>
      </c>
      <c r="R1262" s="12" t="str">
        <f ca="1">IFERROR(__xludf.DUMMYFUNCTION("""COMPUTED_VALUE"""),"The Gunman ")</f>
        <v>The Gunman </v>
      </c>
      <c r="S1262" s="12">
        <f t="shared" si="47"/>
        <v>53002193</v>
      </c>
    </row>
    <row r="1263" spans="1:19" x14ac:dyDescent="0.3">
      <c r="A1263" s="2" t="s">
        <v>5614</v>
      </c>
      <c r="B1263" s="2">
        <v>95</v>
      </c>
      <c r="C1263" s="3">
        <v>79711678</v>
      </c>
      <c r="D1263" s="3" t="s">
        <v>6180</v>
      </c>
      <c r="E1263" s="2" t="s">
        <v>5615</v>
      </c>
      <c r="F1263" s="2" t="s">
        <v>10</v>
      </c>
      <c r="G1263" s="2" t="s">
        <v>11</v>
      </c>
      <c r="H1263" s="2">
        <v>250000</v>
      </c>
      <c r="I1263" s="2">
        <v>4.4000000000000004</v>
      </c>
      <c r="J1263" s="3">
        <v>9658370</v>
      </c>
      <c r="K1263">
        <f t="shared" si="46"/>
        <v>1.3775047412552699E-3</v>
      </c>
      <c r="R1263" s="12" t="str">
        <f ca="1">IFERROR(__xludf.DUMMYFUNCTION("""COMPUTED_VALUE"""),"Alex Rider: Operation Stormbreaker ")</f>
        <v>Alex Rider: Operation Stormbreaker </v>
      </c>
      <c r="S1263" s="12">
        <f t="shared" si="47"/>
        <v>25628009</v>
      </c>
    </row>
    <row r="1264" spans="1:19" x14ac:dyDescent="0.3">
      <c r="A1264" s="2" t="s">
        <v>45</v>
      </c>
      <c r="B1264" s="2">
        <v>182</v>
      </c>
      <c r="C1264" s="3">
        <v>20339754</v>
      </c>
      <c r="D1264" s="3" t="s">
        <v>5767</v>
      </c>
      <c r="E1264" s="2" t="s">
        <v>173</v>
      </c>
      <c r="F1264" s="2" t="s">
        <v>10</v>
      </c>
      <c r="G1264" s="2" t="s">
        <v>11</v>
      </c>
      <c r="H1264" s="2">
        <v>180000000</v>
      </c>
      <c r="I1264" s="2">
        <v>7.9</v>
      </c>
      <c r="J1264" s="3">
        <v>9664316</v>
      </c>
      <c r="K1264">
        <f t="shared" si="46"/>
        <v>1.3775047412552699E-3</v>
      </c>
      <c r="R1264" s="12" t="str">
        <f ca="1">IFERROR(__xludf.DUMMYFUNCTION("""COMPUTED_VALUE"""),"Disturbia ")</f>
        <v>Disturbia </v>
      </c>
      <c r="S1264" s="12">
        <f t="shared" si="47"/>
        <v>28462438</v>
      </c>
    </row>
    <row r="1265" spans="1:19" x14ac:dyDescent="0.3">
      <c r="A1265" s="2" t="s">
        <v>4862</v>
      </c>
      <c r="B1265" s="2">
        <v>96</v>
      </c>
      <c r="C1265" s="3">
        <v>26616999</v>
      </c>
      <c r="D1265" s="3" t="s">
        <v>5865</v>
      </c>
      <c r="E1265" s="2" t="s">
        <v>4863</v>
      </c>
      <c r="F1265" s="2" t="s">
        <v>10</v>
      </c>
      <c r="G1265" s="2" t="s">
        <v>11</v>
      </c>
      <c r="H1265" s="2">
        <v>3500000</v>
      </c>
      <c r="I1265" s="2">
        <v>6.1</v>
      </c>
      <c r="J1265" s="3">
        <v>9694105</v>
      </c>
      <c r="K1265">
        <f t="shared" si="46"/>
        <v>1.3775047412552699E-3</v>
      </c>
      <c r="R1265" s="12" t="str">
        <f ca="1">IFERROR(__xludf.DUMMYFUNCTION("""COMPUTED_VALUE"""),"Hackers ")</f>
        <v>Hackers </v>
      </c>
      <c r="S1265" s="12">
        <f t="shared" si="47"/>
        <v>25807024</v>
      </c>
    </row>
    <row r="1266" spans="1:19" x14ac:dyDescent="0.3">
      <c r="A1266" s="2" t="s">
        <v>74</v>
      </c>
      <c r="B1266" s="2">
        <v>165</v>
      </c>
      <c r="C1266" s="3">
        <v>130058047</v>
      </c>
      <c r="D1266" s="3" t="s">
        <v>5910</v>
      </c>
      <c r="E1266" s="2" t="s">
        <v>76</v>
      </c>
      <c r="F1266" s="2" t="s">
        <v>10</v>
      </c>
      <c r="G1266" s="2" t="s">
        <v>11</v>
      </c>
      <c r="H1266" s="2">
        <v>210000000</v>
      </c>
      <c r="I1266" s="2">
        <v>5.7</v>
      </c>
      <c r="J1266" s="3">
        <v>9701559</v>
      </c>
      <c r="K1266">
        <f t="shared" si="46"/>
        <v>1.3775047412552699E-3</v>
      </c>
      <c r="R1266" s="12" t="str">
        <f ca="1">IFERROR(__xludf.DUMMYFUNCTION("""COMPUTED_VALUE"""),"The Hunting Party ")</f>
        <v>The Hunting Party </v>
      </c>
      <c r="S1266" s="12">
        <f t="shared" si="47"/>
        <v>45332007</v>
      </c>
    </row>
    <row r="1267" spans="1:19" x14ac:dyDescent="0.3">
      <c r="A1267" s="2" t="s">
        <v>1078</v>
      </c>
      <c r="B1267" s="2">
        <v>99</v>
      </c>
      <c r="C1267" s="3">
        <v>31111260</v>
      </c>
      <c r="D1267" s="3" t="s">
        <v>6049</v>
      </c>
      <c r="E1267" s="2" t="s">
        <v>2107</v>
      </c>
      <c r="F1267" s="2" t="s">
        <v>10</v>
      </c>
      <c r="G1267" s="2" t="s">
        <v>71</v>
      </c>
      <c r="H1267" s="2">
        <v>35000000</v>
      </c>
      <c r="I1267" s="2">
        <v>5.0999999999999996</v>
      </c>
      <c r="J1267" s="3">
        <v>9714482</v>
      </c>
      <c r="K1267">
        <f t="shared" si="46"/>
        <v>1.3775047412552699E-3</v>
      </c>
      <c r="R1267" s="12" t="str">
        <f ca="1">IFERROR(__xludf.DUMMYFUNCTION("""COMPUTED_VALUE"""),"The Hudsucker Proxy ")</f>
        <v>The Hudsucker Proxy </v>
      </c>
      <c r="S1267" s="12">
        <f t="shared" si="47"/>
        <v>20703412</v>
      </c>
    </row>
    <row r="1268" spans="1:19" x14ac:dyDescent="0.3">
      <c r="A1268" s="2" t="s">
        <v>466</v>
      </c>
      <c r="B1268" s="2">
        <v>75</v>
      </c>
      <c r="C1268" s="3">
        <v>6615578</v>
      </c>
      <c r="D1268" s="3" t="s">
        <v>5874</v>
      </c>
      <c r="E1268" s="2" t="s">
        <v>2140</v>
      </c>
      <c r="F1268" s="2" t="s">
        <v>10</v>
      </c>
      <c r="G1268" s="2" t="s">
        <v>11</v>
      </c>
      <c r="H1268" s="2">
        <v>32000000</v>
      </c>
      <c r="I1268" s="2">
        <v>6.9</v>
      </c>
      <c r="J1268" s="3">
        <v>9795017</v>
      </c>
      <c r="K1268">
        <f t="shared" si="46"/>
        <v>1.3775047412552699E-3</v>
      </c>
      <c r="R1268" s="12" t="str">
        <f ca="1">IFERROR(__xludf.DUMMYFUNCTION("""COMPUTED_VALUE"""),"The Warlords ")</f>
        <v>The Warlords </v>
      </c>
      <c r="S1268" s="12">
        <f t="shared" si="47"/>
        <v>31346930</v>
      </c>
    </row>
    <row r="1269" spans="1:19" x14ac:dyDescent="0.3">
      <c r="A1269" s="2" t="s">
        <v>3533</v>
      </c>
      <c r="B1269" s="2">
        <v>105</v>
      </c>
      <c r="C1269" s="3">
        <v>54000000</v>
      </c>
      <c r="D1269" s="3" t="s">
        <v>5767</v>
      </c>
      <c r="E1269" s="2" t="s">
        <v>3534</v>
      </c>
      <c r="F1269" s="2" t="s">
        <v>10</v>
      </c>
      <c r="G1269" s="2" t="s">
        <v>11</v>
      </c>
      <c r="H1269" s="2">
        <v>15000000</v>
      </c>
      <c r="I1269" s="2">
        <v>4.5999999999999996</v>
      </c>
      <c r="J1269" s="3">
        <v>9801782</v>
      </c>
      <c r="K1269">
        <f t="shared" si="46"/>
        <v>1.3775047412552699E-3</v>
      </c>
      <c r="R1269" s="12" t="str">
        <f ca="1">IFERROR(__xludf.DUMMYFUNCTION("""COMPUTED_VALUE"""),"Nomad: The Warrior ")</f>
        <v>Nomad: The Warrior </v>
      </c>
      <c r="S1269" s="12">
        <f t="shared" si="47"/>
        <v>4475193</v>
      </c>
    </row>
    <row r="1270" spans="1:19" x14ac:dyDescent="0.3">
      <c r="A1270" s="2" t="s">
        <v>2314</v>
      </c>
      <c r="B1270" s="2">
        <v>106</v>
      </c>
      <c r="C1270" s="3">
        <v>85911262</v>
      </c>
      <c r="D1270" s="3" t="s">
        <v>5940</v>
      </c>
      <c r="E1270" s="2" t="s">
        <v>3744</v>
      </c>
      <c r="F1270" s="2" t="s">
        <v>10</v>
      </c>
      <c r="G1270" s="2" t="s">
        <v>11</v>
      </c>
      <c r="H1270" s="2">
        <v>12000000</v>
      </c>
      <c r="I1270" s="2">
        <v>7.4</v>
      </c>
      <c r="J1270" s="3">
        <v>9821335</v>
      </c>
      <c r="K1270">
        <f t="shared" si="46"/>
        <v>1.3775047412552699E-3</v>
      </c>
      <c r="R1270" s="12" t="str">
        <f ca="1">IFERROR(__xludf.DUMMYFUNCTION("""COMPUTED_VALUE"""),"Snowpiercer ")</f>
        <v>Snowpiercer </v>
      </c>
      <c r="S1270" s="12">
        <f t="shared" si="47"/>
        <v>5500966</v>
      </c>
    </row>
    <row r="1271" spans="1:19" x14ac:dyDescent="0.3">
      <c r="A1271" s="2" t="s">
        <v>965</v>
      </c>
      <c r="B1271" s="2">
        <v>138</v>
      </c>
      <c r="C1271" s="3">
        <v>39380442</v>
      </c>
      <c r="D1271" s="3" t="s">
        <v>5808</v>
      </c>
      <c r="E1271" s="2" t="s">
        <v>2184</v>
      </c>
      <c r="F1271" s="2" t="s">
        <v>10</v>
      </c>
      <c r="G1271" s="2" t="s">
        <v>11</v>
      </c>
      <c r="H1271" s="2">
        <v>25000000</v>
      </c>
      <c r="I1271" s="2">
        <v>8</v>
      </c>
      <c r="J1271" s="3">
        <v>9929000</v>
      </c>
      <c r="K1271">
        <f t="shared" si="46"/>
        <v>1.3775047412552699E-3</v>
      </c>
      <c r="R1271" s="12" t="str">
        <f ca="1">IFERROR(__xludf.DUMMYFUNCTION("""COMPUTED_VALUE"""),"The Crow ")</f>
        <v>The Crow </v>
      </c>
      <c r="S1271" s="12">
        <f t="shared" si="47"/>
        <v>15440655</v>
      </c>
    </row>
    <row r="1272" spans="1:19" x14ac:dyDescent="0.3">
      <c r="A1272" s="2" t="s">
        <v>1075</v>
      </c>
      <c r="B1272" s="2">
        <v>90</v>
      </c>
      <c r="C1272" s="3">
        <v>43575716</v>
      </c>
      <c r="D1272" s="3" t="s">
        <v>5913</v>
      </c>
      <c r="E1272" s="2" t="s">
        <v>1153</v>
      </c>
      <c r="F1272" s="2" t="s">
        <v>10</v>
      </c>
      <c r="G1272" s="2" t="s">
        <v>11</v>
      </c>
      <c r="H1272" s="2">
        <v>60000000</v>
      </c>
      <c r="I1272" s="2">
        <v>4.9000000000000004</v>
      </c>
      <c r="J1272" s="3">
        <v>9975684</v>
      </c>
      <c r="K1272">
        <f t="shared" si="46"/>
        <v>1.3775047412552699E-3</v>
      </c>
      <c r="R1272" s="12" t="str">
        <f ca="1">IFERROR(__xludf.DUMMYFUNCTION("""COMPUTED_VALUE"""),"Baahubali: The Beginning ")</f>
        <v>Baahubali: The Beginning </v>
      </c>
      <c r="S1272" s="12">
        <f t="shared" si="47"/>
        <v>2406383</v>
      </c>
    </row>
    <row r="1273" spans="1:19" x14ac:dyDescent="0.3">
      <c r="A1273" s="2" t="s">
        <v>462</v>
      </c>
      <c r="B1273" s="2">
        <v>99</v>
      </c>
      <c r="C1273" s="3">
        <v>2600000</v>
      </c>
      <c r="D1273" s="3" t="s">
        <v>6144</v>
      </c>
      <c r="E1273" s="2" t="s">
        <v>5255</v>
      </c>
      <c r="F1273" s="2" t="s">
        <v>10</v>
      </c>
      <c r="G1273" s="2" t="s">
        <v>11</v>
      </c>
      <c r="H1273" s="2">
        <v>1200000</v>
      </c>
      <c r="I1273" s="2">
        <v>8.4</v>
      </c>
      <c r="J1273" s="3">
        <v>10014234</v>
      </c>
      <c r="K1273">
        <f t="shared" si="46"/>
        <v>1.3775047412552699E-3</v>
      </c>
      <c r="R1273" s="12" t="str">
        <f ca="1">IFERROR(__xludf.DUMMYFUNCTION("""COMPUTED_VALUE"""),"The Time Traveler's Wife ")</f>
        <v>The Time Traveler's Wife </v>
      </c>
      <c r="S1273" s="12">
        <f t="shared" si="47"/>
        <v>-22718493</v>
      </c>
    </row>
    <row r="1274" spans="1:19" x14ac:dyDescent="0.3">
      <c r="A1274" s="2" t="s">
        <v>231</v>
      </c>
      <c r="B1274" s="2">
        <v>130</v>
      </c>
      <c r="C1274" s="3">
        <v>98895417</v>
      </c>
      <c r="D1274" s="3" t="s">
        <v>885</v>
      </c>
      <c r="E1274" s="2" t="s">
        <v>1065</v>
      </c>
      <c r="F1274" s="2" t="s">
        <v>10</v>
      </c>
      <c r="G1274" s="2" t="s">
        <v>11</v>
      </c>
      <c r="H1274" s="2">
        <v>60000000</v>
      </c>
      <c r="I1274" s="2">
        <v>7</v>
      </c>
      <c r="J1274" s="3">
        <v>10017041</v>
      </c>
      <c r="K1274">
        <f t="shared" si="46"/>
        <v>1.3775047412552699E-3</v>
      </c>
      <c r="R1274" s="12" t="str">
        <f ca="1">IFERROR(__xludf.DUMMYFUNCTION("""COMPUTED_VALUE"""),"Frankenweenie ")</f>
        <v>Frankenweenie </v>
      </c>
      <c r="S1274" s="12">
        <f t="shared" si="47"/>
        <v>147204440</v>
      </c>
    </row>
    <row r="1275" spans="1:19" x14ac:dyDescent="0.3">
      <c r="A1275" s="2" t="s">
        <v>810</v>
      </c>
      <c r="B1275" s="2">
        <v>147</v>
      </c>
      <c r="C1275" s="3">
        <v>129995817</v>
      </c>
      <c r="D1275" s="3" t="s">
        <v>6181</v>
      </c>
      <c r="E1275" s="2" t="s">
        <v>1593</v>
      </c>
      <c r="F1275" s="2" t="s">
        <v>10</v>
      </c>
      <c r="G1275" s="2" t="s">
        <v>11</v>
      </c>
      <c r="H1275" s="2">
        <v>44000000</v>
      </c>
      <c r="I1275" s="2">
        <v>7.5</v>
      </c>
      <c r="J1275" s="3">
        <v>10037390</v>
      </c>
      <c r="K1275">
        <f t="shared" si="46"/>
        <v>1.3775047412552699E-3</v>
      </c>
      <c r="R1275" s="12" t="str">
        <f ca="1">IFERROR(__xludf.DUMMYFUNCTION("""COMPUTED_VALUE"""),"Serenity ")</f>
        <v>Serenity </v>
      </c>
      <c r="S1275" s="12">
        <f t="shared" si="47"/>
        <v>88947205</v>
      </c>
    </row>
    <row r="1276" spans="1:19" x14ac:dyDescent="0.3">
      <c r="A1276" s="2" t="s">
        <v>814</v>
      </c>
      <c r="B1276" s="2">
        <v>108</v>
      </c>
      <c r="C1276" s="3">
        <v>129734803</v>
      </c>
      <c r="D1276" s="3" t="s">
        <v>6182</v>
      </c>
      <c r="E1276" s="2" t="s">
        <v>1854</v>
      </c>
      <c r="F1276" s="2" t="s">
        <v>10</v>
      </c>
      <c r="G1276" s="2" t="s">
        <v>11</v>
      </c>
      <c r="H1276" s="2">
        <v>38000000</v>
      </c>
      <c r="I1276" s="2">
        <v>6.1</v>
      </c>
      <c r="J1276" s="3">
        <v>10042266</v>
      </c>
      <c r="K1276">
        <f t="shared" si="46"/>
        <v>1.3775047412552699E-3</v>
      </c>
      <c r="R1276" s="12" t="str">
        <f ca="1">IFERROR(__xludf.DUMMYFUNCTION("""COMPUTED_VALUE"""),"Against the Ropes ")</f>
        <v>Against the Ropes </v>
      </c>
      <c r="S1276" s="12">
        <f t="shared" si="47"/>
        <v>38257433</v>
      </c>
    </row>
    <row r="1277" spans="1:19" x14ac:dyDescent="0.3">
      <c r="A1277" s="2" t="s">
        <v>50</v>
      </c>
      <c r="B1277" s="2">
        <v>156</v>
      </c>
      <c r="C1277" s="3">
        <v>32391374</v>
      </c>
      <c r="D1277" s="3" t="s">
        <v>5960</v>
      </c>
      <c r="E1277" s="2" t="s">
        <v>51</v>
      </c>
      <c r="F1277" s="2" t="s">
        <v>10</v>
      </c>
      <c r="G1277" s="2" t="s">
        <v>11</v>
      </c>
      <c r="H1277" s="2">
        <v>200000000</v>
      </c>
      <c r="I1277" s="2">
        <v>6.7</v>
      </c>
      <c r="J1277" s="3">
        <v>10049886</v>
      </c>
      <c r="K1277">
        <f t="shared" si="46"/>
        <v>1.3775047412552699E-3</v>
      </c>
      <c r="R1277" s="12" t="str">
        <f ca="1">IFERROR(__xludf.DUMMYFUNCTION("""COMPUTED_VALUE"""),"Superman III ")</f>
        <v>Superman III </v>
      </c>
      <c r="S1277" s="12">
        <f t="shared" si="47"/>
        <v>-32115337</v>
      </c>
    </row>
    <row r="1278" spans="1:19" x14ac:dyDescent="0.3">
      <c r="A1278" s="2" t="s">
        <v>689</v>
      </c>
      <c r="B1278" s="2">
        <v>105</v>
      </c>
      <c r="C1278" s="3">
        <v>24407944</v>
      </c>
      <c r="D1278" s="3" t="s">
        <v>5921</v>
      </c>
      <c r="E1278" s="2" t="s">
        <v>1829</v>
      </c>
      <c r="F1278" s="2" t="s">
        <v>10</v>
      </c>
      <c r="G1278" s="2" t="s">
        <v>11</v>
      </c>
      <c r="H1278" s="2">
        <v>20000000</v>
      </c>
      <c r="I1278" s="2">
        <v>6.9</v>
      </c>
      <c r="J1278" s="3">
        <v>10070000</v>
      </c>
      <c r="K1278">
        <f t="shared" si="46"/>
        <v>1.3775047412552699E-3</v>
      </c>
      <c r="R1278" s="12" t="str">
        <f ca="1">IFERROR(__xludf.DUMMYFUNCTION("""COMPUTED_VALUE"""),"Grudge Match ")</f>
        <v>Grudge Match </v>
      </c>
      <c r="S1278" s="12">
        <f t="shared" si="47"/>
        <v>29636950</v>
      </c>
    </row>
    <row r="1279" spans="1:19" x14ac:dyDescent="0.3">
      <c r="A1279" s="2" t="s">
        <v>5528</v>
      </c>
      <c r="B1279" s="2">
        <v>91</v>
      </c>
      <c r="C1279" s="3">
        <v>14792779</v>
      </c>
      <c r="D1279" s="3" t="s">
        <v>6183</v>
      </c>
      <c r="E1279" s="2" t="s">
        <v>5529</v>
      </c>
      <c r="F1279" s="2" t="s">
        <v>10</v>
      </c>
      <c r="G1279" s="2" t="s">
        <v>11</v>
      </c>
      <c r="H1279" s="2">
        <v>450000</v>
      </c>
      <c r="I1279" s="2">
        <v>5.9</v>
      </c>
      <c r="J1279" s="3">
        <v>10076136</v>
      </c>
      <c r="K1279">
        <f t="shared" si="46"/>
        <v>1.3775047412552699E-3</v>
      </c>
      <c r="R1279" s="12" t="str">
        <f ca="1">IFERROR(__xludf.DUMMYFUNCTION("""COMPUTED_VALUE"""),"Red Cliff ")</f>
        <v>Red Cliff </v>
      </c>
      <c r="S1279" s="12">
        <f t="shared" si="47"/>
        <v>5594136</v>
      </c>
    </row>
    <row r="1280" spans="1:19" x14ac:dyDescent="0.3">
      <c r="A1280" s="2" t="s">
        <v>399</v>
      </c>
      <c r="B1280" s="2">
        <v>114</v>
      </c>
      <c r="C1280" s="3">
        <v>85884815</v>
      </c>
      <c r="D1280" s="3" t="s">
        <v>6184</v>
      </c>
      <c r="E1280" s="2" t="s">
        <v>400</v>
      </c>
      <c r="F1280" s="2" t="s">
        <v>10</v>
      </c>
      <c r="G1280" s="2" t="s">
        <v>11</v>
      </c>
      <c r="H1280" s="2">
        <v>110000000</v>
      </c>
      <c r="I1280" s="2">
        <v>6.1</v>
      </c>
      <c r="J1280" s="3">
        <v>10097096</v>
      </c>
      <c r="K1280">
        <f t="shared" si="46"/>
        <v>1.3775047412552699E-3</v>
      </c>
      <c r="R1280" s="12" t="str">
        <f ca="1">IFERROR(__xludf.DUMMYFUNCTION("""COMPUTED_VALUE"""),"Sweet Home Alabama ")</f>
        <v>Sweet Home Alabama </v>
      </c>
      <c r="S1280" s="12">
        <f t="shared" si="47"/>
        <v>-40206787</v>
      </c>
    </row>
    <row r="1281" spans="1:19" x14ac:dyDescent="0.3">
      <c r="A1281" s="2" t="s">
        <v>3959</v>
      </c>
      <c r="B1281" s="2">
        <v>96</v>
      </c>
      <c r="C1281" s="3">
        <v>61112916</v>
      </c>
      <c r="D1281" s="3" t="s">
        <v>885</v>
      </c>
      <c r="E1281" s="2" t="s">
        <v>3966</v>
      </c>
      <c r="F1281" s="2" t="s">
        <v>10</v>
      </c>
      <c r="G1281" s="2" t="s">
        <v>11</v>
      </c>
      <c r="H1281" s="2">
        <v>10000000</v>
      </c>
      <c r="I1281" s="2">
        <v>5.9</v>
      </c>
      <c r="J1281" s="3">
        <v>10106233</v>
      </c>
      <c r="K1281">
        <f t="shared" si="46"/>
        <v>1.3775047412552699E-3</v>
      </c>
      <c r="R1281" s="12" t="str">
        <f ca="1">IFERROR(__xludf.DUMMYFUNCTION("""COMPUTED_VALUE"""),"The Ugly Truth ")</f>
        <v>The Ugly Truth </v>
      </c>
      <c r="S1281" s="12">
        <f t="shared" si="47"/>
        <v>136963328</v>
      </c>
    </row>
    <row r="1282" spans="1:19" x14ac:dyDescent="0.3">
      <c r="A1282" s="2" t="s">
        <v>1215</v>
      </c>
      <c r="B1282" s="2">
        <v>125</v>
      </c>
      <c r="C1282" s="3">
        <v>24375436</v>
      </c>
      <c r="D1282" s="3" t="s">
        <v>5865</v>
      </c>
      <c r="E1282" s="2" t="s">
        <v>4435</v>
      </c>
      <c r="F1282" s="2" t="s">
        <v>2623</v>
      </c>
      <c r="G1282" s="2" t="s">
        <v>2336</v>
      </c>
      <c r="H1282" s="2">
        <v>5000000</v>
      </c>
      <c r="I1282" s="2">
        <v>6.5</v>
      </c>
      <c r="J1282" s="3">
        <v>10114315</v>
      </c>
      <c r="K1282">
        <f t="shared" ref="K1282:K1345" si="48">CORREL(H$2:H$3941,J$2:J$3941)</f>
        <v>1.3775047412552699E-3</v>
      </c>
      <c r="R1282" s="12" t="str">
        <f ca="1">IFERROR(__xludf.DUMMYFUNCTION("""COMPUTED_VALUE"""),"Sgt. Bilko ")</f>
        <v>Sgt. Bilko </v>
      </c>
      <c r="S1282" s="12">
        <f t="shared" si="47"/>
        <v>39817937</v>
      </c>
    </row>
    <row r="1283" spans="1:19" x14ac:dyDescent="0.3">
      <c r="A1283" s="2" t="s">
        <v>3710</v>
      </c>
      <c r="B1283" s="2">
        <v>110</v>
      </c>
      <c r="C1283" s="3">
        <v>18595716</v>
      </c>
      <c r="D1283" s="3" t="s">
        <v>5768</v>
      </c>
      <c r="E1283" s="2" t="s">
        <v>5722</v>
      </c>
      <c r="F1283" s="2" t="s">
        <v>751</v>
      </c>
      <c r="G1283" s="2" t="s">
        <v>504</v>
      </c>
      <c r="H1283" s="3">
        <v>474544677</v>
      </c>
      <c r="I1283" s="2">
        <v>6.9</v>
      </c>
      <c r="J1283" s="3">
        <v>10134754</v>
      </c>
      <c r="K1283">
        <f t="shared" si="48"/>
        <v>1.3775047412552699E-3</v>
      </c>
      <c r="R1283" s="12" t="str">
        <f ca="1">IFERROR(__xludf.DUMMYFUNCTION("""COMPUTED_VALUE"""),"Spy Kids 2: Island of Lost Dreams ")</f>
        <v>Spy Kids 2: Island of Lost Dreams </v>
      </c>
      <c r="S1283" s="12">
        <f t="shared" si="47"/>
        <v>31859105</v>
      </c>
    </row>
    <row r="1284" spans="1:19" x14ac:dyDescent="0.3">
      <c r="A1284" s="2" t="s">
        <v>131</v>
      </c>
      <c r="B1284" s="2">
        <v>106</v>
      </c>
      <c r="C1284" s="3">
        <v>6601079</v>
      </c>
      <c r="D1284" s="3" t="s">
        <v>6026</v>
      </c>
      <c r="E1284" s="2" t="s">
        <v>174</v>
      </c>
      <c r="F1284" s="2" t="s">
        <v>10</v>
      </c>
      <c r="G1284" s="2" t="s">
        <v>11</v>
      </c>
      <c r="H1284" s="2">
        <v>38000000</v>
      </c>
      <c r="I1284" s="2">
        <v>6.7</v>
      </c>
      <c r="J1284" s="3">
        <v>10137232</v>
      </c>
      <c r="K1284">
        <f t="shared" si="48"/>
        <v>1.3775047412552699E-3</v>
      </c>
      <c r="R1284" s="12" t="str">
        <f ca="1">IFERROR(__xludf.DUMMYFUNCTION("""COMPUTED_VALUE"""),"Star Trek: Generations ")</f>
        <v>Star Trek: Generations </v>
      </c>
      <c r="S1284" s="12">
        <f t="shared" si="47"/>
        <v>-28423913</v>
      </c>
    </row>
    <row r="1285" spans="1:19" x14ac:dyDescent="0.3">
      <c r="A1285" s="2" t="s">
        <v>50</v>
      </c>
      <c r="B1285" s="2">
        <v>116</v>
      </c>
      <c r="C1285" s="3">
        <v>14891000</v>
      </c>
      <c r="D1285" s="3" t="s">
        <v>5910</v>
      </c>
      <c r="E1285" s="2" t="s">
        <v>4169</v>
      </c>
      <c r="F1285" s="2" t="s">
        <v>10</v>
      </c>
      <c r="G1285" s="2" t="s">
        <v>16</v>
      </c>
      <c r="H1285" s="2">
        <v>11000000</v>
      </c>
      <c r="I1285" s="2">
        <v>8.5</v>
      </c>
      <c r="J1285" s="3">
        <v>10137502</v>
      </c>
      <c r="K1285">
        <f t="shared" si="48"/>
        <v>1.3775047412552699E-3</v>
      </c>
      <c r="R1285" s="12" t="str">
        <f ca="1">IFERROR(__xludf.DUMMYFUNCTION("""COMPUTED_VALUE"""),"The Grandmaster ")</f>
        <v>The Grandmaster </v>
      </c>
      <c r="S1285" s="12">
        <f t="shared" si="47"/>
        <v>79461678</v>
      </c>
    </row>
    <row r="1286" spans="1:19" x14ac:dyDescent="0.3">
      <c r="A1286" s="2" t="s">
        <v>4882</v>
      </c>
      <c r="B1286" s="2">
        <v>102</v>
      </c>
      <c r="C1286" s="3">
        <v>15071514</v>
      </c>
      <c r="D1286" s="3" t="s">
        <v>5849</v>
      </c>
      <c r="E1286" s="2" t="s">
        <v>5096</v>
      </c>
      <c r="F1286" s="2" t="s">
        <v>10</v>
      </c>
      <c r="G1286" s="2" t="s">
        <v>11</v>
      </c>
      <c r="H1286" s="2">
        <v>2000000</v>
      </c>
      <c r="I1286" s="2">
        <v>8.3000000000000007</v>
      </c>
      <c r="J1286" s="3">
        <v>10139254</v>
      </c>
      <c r="K1286">
        <f t="shared" si="48"/>
        <v>1.3775047412552699E-3</v>
      </c>
      <c r="R1286" s="12" t="str">
        <f ca="1">IFERROR(__xludf.DUMMYFUNCTION("""COMPUTED_VALUE"""),"Water for Elephants ")</f>
        <v>Water for Elephants </v>
      </c>
      <c r="S1286" s="12">
        <f t="shared" si="47"/>
        <v>-159660246</v>
      </c>
    </row>
    <row r="1287" spans="1:19" x14ac:dyDescent="0.3">
      <c r="A1287" s="2" t="s">
        <v>3635</v>
      </c>
      <c r="B1287" s="2">
        <v>186</v>
      </c>
      <c r="C1287" s="3">
        <v>69148997</v>
      </c>
      <c r="D1287" s="3" t="s">
        <v>5940</v>
      </c>
      <c r="E1287" s="2" t="s">
        <v>3636</v>
      </c>
      <c r="F1287" s="2" t="s">
        <v>10</v>
      </c>
      <c r="G1287" s="2" t="s">
        <v>11</v>
      </c>
      <c r="H1287" s="2">
        <v>14000000</v>
      </c>
      <c r="I1287" s="2">
        <v>6.5</v>
      </c>
      <c r="J1287" s="3">
        <v>10149779</v>
      </c>
      <c r="K1287">
        <f t="shared" si="48"/>
        <v>1.3775047412552699E-3</v>
      </c>
      <c r="R1287" s="12" t="str">
        <f ca="1">IFERROR(__xludf.DUMMYFUNCTION("""COMPUTED_VALUE"""),"The Hurricane ")</f>
        <v>The Hurricane </v>
      </c>
      <c r="S1287" s="12">
        <f t="shared" si="47"/>
        <v>23116999</v>
      </c>
    </row>
    <row r="1288" spans="1:19" x14ac:dyDescent="0.3">
      <c r="A1288" s="2" t="s">
        <v>2277</v>
      </c>
      <c r="B1288" s="2">
        <v>106</v>
      </c>
      <c r="C1288" s="3">
        <v>58220776</v>
      </c>
      <c r="D1288" s="3" t="s">
        <v>5804</v>
      </c>
      <c r="E1288" s="2" t="s">
        <v>2278</v>
      </c>
      <c r="F1288" s="2" t="s">
        <v>10</v>
      </c>
      <c r="G1288" s="2" t="s">
        <v>11</v>
      </c>
      <c r="H1288" s="2">
        <v>30000000</v>
      </c>
      <c r="I1288" s="2">
        <v>5.5</v>
      </c>
      <c r="J1288" s="3">
        <v>10161099</v>
      </c>
      <c r="K1288">
        <f t="shared" si="48"/>
        <v>1.3775047412552699E-3</v>
      </c>
      <c r="R1288" s="12" t="str">
        <f ca="1">IFERROR(__xludf.DUMMYFUNCTION("""COMPUTED_VALUE"""),"Enough ")</f>
        <v>Enough </v>
      </c>
      <c r="S1288" s="12">
        <f t="shared" si="47"/>
        <v>-79941953</v>
      </c>
    </row>
    <row r="1289" spans="1:19" x14ac:dyDescent="0.3">
      <c r="A1289" s="2" t="s">
        <v>2398</v>
      </c>
      <c r="B1289" s="2">
        <v>96</v>
      </c>
      <c r="C1289" s="3">
        <v>4002955</v>
      </c>
      <c r="D1289" s="3" t="s">
        <v>6185</v>
      </c>
      <c r="E1289" s="2" t="s">
        <v>5594</v>
      </c>
      <c r="F1289" s="2" t="s">
        <v>10</v>
      </c>
      <c r="G1289" s="2" t="s">
        <v>11</v>
      </c>
      <c r="H1289" s="2">
        <v>250000</v>
      </c>
      <c r="I1289" s="2">
        <v>6.6</v>
      </c>
      <c r="J1289" s="3">
        <v>10166502</v>
      </c>
      <c r="K1289">
        <f t="shared" si="48"/>
        <v>1.3775047412552699E-3</v>
      </c>
      <c r="R1289" s="12" t="str">
        <f ca="1">IFERROR(__xludf.DUMMYFUNCTION("""COMPUTED_VALUE"""),"Heartbreakers ")</f>
        <v>Heartbreakers </v>
      </c>
      <c r="S1289" s="12">
        <f t="shared" si="47"/>
        <v>-3888740</v>
      </c>
    </row>
    <row r="1290" spans="1:19" x14ac:dyDescent="0.3">
      <c r="A1290" s="2" t="s">
        <v>1342</v>
      </c>
      <c r="B1290" s="2">
        <v>103</v>
      </c>
      <c r="C1290" s="3">
        <v>183875760</v>
      </c>
      <c r="D1290" s="3" t="s">
        <v>885</v>
      </c>
      <c r="E1290" s="2" t="s">
        <v>2156</v>
      </c>
      <c r="F1290" s="2" t="s">
        <v>10</v>
      </c>
      <c r="G1290" s="2" t="s">
        <v>11</v>
      </c>
      <c r="H1290" s="2">
        <v>31000000</v>
      </c>
      <c r="I1290" s="2">
        <v>6.3</v>
      </c>
      <c r="J1290" s="3">
        <v>10174663</v>
      </c>
      <c r="K1290">
        <f t="shared" si="48"/>
        <v>1.3775047412552699E-3</v>
      </c>
      <c r="R1290" s="12" t="str">
        <f ca="1">IFERROR(__xludf.DUMMYFUNCTION("""COMPUTED_VALUE"""),"Paul Blart: Mall Cop 2 ")</f>
        <v>Paul Blart: Mall Cop 2 </v>
      </c>
      <c r="S1290" s="12">
        <f t="shared" si="47"/>
        <v>-25384422</v>
      </c>
    </row>
    <row r="1291" spans="1:19" x14ac:dyDescent="0.3">
      <c r="A1291" s="2" t="s">
        <v>5449</v>
      </c>
      <c r="B1291" s="2">
        <v>106</v>
      </c>
      <c r="C1291" s="3">
        <v>47277326</v>
      </c>
      <c r="D1291" s="3" t="s">
        <v>5874</v>
      </c>
      <c r="E1291" s="2" t="s">
        <v>5450</v>
      </c>
      <c r="F1291" s="2" t="s">
        <v>10</v>
      </c>
      <c r="G1291" s="2" t="s">
        <v>11</v>
      </c>
      <c r="H1291" s="2">
        <v>700000</v>
      </c>
      <c r="I1291" s="2">
        <v>7.2</v>
      </c>
      <c r="J1291" s="3">
        <v>10198766</v>
      </c>
      <c r="K1291">
        <f t="shared" si="48"/>
        <v>1.3775047412552699E-3</v>
      </c>
      <c r="R1291" s="12" t="str">
        <f ca="1">IFERROR(__xludf.DUMMYFUNCTION("""COMPUTED_VALUE"""),"Angel Eyes ")</f>
        <v>Angel Eyes </v>
      </c>
      <c r="S1291" s="12">
        <f t="shared" si="47"/>
        <v>39000000</v>
      </c>
    </row>
    <row r="1292" spans="1:19" x14ac:dyDescent="0.3">
      <c r="A1292" s="2" t="s">
        <v>4917</v>
      </c>
      <c r="B1292" s="2">
        <v>86</v>
      </c>
      <c r="C1292" s="3">
        <v>318622</v>
      </c>
      <c r="D1292" s="3" t="s">
        <v>5869</v>
      </c>
      <c r="E1292" s="2" t="s">
        <v>4918</v>
      </c>
      <c r="F1292" s="2" t="s">
        <v>10</v>
      </c>
      <c r="G1292" s="2" t="s">
        <v>11</v>
      </c>
      <c r="H1292" s="2">
        <v>3000000</v>
      </c>
      <c r="I1292" s="2">
        <v>5.9</v>
      </c>
      <c r="J1292" s="3">
        <v>10200000</v>
      </c>
      <c r="K1292">
        <f t="shared" si="48"/>
        <v>1.3775047412552699E-3</v>
      </c>
      <c r="R1292" s="12" t="str">
        <f ca="1">IFERROR(__xludf.DUMMYFUNCTION("""COMPUTED_VALUE"""),"Joe Somebody ")</f>
        <v>Joe Somebody </v>
      </c>
      <c r="S1292" s="12">
        <f t="shared" si="47"/>
        <v>73911262</v>
      </c>
    </row>
    <row r="1293" spans="1:19" x14ac:dyDescent="0.3">
      <c r="A1293" s="2" t="s">
        <v>278</v>
      </c>
      <c r="B1293" s="2">
        <v>135</v>
      </c>
      <c r="C1293" s="3">
        <v>15047419</v>
      </c>
      <c r="D1293" s="3" t="s">
        <v>6186</v>
      </c>
      <c r="E1293" s="2" t="s">
        <v>703</v>
      </c>
      <c r="F1293" s="2" t="s">
        <v>10</v>
      </c>
      <c r="G1293" s="2" t="s">
        <v>11</v>
      </c>
      <c r="H1293" s="2">
        <v>75000000</v>
      </c>
      <c r="I1293" s="2">
        <v>6.7</v>
      </c>
      <c r="J1293" s="3">
        <v>10214013</v>
      </c>
      <c r="K1293">
        <f t="shared" si="48"/>
        <v>1.3775047412552699E-3</v>
      </c>
      <c r="R1293" s="12" t="str">
        <f ca="1">IFERROR(__xludf.DUMMYFUNCTION("""COMPUTED_VALUE"""),"The Ninth Gate ")</f>
        <v>The Ninth Gate </v>
      </c>
      <c r="S1293" s="12">
        <f t="shared" si="47"/>
        <v>14380442</v>
      </c>
    </row>
    <row r="1294" spans="1:19" x14ac:dyDescent="0.3">
      <c r="A1294" s="2" t="s">
        <v>1145</v>
      </c>
      <c r="B1294" s="2">
        <v>110</v>
      </c>
      <c r="C1294" s="3">
        <v>50382128</v>
      </c>
      <c r="D1294" s="3" t="s">
        <v>5797</v>
      </c>
      <c r="E1294" s="2" t="s">
        <v>2657</v>
      </c>
      <c r="F1294" s="2" t="s">
        <v>10</v>
      </c>
      <c r="G1294" s="2" t="s">
        <v>11</v>
      </c>
      <c r="H1294" s="2">
        <v>25000000</v>
      </c>
      <c r="I1294" s="2">
        <v>5.8</v>
      </c>
      <c r="J1294" s="3">
        <v>10214647</v>
      </c>
      <c r="K1294">
        <f t="shared" si="48"/>
        <v>1.3775047412552699E-3</v>
      </c>
      <c r="R1294" s="12" t="str">
        <f ca="1">IFERROR(__xludf.DUMMYFUNCTION("""COMPUTED_VALUE"""),"Extreme Measures ")</f>
        <v>Extreme Measures </v>
      </c>
      <c r="S1294" s="12">
        <f t="shared" si="47"/>
        <v>-16424284</v>
      </c>
    </row>
    <row r="1295" spans="1:19" x14ac:dyDescent="0.3">
      <c r="A1295" s="2" t="s">
        <v>1997</v>
      </c>
      <c r="B1295" s="2">
        <v>88</v>
      </c>
      <c r="C1295" s="3">
        <v>189412677</v>
      </c>
      <c r="D1295" s="3" t="s">
        <v>5910</v>
      </c>
      <c r="E1295" s="2" t="s">
        <v>2719</v>
      </c>
      <c r="F1295" s="2" t="s">
        <v>10</v>
      </c>
      <c r="G1295" s="2" t="s">
        <v>11</v>
      </c>
      <c r="H1295" s="2">
        <v>24000000</v>
      </c>
      <c r="I1295" s="2">
        <v>5.5</v>
      </c>
      <c r="J1295" s="3">
        <v>10246600</v>
      </c>
      <c r="K1295">
        <f t="shared" si="48"/>
        <v>1.3775047412552699E-3</v>
      </c>
      <c r="R1295" s="12" t="str">
        <f ca="1">IFERROR(__xludf.DUMMYFUNCTION("""COMPUTED_VALUE"""),"Rock Star ")</f>
        <v>Rock Star </v>
      </c>
      <c r="S1295" s="12">
        <f t="shared" si="47"/>
        <v>1400000</v>
      </c>
    </row>
    <row r="1296" spans="1:19" x14ac:dyDescent="0.3">
      <c r="A1296" s="2" t="s">
        <v>1791</v>
      </c>
      <c r="B1296" s="2">
        <v>102</v>
      </c>
      <c r="C1296" s="3">
        <v>14673301</v>
      </c>
      <c r="D1296" s="3" t="s">
        <v>5776</v>
      </c>
      <c r="E1296" s="2" t="s">
        <v>1792</v>
      </c>
      <c r="F1296" s="2" t="s">
        <v>10</v>
      </c>
      <c r="G1296" s="2" t="s">
        <v>11</v>
      </c>
      <c r="H1296" s="2">
        <v>40000000</v>
      </c>
      <c r="I1296" s="2">
        <v>5.0999999999999996</v>
      </c>
      <c r="J1296" s="3">
        <v>10268846</v>
      </c>
      <c r="K1296">
        <f t="shared" si="48"/>
        <v>1.3775047412552699E-3</v>
      </c>
      <c r="R1296" s="12" t="str">
        <f ca="1">IFERROR(__xludf.DUMMYFUNCTION("""COMPUTED_VALUE"""),"Precious ")</f>
        <v>Precious </v>
      </c>
      <c r="S1296" s="12">
        <f t="shared" si="47"/>
        <v>38895417</v>
      </c>
    </row>
    <row r="1297" spans="1:19" x14ac:dyDescent="0.3">
      <c r="A1297" s="2" t="s">
        <v>1039</v>
      </c>
      <c r="B1297" s="2">
        <v>99</v>
      </c>
      <c r="C1297" s="3">
        <v>60874615</v>
      </c>
      <c r="D1297" s="3" t="s">
        <v>5818</v>
      </c>
      <c r="E1297" s="2" t="s">
        <v>1040</v>
      </c>
      <c r="F1297" s="2" t="s">
        <v>10</v>
      </c>
      <c r="G1297" s="2" t="s">
        <v>11</v>
      </c>
      <c r="H1297" s="2">
        <v>70000000</v>
      </c>
      <c r="I1297" s="2">
        <v>7</v>
      </c>
      <c r="J1297" s="3">
        <v>10269307</v>
      </c>
      <c r="K1297">
        <f t="shared" si="48"/>
        <v>1.3775047412552699E-3</v>
      </c>
      <c r="R1297" s="12" t="str">
        <f ca="1">IFERROR(__xludf.DUMMYFUNCTION("""COMPUTED_VALUE"""),"White Squall ")</f>
        <v>White Squall </v>
      </c>
      <c r="S1297" s="12">
        <f t="shared" si="47"/>
        <v>85995817</v>
      </c>
    </row>
    <row r="1298" spans="1:19" x14ac:dyDescent="0.3">
      <c r="A1298" s="2" t="s">
        <v>1861</v>
      </c>
      <c r="B1298" s="2">
        <v>122</v>
      </c>
      <c r="C1298" s="3">
        <v>20668843</v>
      </c>
      <c r="D1298" s="3" t="s">
        <v>5930</v>
      </c>
      <c r="E1298" s="2" t="s">
        <v>1862</v>
      </c>
      <c r="F1298" s="2" t="s">
        <v>513</v>
      </c>
      <c r="G1298" s="2" t="s">
        <v>1008</v>
      </c>
      <c r="H1298" s="2">
        <v>38600000</v>
      </c>
      <c r="I1298" s="2">
        <v>6.5</v>
      </c>
      <c r="J1298" s="3">
        <v>10297897</v>
      </c>
      <c r="K1298">
        <f t="shared" si="48"/>
        <v>1.3775047412552699E-3</v>
      </c>
      <c r="R1298" s="12" t="str">
        <f ca="1">IFERROR(__xludf.DUMMYFUNCTION("""COMPUTED_VALUE"""),"The Thing ")</f>
        <v>The Thing </v>
      </c>
      <c r="S1298" s="12">
        <f t="shared" si="47"/>
        <v>91734803</v>
      </c>
    </row>
    <row r="1299" spans="1:19" x14ac:dyDescent="0.3">
      <c r="A1299" s="2" t="s">
        <v>2035</v>
      </c>
      <c r="B1299" s="2">
        <v>116</v>
      </c>
      <c r="C1299" s="3">
        <v>12626905</v>
      </c>
      <c r="D1299" s="3" t="s">
        <v>5753</v>
      </c>
      <c r="E1299" s="2" t="s">
        <v>2658</v>
      </c>
      <c r="F1299" s="2" t="s">
        <v>10</v>
      </c>
      <c r="G1299" s="2" t="s">
        <v>11</v>
      </c>
      <c r="H1299" s="2">
        <v>25000000</v>
      </c>
      <c r="I1299" s="2">
        <v>6.7</v>
      </c>
      <c r="J1299" s="3">
        <v>10300000</v>
      </c>
      <c r="K1299">
        <f t="shared" si="48"/>
        <v>1.3775047412552699E-3</v>
      </c>
      <c r="R1299" s="12" t="str">
        <f ca="1">IFERROR(__xludf.DUMMYFUNCTION("""COMPUTED_VALUE"""),"Riddick ")</f>
        <v>Riddick </v>
      </c>
      <c r="S1299" s="12">
        <f t="shared" si="47"/>
        <v>-167608626</v>
      </c>
    </row>
    <row r="1300" spans="1:19" x14ac:dyDescent="0.3">
      <c r="A1300" s="2" t="s">
        <v>1631</v>
      </c>
      <c r="B1300" s="2">
        <v>127</v>
      </c>
      <c r="C1300" s="3">
        <v>91457688</v>
      </c>
      <c r="D1300" s="3" t="s">
        <v>6108</v>
      </c>
      <c r="E1300" s="2" t="s">
        <v>2388</v>
      </c>
      <c r="F1300" s="2" t="s">
        <v>10</v>
      </c>
      <c r="G1300" s="2" t="s">
        <v>16</v>
      </c>
      <c r="H1300" s="2">
        <v>28000000</v>
      </c>
      <c r="I1300" s="2">
        <v>6.8</v>
      </c>
      <c r="J1300" s="3">
        <v>10305534</v>
      </c>
      <c r="K1300">
        <f t="shared" si="48"/>
        <v>1.3775047412552699E-3</v>
      </c>
      <c r="R1300" s="12" t="str">
        <f ca="1">IFERROR(__xludf.DUMMYFUNCTION("""COMPUTED_VALUE"""),"Switchback ")</f>
        <v>Switchback </v>
      </c>
      <c r="S1300" s="12">
        <f t="shared" si="47"/>
        <v>4407944</v>
      </c>
    </row>
    <row r="1301" spans="1:19" x14ac:dyDescent="0.3">
      <c r="A1301" s="2" t="s">
        <v>516</v>
      </c>
      <c r="B1301" s="2">
        <v>87</v>
      </c>
      <c r="C1301" s="3">
        <v>24430272</v>
      </c>
      <c r="D1301" s="3" t="s">
        <v>6186</v>
      </c>
      <c r="E1301" s="2" t="s">
        <v>2829</v>
      </c>
      <c r="F1301" s="2" t="s">
        <v>10</v>
      </c>
      <c r="G1301" s="2" t="s">
        <v>11</v>
      </c>
      <c r="H1301" s="2">
        <v>9000000</v>
      </c>
      <c r="I1301" s="2">
        <v>7.4</v>
      </c>
      <c r="J1301" s="3">
        <v>10324441</v>
      </c>
      <c r="K1301">
        <f t="shared" si="48"/>
        <v>1.3775047412552699E-3</v>
      </c>
      <c r="R1301" s="12" t="str">
        <f ca="1">IFERROR(__xludf.DUMMYFUNCTION("""COMPUTED_VALUE"""),"Texas Rangers ")</f>
        <v>Texas Rangers </v>
      </c>
      <c r="S1301" s="12">
        <f t="shared" si="47"/>
        <v>14342779</v>
      </c>
    </row>
    <row r="1302" spans="1:19" x14ac:dyDescent="0.3">
      <c r="A1302" s="2" t="s">
        <v>83</v>
      </c>
      <c r="B1302" s="2">
        <v>127</v>
      </c>
      <c r="C1302" s="3">
        <v>11634458</v>
      </c>
      <c r="D1302" s="3" t="s">
        <v>6187</v>
      </c>
      <c r="E1302" s="2" t="s">
        <v>1164</v>
      </c>
      <c r="F1302" s="2" t="s">
        <v>10</v>
      </c>
      <c r="G1302" s="2" t="s">
        <v>11</v>
      </c>
      <c r="H1302" s="2">
        <v>35000000</v>
      </c>
      <c r="I1302" s="2">
        <v>6.5</v>
      </c>
      <c r="J1302" s="3">
        <v>10326062</v>
      </c>
      <c r="K1302">
        <f t="shared" si="48"/>
        <v>1.3775047412552699E-3</v>
      </c>
      <c r="R1302" s="12" t="str">
        <f ca="1">IFERROR(__xludf.DUMMYFUNCTION("""COMPUTED_VALUE"""),"City of Ember ")</f>
        <v>City of Ember </v>
      </c>
      <c r="S1302" s="12">
        <f t="shared" si="47"/>
        <v>-24115185</v>
      </c>
    </row>
    <row r="1303" spans="1:19" x14ac:dyDescent="0.3">
      <c r="A1303" s="2" t="s">
        <v>922</v>
      </c>
      <c r="B1303" s="2">
        <v>124</v>
      </c>
      <c r="C1303" s="3">
        <v>41609593</v>
      </c>
      <c r="D1303" s="3" t="s">
        <v>5778</v>
      </c>
      <c r="E1303" s="2" t="s">
        <v>923</v>
      </c>
      <c r="F1303" s="2" t="s">
        <v>10</v>
      </c>
      <c r="G1303" s="2" t="s">
        <v>11</v>
      </c>
      <c r="H1303" s="2">
        <v>68000000</v>
      </c>
      <c r="I1303" s="2">
        <v>4.9000000000000004</v>
      </c>
      <c r="J1303" s="3">
        <v>10397365</v>
      </c>
      <c r="K1303">
        <f t="shared" si="48"/>
        <v>1.3775047412552699E-3</v>
      </c>
      <c r="R1303" s="12" t="str">
        <f ca="1">IFERROR(__xludf.DUMMYFUNCTION("""COMPUTED_VALUE"""),"The Master ")</f>
        <v>The Master </v>
      </c>
      <c r="S1303" s="12">
        <f t="shared" si="47"/>
        <v>51112916</v>
      </c>
    </row>
    <row r="1304" spans="1:19" x14ac:dyDescent="0.3">
      <c r="A1304" s="2" t="s">
        <v>3613</v>
      </c>
      <c r="B1304" s="2">
        <v>85</v>
      </c>
      <c r="C1304" s="3">
        <v>6592103</v>
      </c>
      <c r="D1304" s="3" t="s">
        <v>5849</v>
      </c>
      <c r="E1304" s="2" t="s">
        <v>3614</v>
      </c>
      <c r="F1304" s="2" t="s">
        <v>10</v>
      </c>
      <c r="G1304" s="2" t="s">
        <v>11</v>
      </c>
      <c r="H1304" s="2">
        <v>11000000</v>
      </c>
      <c r="I1304" s="2">
        <v>4.4000000000000004</v>
      </c>
      <c r="J1304" s="3">
        <v>10400000</v>
      </c>
      <c r="K1304">
        <f t="shared" si="48"/>
        <v>1.3775047412552699E-3</v>
      </c>
      <c r="R1304" s="12" t="str">
        <f ca="1">IFERROR(__xludf.DUMMYFUNCTION("""COMPUTED_VALUE"""),"The Express ")</f>
        <v>The Express </v>
      </c>
      <c r="S1304" s="12">
        <f t="shared" si="47"/>
        <v>19375436</v>
      </c>
    </row>
    <row r="1305" spans="1:19" x14ac:dyDescent="0.3">
      <c r="A1305" s="2" t="s">
        <v>1566</v>
      </c>
      <c r="B1305" s="2">
        <v>99</v>
      </c>
      <c r="C1305" s="3">
        <v>39399750</v>
      </c>
      <c r="D1305" s="3" t="s">
        <v>6157</v>
      </c>
      <c r="E1305" s="2" t="s">
        <v>2225</v>
      </c>
      <c r="F1305" s="2" t="s">
        <v>10</v>
      </c>
      <c r="G1305" s="2" t="s">
        <v>11</v>
      </c>
      <c r="H1305" s="2">
        <v>30000000</v>
      </c>
      <c r="I1305" s="2">
        <v>5.0999999999999996</v>
      </c>
      <c r="J1305" s="3">
        <v>10411980</v>
      </c>
      <c r="K1305">
        <f t="shared" si="48"/>
        <v>1.3775047412552699E-3</v>
      </c>
      <c r="R1305" s="12" t="str">
        <f ca="1">IFERROR(__xludf.DUMMYFUNCTION("""COMPUTED_VALUE"""),"The 5th Wave ")</f>
        <v>The 5th Wave </v>
      </c>
      <c r="S1305" s="12">
        <f t="shared" ref="S1305:S1368" si="49">C1283-H1283</f>
        <v>-455948961</v>
      </c>
    </row>
    <row r="1306" spans="1:19" x14ac:dyDescent="0.3">
      <c r="A1306" s="2" t="s">
        <v>399</v>
      </c>
      <c r="B1306" s="2">
        <v>82</v>
      </c>
      <c r="C1306" s="3">
        <v>83077470</v>
      </c>
      <c r="D1306" s="3" t="s">
        <v>5996</v>
      </c>
      <c r="E1306" s="2" t="s">
        <v>656</v>
      </c>
      <c r="F1306" s="2" t="s">
        <v>10</v>
      </c>
      <c r="G1306" s="2" t="s">
        <v>11</v>
      </c>
      <c r="H1306" s="2">
        <v>85000000</v>
      </c>
      <c r="I1306" s="2">
        <v>4.3</v>
      </c>
      <c r="J1306" s="3">
        <v>10429707</v>
      </c>
      <c r="K1306">
        <f t="shared" si="48"/>
        <v>1.3775047412552699E-3</v>
      </c>
      <c r="R1306" s="12" t="str">
        <f ca="1">IFERROR(__xludf.DUMMYFUNCTION("""COMPUTED_VALUE"""),"Creed ")</f>
        <v>Creed </v>
      </c>
      <c r="S1306" s="12">
        <f t="shared" si="49"/>
        <v>-31398921</v>
      </c>
    </row>
    <row r="1307" spans="1:19" x14ac:dyDescent="0.3">
      <c r="A1307" s="2" t="s">
        <v>2404</v>
      </c>
      <c r="B1307" s="2">
        <v>117</v>
      </c>
      <c r="C1307" s="3">
        <v>11631245</v>
      </c>
      <c r="D1307" s="3" t="s">
        <v>6142</v>
      </c>
      <c r="E1307" s="2" t="s">
        <v>2405</v>
      </c>
      <c r="F1307" s="2" t="s">
        <v>10</v>
      </c>
      <c r="G1307" s="2" t="s">
        <v>11</v>
      </c>
      <c r="H1307" s="2">
        <v>21000000</v>
      </c>
      <c r="I1307" s="2">
        <v>6.9</v>
      </c>
      <c r="J1307" s="3">
        <v>10431220</v>
      </c>
      <c r="K1307">
        <f t="shared" si="48"/>
        <v>1.3775047412552699E-3</v>
      </c>
      <c r="R1307" s="12" t="str">
        <f ca="1">IFERROR(__xludf.DUMMYFUNCTION("""COMPUTED_VALUE"""),"The Town ")</f>
        <v>The Town </v>
      </c>
      <c r="S1307" s="12">
        <f t="shared" si="49"/>
        <v>3891000</v>
      </c>
    </row>
    <row r="1308" spans="1:19" x14ac:dyDescent="0.3">
      <c r="A1308" s="2" t="s">
        <v>617</v>
      </c>
      <c r="B1308" s="2">
        <v>107</v>
      </c>
      <c r="C1308" s="3">
        <v>39263506</v>
      </c>
      <c r="D1308" s="3" t="s">
        <v>5950</v>
      </c>
      <c r="E1308" s="2" t="s">
        <v>618</v>
      </c>
      <c r="F1308" s="2" t="s">
        <v>10</v>
      </c>
      <c r="G1308" s="2" t="s">
        <v>11</v>
      </c>
      <c r="H1308" s="2">
        <v>85000000</v>
      </c>
      <c r="I1308" s="2">
        <v>7.1</v>
      </c>
      <c r="J1308" s="3">
        <v>10443316</v>
      </c>
      <c r="K1308">
        <f t="shared" si="48"/>
        <v>1.3775047412552699E-3</v>
      </c>
      <c r="R1308" s="12" t="str">
        <f ca="1">IFERROR(__xludf.DUMMYFUNCTION("""COMPUTED_VALUE"""),"What to Expect When You're Expecting ")</f>
        <v>What to Expect When You're Expecting </v>
      </c>
      <c r="S1308" s="12">
        <f t="shared" si="49"/>
        <v>13071514</v>
      </c>
    </row>
    <row r="1309" spans="1:19" x14ac:dyDescent="0.3">
      <c r="A1309" s="2" t="s">
        <v>3511</v>
      </c>
      <c r="B1309" s="2">
        <v>116</v>
      </c>
      <c r="C1309" s="3">
        <v>63695760</v>
      </c>
      <c r="D1309" s="3" t="s">
        <v>6188</v>
      </c>
      <c r="E1309" s="2" t="s">
        <v>4983</v>
      </c>
      <c r="F1309" s="2" t="s">
        <v>10</v>
      </c>
      <c r="G1309" s="2" t="s">
        <v>11</v>
      </c>
      <c r="H1309" s="2">
        <v>8000000</v>
      </c>
      <c r="I1309" s="2">
        <v>7.4</v>
      </c>
      <c r="J1309" s="3">
        <v>10460089</v>
      </c>
      <c r="K1309">
        <f t="shared" si="48"/>
        <v>1.3775047412552699E-3</v>
      </c>
      <c r="R1309" s="12" t="str">
        <f ca="1">IFERROR(__xludf.DUMMYFUNCTION("""COMPUTED_VALUE"""),"Burn After Reading ")</f>
        <v>Burn After Reading </v>
      </c>
      <c r="S1309" s="12">
        <f t="shared" si="49"/>
        <v>55148997</v>
      </c>
    </row>
    <row r="1310" spans="1:19" x14ac:dyDescent="0.3">
      <c r="A1310" s="2" t="s">
        <v>292</v>
      </c>
      <c r="B1310" s="2">
        <v>118</v>
      </c>
      <c r="C1310" s="3">
        <v>39292022</v>
      </c>
      <c r="D1310" s="3" t="s">
        <v>5793</v>
      </c>
      <c r="E1310" s="2" t="s">
        <v>3921</v>
      </c>
      <c r="F1310" s="2" t="s">
        <v>10</v>
      </c>
      <c r="G1310" s="2" t="s">
        <v>11</v>
      </c>
      <c r="H1310" s="2">
        <v>11000000</v>
      </c>
      <c r="I1310" s="2">
        <v>7.1</v>
      </c>
      <c r="J1310" s="3">
        <v>10494147</v>
      </c>
      <c r="K1310">
        <f t="shared" si="48"/>
        <v>1.3775047412552699E-3</v>
      </c>
      <c r="R1310" s="12" t="str">
        <f ca="1">IFERROR(__xludf.DUMMYFUNCTION("""COMPUTED_VALUE"""),"Nim's Island ")</f>
        <v>Nim's Island </v>
      </c>
      <c r="S1310" s="12">
        <f t="shared" si="49"/>
        <v>28220776</v>
      </c>
    </row>
    <row r="1311" spans="1:19" x14ac:dyDescent="0.3">
      <c r="A1311" s="2" t="s">
        <v>3214</v>
      </c>
      <c r="B1311" s="2">
        <v>144</v>
      </c>
      <c r="C1311" s="3">
        <v>33771174</v>
      </c>
      <c r="D1311" s="3" t="s">
        <v>520</v>
      </c>
      <c r="E1311" s="2" t="s">
        <v>3215</v>
      </c>
      <c r="F1311" s="2" t="s">
        <v>3090</v>
      </c>
      <c r="G1311" s="2" t="s">
        <v>199</v>
      </c>
      <c r="H1311" s="2">
        <v>12000000</v>
      </c>
      <c r="I1311" s="2">
        <v>7.8</v>
      </c>
      <c r="J1311" s="3">
        <v>10494494</v>
      </c>
      <c r="K1311">
        <f t="shared" si="48"/>
        <v>1.3775047412552699E-3</v>
      </c>
      <c r="R1311" s="12" t="str">
        <f ca="1">IFERROR(__xludf.DUMMYFUNCTION("""COMPUTED_VALUE"""),"Rush ")</f>
        <v>Rush </v>
      </c>
      <c r="S1311" s="12">
        <f t="shared" si="49"/>
        <v>3752955</v>
      </c>
    </row>
    <row r="1312" spans="1:19" x14ac:dyDescent="0.3">
      <c r="A1312" s="2" t="s">
        <v>3983</v>
      </c>
      <c r="B1312" s="2">
        <v>85</v>
      </c>
      <c r="C1312" s="3">
        <v>14793904</v>
      </c>
      <c r="D1312" s="3" t="s">
        <v>520</v>
      </c>
      <c r="E1312" s="2" t="s">
        <v>3984</v>
      </c>
      <c r="F1312" s="2" t="s">
        <v>10</v>
      </c>
      <c r="G1312" s="2" t="s">
        <v>11</v>
      </c>
      <c r="H1312" s="2">
        <v>20000000</v>
      </c>
      <c r="I1312" s="2">
        <v>5.8</v>
      </c>
      <c r="J1312" s="3">
        <v>10499968</v>
      </c>
      <c r="K1312">
        <f t="shared" si="48"/>
        <v>1.3775047412552699E-3</v>
      </c>
      <c r="R1312" s="12" t="str">
        <f ca="1">IFERROR(__xludf.DUMMYFUNCTION("""COMPUTED_VALUE"""),"Magnolia ")</f>
        <v>Magnolia </v>
      </c>
      <c r="S1312" s="12">
        <f t="shared" si="49"/>
        <v>152875760</v>
      </c>
    </row>
    <row r="1313" spans="1:19" x14ac:dyDescent="0.3">
      <c r="A1313" s="2" t="s">
        <v>1716</v>
      </c>
      <c r="B1313" s="2">
        <v>89</v>
      </c>
      <c r="C1313" s="3">
        <v>85707116</v>
      </c>
      <c r="D1313" s="3" t="s">
        <v>6189</v>
      </c>
      <c r="E1313" s="2" t="s">
        <v>1717</v>
      </c>
      <c r="F1313" s="2" t="s">
        <v>10</v>
      </c>
      <c r="G1313" s="2" t="s">
        <v>11</v>
      </c>
      <c r="H1313" s="2">
        <v>40000000</v>
      </c>
      <c r="I1313" s="2">
        <v>5.9</v>
      </c>
      <c r="J1313" s="3">
        <v>10515579</v>
      </c>
      <c r="K1313">
        <f t="shared" si="48"/>
        <v>1.3775047412552699E-3</v>
      </c>
      <c r="R1313" s="12" t="str">
        <f ca="1">IFERROR(__xludf.DUMMYFUNCTION("""COMPUTED_VALUE"""),"Cop Out ")</f>
        <v>Cop Out </v>
      </c>
      <c r="S1313" s="12">
        <f t="shared" si="49"/>
        <v>46577326</v>
      </c>
    </row>
    <row r="1314" spans="1:19" x14ac:dyDescent="0.3">
      <c r="A1314" s="2" t="s">
        <v>3786</v>
      </c>
      <c r="B1314" s="2">
        <v>93</v>
      </c>
      <c r="C1314" s="3">
        <v>7186670</v>
      </c>
      <c r="D1314" s="3" t="s">
        <v>5844</v>
      </c>
      <c r="E1314" s="2" t="s">
        <v>3787</v>
      </c>
      <c r="F1314" s="2" t="s">
        <v>10</v>
      </c>
      <c r="G1314" s="2" t="s">
        <v>11</v>
      </c>
      <c r="H1314" s="2">
        <v>12000000</v>
      </c>
      <c r="I1314" s="2">
        <v>3.3</v>
      </c>
      <c r="J1314" s="3">
        <v>10539414</v>
      </c>
      <c r="K1314">
        <f t="shared" si="48"/>
        <v>1.3775047412552699E-3</v>
      </c>
      <c r="R1314" s="12" t="str">
        <f ca="1">IFERROR(__xludf.DUMMYFUNCTION("""COMPUTED_VALUE"""),"How to Be Single ")</f>
        <v>How to Be Single </v>
      </c>
      <c r="S1314" s="12">
        <f t="shared" si="49"/>
        <v>-2681378</v>
      </c>
    </row>
    <row r="1315" spans="1:19" x14ac:dyDescent="0.3">
      <c r="A1315" s="2" t="s">
        <v>3576</v>
      </c>
      <c r="B1315" s="2">
        <v>111</v>
      </c>
      <c r="C1315" s="3">
        <v>30993544</v>
      </c>
      <c r="D1315" s="3" t="s">
        <v>5759</v>
      </c>
      <c r="E1315" s="2" t="s">
        <v>3577</v>
      </c>
      <c r="F1315" s="2" t="s">
        <v>751</v>
      </c>
      <c r="G1315" s="2" t="s">
        <v>504</v>
      </c>
      <c r="H1315" s="2">
        <v>10000000</v>
      </c>
      <c r="I1315" s="2">
        <v>7.5</v>
      </c>
      <c r="J1315" s="3">
        <v>10544143</v>
      </c>
      <c r="K1315">
        <f t="shared" si="48"/>
        <v>1.3775047412552699E-3</v>
      </c>
      <c r="R1315" s="12" t="str">
        <f ca="1">IFERROR(__xludf.DUMMYFUNCTION("""COMPUTED_VALUE"""),"Dolphin Tale ")</f>
        <v>Dolphin Tale </v>
      </c>
      <c r="S1315" s="12">
        <f t="shared" si="49"/>
        <v>-59952581</v>
      </c>
    </row>
    <row r="1316" spans="1:19" x14ac:dyDescent="0.3">
      <c r="A1316" s="2" t="s">
        <v>689</v>
      </c>
      <c r="B1316" s="2">
        <v>103</v>
      </c>
      <c r="C1316" s="3">
        <v>31054924</v>
      </c>
      <c r="D1316" s="3" t="s">
        <v>6190</v>
      </c>
      <c r="E1316" s="2" t="s">
        <v>3218</v>
      </c>
      <c r="F1316" s="2" t="s">
        <v>10</v>
      </c>
      <c r="G1316" s="2" t="s">
        <v>11</v>
      </c>
      <c r="H1316" s="2">
        <v>18000000</v>
      </c>
      <c r="I1316" s="2">
        <v>7.2</v>
      </c>
      <c r="J1316" s="3">
        <v>10555348</v>
      </c>
      <c r="K1316">
        <f t="shared" si="48"/>
        <v>1.3775047412552699E-3</v>
      </c>
      <c r="R1316" s="12" t="str">
        <f ca="1">IFERROR(__xludf.DUMMYFUNCTION("""COMPUTED_VALUE"""),"Twilight ")</f>
        <v>Twilight </v>
      </c>
      <c r="S1316" s="12">
        <f t="shared" si="49"/>
        <v>25382128</v>
      </c>
    </row>
    <row r="1317" spans="1:19" x14ac:dyDescent="0.3">
      <c r="A1317" s="2" t="s">
        <v>2238</v>
      </c>
      <c r="B1317" s="2">
        <v>112</v>
      </c>
      <c r="C1317" s="3">
        <v>6563357</v>
      </c>
      <c r="D1317" s="3" t="s">
        <v>5773</v>
      </c>
      <c r="E1317" s="2" t="s">
        <v>2239</v>
      </c>
      <c r="F1317" s="2" t="s">
        <v>10</v>
      </c>
      <c r="G1317" s="2" t="s">
        <v>11</v>
      </c>
      <c r="H1317" s="2">
        <v>25000000</v>
      </c>
      <c r="I1317" s="2">
        <v>7.2</v>
      </c>
      <c r="J1317" s="3">
        <v>10556196</v>
      </c>
      <c r="K1317">
        <f t="shared" si="48"/>
        <v>1.3775047412552699E-3</v>
      </c>
      <c r="R1317" s="12" t="str">
        <f ca="1">IFERROR(__xludf.DUMMYFUNCTION("""COMPUTED_VALUE"""),"John Q ")</f>
        <v>John Q </v>
      </c>
      <c r="S1317" s="12">
        <f t="shared" si="49"/>
        <v>165412677</v>
      </c>
    </row>
    <row r="1318" spans="1:19" x14ac:dyDescent="0.3">
      <c r="A1318" s="2" t="s">
        <v>1458</v>
      </c>
      <c r="B1318" s="2">
        <v>107</v>
      </c>
      <c r="C1318" s="3">
        <v>53955614</v>
      </c>
      <c r="D1318" s="3" t="s">
        <v>5865</v>
      </c>
      <c r="E1318" s="2" t="s">
        <v>3446</v>
      </c>
      <c r="F1318" s="2" t="s">
        <v>10</v>
      </c>
      <c r="G1318" s="2" t="s">
        <v>11</v>
      </c>
      <c r="H1318" s="2">
        <v>15000000</v>
      </c>
      <c r="I1318" s="2">
        <v>7.4</v>
      </c>
      <c r="J1318" s="3">
        <v>10561238</v>
      </c>
      <c r="K1318">
        <f t="shared" si="48"/>
        <v>1.3775047412552699E-3</v>
      </c>
      <c r="R1318" s="12" t="str">
        <f ca="1">IFERROR(__xludf.DUMMYFUNCTION("""COMPUTED_VALUE"""),"Blue Streak ")</f>
        <v>Blue Streak </v>
      </c>
      <c r="S1318" s="12">
        <f t="shared" si="49"/>
        <v>-25326699</v>
      </c>
    </row>
    <row r="1319" spans="1:19" x14ac:dyDescent="0.3">
      <c r="A1319" s="2" t="s">
        <v>429</v>
      </c>
      <c r="B1319" s="2">
        <v>165</v>
      </c>
      <c r="C1319" s="3">
        <v>32645546</v>
      </c>
      <c r="D1319" s="3" t="s">
        <v>5974</v>
      </c>
      <c r="E1319" s="2" t="s">
        <v>430</v>
      </c>
      <c r="F1319" s="2" t="s">
        <v>10</v>
      </c>
      <c r="G1319" s="2" t="s">
        <v>11</v>
      </c>
      <c r="H1319" s="2">
        <v>107000000</v>
      </c>
      <c r="I1319" s="2">
        <v>6.8</v>
      </c>
      <c r="J1319" s="3">
        <v>10562387</v>
      </c>
      <c r="K1319">
        <f t="shared" si="48"/>
        <v>1.3775047412552699E-3</v>
      </c>
      <c r="R1319" s="12" t="str">
        <f ca="1">IFERROR(__xludf.DUMMYFUNCTION("""COMPUTED_VALUE"""),"We're the Millers ")</f>
        <v>We're the Millers </v>
      </c>
      <c r="S1319" s="12">
        <f t="shared" si="49"/>
        <v>-9125385</v>
      </c>
    </row>
    <row r="1320" spans="1:19" x14ac:dyDescent="0.3">
      <c r="A1320" s="2" t="s">
        <v>3399</v>
      </c>
      <c r="B1320" s="2">
        <v>115</v>
      </c>
      <c r="C1320" s="3">
        <v>30981850</v>
      </c>
      <c r="D1320" s="3" t="s">
        <v>5818</v>
      </c>
      <c r="E1320" s="2" t="s">
        <v>3400</v>
      </c>
      <c r="F1320" s="2" t="s">
        <v>10</v>
      </c>
      <c r="G1320" s="2" t="s">
        <v>11</v>
      </c>
      <c r="H1320" s="2">
        <v>15000000</v>
      </c>
      <c r="I1320" s="2">
        <v>7.3</v>
      </c>
      <c r="J1320" s="3">
        <v>10569071</v>
      </c>
      <c r="K1320">
        <f t="shared" si="48"/>
        <v>1.3775047412552699E-3</v>
      </c>
      <c r="R1320" s="12" t="str">
        <f ca="1">IFERROR(__xludf.DUMMYFUNCTION("""COMPUTED_VALUE"""),"Breakdown ")</f>
        <v>Breakdown </v>
      </c>
      <c r="S1320" s="12">
        <f t="shared" si="49"/>
        <v>-17931157</v>
      </c>
    </row>
    <row r="1321" spans="1:19" x14ac:dyDescent="0.3">
      <c r="A1321" s="2" t="s">
        <v>1864</v>
      </c>
      <c r="B1321" s="2">
        <v>181</v>
      </c>
      <c r="C1321" s="3">
        <v>79568000</v>
      </c>
      <c r="D1321" s="3" t="s">
        <v>6140</v>
      </c>
      <c r="E1321" s="2" t="s">
        <v>4173</v>
      </c>
      <c r="F1321" s="2" t="s">
        <v>10</v>
      </c>
      <c r="G1321" s="2" t="s">
        <v>11</v>
      </c>
      <c r="H1321" s="2">
        <v>9000000</v>
      </c>
      <c r="I1321" s="2">
        <v>8</v>
      </c>
      <c r="J1321" s="3">
        <v>10572742</v>
      </c>
      <c r="K1321">
        <f t="shared" si="48"/>
        <v>1.3775047412552699E-3</v>
      </c>
      <c r="R1321" s="12" t="str">
        <f ca="1">IFERROR(__xludf.DUMMYFUNCTION("""COMPUTED_VALUE"""),"Never Say Never Again ")</f>
        <v>Never Say Never Again </v>
      </c>
      <c r="S1321" s="12">
        <f t="shared" si="49"/>
        <v>-12373095</v>
      </c>
    </row>
    <row r="1322" spans="1:19" x14ac:dyDescent="0.3">
      <c r="A1322" s="2" t="s">
        <v>1288</v>
      </c>
      <c r="B1322" s="2">
        <v>84</v>
      </c>
      <c r="C1322" s="3">
        <v>11797927</v>
      </c>
      <c r="D1322" s="3" t="s">
        <v>5849</v>
      </c>
      <c r="E1322" s="2" t="s">
        <v>1667</v>
      </c>
      <c r="F1322" s="2" t="s">
        <v>10</v>
      </c>
      <c r="G1322" s="2" t="s">
        <v>11</v>
      </c>
      <c r="H1322" s="2">
        <v>38000000</v>
      </c>
      <c r="I1322" s="2">
        <v>4.0999999999999996</v>
      </c>
      <c r="J1322" s="3">
        <v>10640645</v>
      </c>
      <c r="K1322">
        <f t="shared" si="48"/>
        <v>1.3775047412552699E-3</v>
      </c>
      <c r="R1322" s="12" t="str">
        <f ca="1">IFERROR(__xludf.DUMMYFUNCTION("""COMPUTED_VALUE"""),"Hot Tub Time Machine ")</f>
        <v>Hot Tub Time Machine </v>
      </c>
      <c r="S1322" s="12">
        <f t="shared" si="49"/>
        <v>63457688</v>
      </c>
    </row>
    <row r="1323" spans="1:19" x14ac:dyDescent="0.3">
      <c r="A1323" s="2" t="s">
        <v>1633</v>
      </c>
      <c r="B1323" s="2">
        <v>101</v>
      </c>
      <c r="C1323" s="3">
        <v>15131330</v>
      </c>
      <c r="D1323" s="3" t="s">
        <v>5845</v>
      </c>
      <c r="E1323" s="2" t="s">
        <v>1993</v>
      </c>
      <c r="F1323" s="2" t="s">
        <v>10</v>
      </c>
      <c r="G1323" s="2" t="s">
        <v>11</v>
      </c>
      <c r="H1323" s="2">
        <v>30000000</v>
      </c>
      <c r="I1323" s="2">
        <v>6.8</v>
      </c>
      <c r="J1323" s="3">
        <v>10654581</v>
      </c>
      <c r="K1323">
        <f t="shared" si="48"/>
        <v>1.3775047412552699E-3</v>
      </c>
      <c r="R1323" s="12" t="str">
        <f ca="1">IFERROR(__xludf.DUMMYFUNCTION("""COMPUTED_VALUE"""),"Dolphin Tale 2 ")</f>
        <v>Dolphin Tale 2 </v>
      </c>
      <c r="S1323" s="12">
        <f t="shared" si="49"/>
        <v>15430272</v>
      </c>
    </row>
    <row r="1324" spans="1:19" x14ac:dyDescent="0.3">
      <c r="A1324" s="2" t="s">
        <v>3626</v>
      </c>
      <c r="B1324" s="2">
        <v>84</v>
      </c>
      <c r="C1324" s="3">
        <v>25809813</v>
      </c>
      <c r="D1324" s="3" t="s">
        <v>5818</v>
      </c>
      <c r="E1324" s="2" t="s">
        <v>3627</v>
      </c>
      <c r="F1324" s="2" t="s">
        <v>10</v>
      </c>
      <c r="G1324" s="2" t="s">
        <v>11</v>
      </c>
      <c r="H1324" s="2">
        <v>14000000</v>
      </c>
      <c r="I1324" s="2">
        <v>3.9</v>
      </c>
      <c r="J1324" s="3">
        <v>10660147</v>
      </c>
      <c r="K1324">
        <f t="shared" si="48"/>
        <v>1.3775047412552699E-3</v>
      </c>
      <c r="R1324" s="12" t="str">
        <f ca="1">IFERROR(__xludf.DUMMYFUNCTION("""COMPUTED_VALUE"""),"Reindeer Games ")</f>
        <v>Reindeer Games </v>
      </c>
      <c r="S1324" s="12">
        <f t="shared" si="49"/>
        <v>-23365542</v>
      </c>
    </row>
    <row r="1325" spans="1:19" x14ac:dyDescent="0.3">
      <c r="A1325" s="2" t="s">
        <v>920</v>
      </c>
      <c r="B1325" s="2">
        <v>124</v>
      </c>
      <c r="C1325" s="3">
        <v>26583369</v>
      </c>
      <c r="D1325" s="3" t="s">
        <v>5855</v>
      </c>
      <c r="E1325" s="2" t="s">
        <v>921</v>
      </c>
      <c r="F1325" s="2" t="s">
        <v>10</v>
      </c>
      <c r="G1325" s="2" t="s">
        <v>11</v>
      </c>
      <c r="H1325" s="2">
        <v>68000000</v>
      </c>
      <c r="I1325" s="2">
        <v>6.4</v>
      </c>
      <c r="J1325" s="3">
        <v>10696210</v>
      </c>
      <c r="K1325">
        <f t="shared" si="48"/>
        <v>1.3775047412552699E-3</v>
      </c>
      <c r="R1325" s="12" t="str">
        <f ca="1">IFERROR(__xludf.DUMMYFUNCTION("""COMPUTED_VALUE"""),"A Man Apart ")</f>
        <v>A Man Apart </v>
      </c>
      <c r="S1325" s="12">
        <f t="shared" si="49"/>
        <v>-26390407</v>
      </c>
    </row>
    <row r="1326" spans="1:19" x14ac:dyDescent="0.3">
      <c r="A1326" s="2" t="s">
        <v>466</v>
      </c>
      <c r="B1326" s="2">
        <v>78</v>
      </c>
      <c r="C1326" s="3">
        <v>6734844</v>
      </c>
      <c r="D1326" s="3" t="s">
        <v>5910</v>
      </c>
      <c r="E1326" s="2" t="s">
        <v>467</v>
      </c>
      <c r="F1326" s="2" t="s">
        <v>10</v>
      </c>
      <c r="G1326" s="2" t="s">
        <v>11</v>
      </c>
      <c r="H1326" s="2">
        <v>100000000</v>
      </c>
      <c r="I1326" s="2">
        <v>7.3</v>
      </c>
      <c r="J1326" s="3">
        <v>10706786</v>
      </c>
      <c r="K1326">
        <f t="shared" si="48"/>
        <v>1.3775047412552699E-3</v>
      </c>
      <c r="R1326" s="12" t="str">
        <f ca="1">IFERROR(__xludf.DUMMYFUNCTION("""COMPUTED_VALUE"""),"Aloha ")</f>
        <v>Aloha </v>
      </c>
      <c r="S1326" s="12">
        <f t="shared" si="49"/>
        <v>-4407897</v>
      </c>
    </row>
    <row r="1327" spans="1:19" x14ac:dyDescent="0.3">
      <c r="A1327" s="2" t="s">
        <v>5408</v>
      </c>
      <c r="B1327" s="2">
        <v>100</v>
      </c>
      <c r="C1327" s="3">
        <v>24362501</v>
      </c>
      <c r="D1327" s="3" t="s">
        <v>5869</v>
      </c>
      <c r="E1327" s="2" t="s">
        <v>5409</v>
      </c>
      <c r="F1327" s="2" t="s">
        <v>10</v>
      </c>
      <c r="G1327" s="2" t="s">
        <v>11</v>
      </c>
      <c r="H1327" s="2">
        <v>930000</v>
      </c>
      <c r="I1327" s="2">
        <v>5.7</v>
      </c>
      <c r="J1327" s="3">
        <v>10719367</v>
      </c>
      <c r="K1327">
        <f t="shared" si="48"/>
        <v>1.3775047412552699E-3</v>
      </c>
      <c r="R1327" s="12" t="str">
        <f ca="1">IFERROR(__xludf.DUMMYFUNCTION("""COMPUTED_VALUE"""),"Ghosts of Mississippi ")</f>
        <v>Ghosts of Mississippi </v>
      </c>
      <c r="S1327" s="12">
        <f t="shared" si="49"/>
        <v>9399750</v>
      </c>
    </row>
    <row r="1328" spans="1:19" x14ac:dyDescent="0.3">
      <c r="A1328" s="2" t="s">
        <v>1160</v>
      </c>
      <c r="B1328" s="2">
        <v>91</v>
      </c>
      <c r="C1328" s="3">
        <v>44665963</v>
      </c>
      <c r="D1328" s="3" t="s">
        <v>5869</v>
      </c>
      <c r="E1328" s="2" t="s">
        <v>2026</v>
      </c>
      <c r="F1328" s="2" t="s">
        <v>10</v>
      </c>
      <c r="G1328" s="2" t="s">
        <v>11</v>
      </c>
      <c r="H1328" s="3">
        <v>38105077</v>
      </c>
      <c r="I1328" s="2">
        <v>6.5</v>
      </c>
      <c r="J1328" s="3">
        <v>10725228</v>
      </c>
      <c r="K1328">
        <f t="shared" si="48"/>
        <v>1.3775047412552699E-3</v>
      </c>
      <c r="R1328" s="12" t="str">
        <f ca="1">IFERROR(__xludf.DUMMYFUNCTION("""COMPUTED_VALUE"""),"Snow Falling on Cedars ")</f>
        <v>Snow Falling on Cedars </v>
      </c>
      <c r="S1328" s="12">
        <f t="shared" si="49"/>
        <v>-1922530</v>
      </c>
    </row>
    <row r="1329" spans="1:19" x14ac:dyDescent="0.3">
      <c r="A1329" s="2" t="s">
        <v>4880</v>
      </c>
      <c r="B1329" s="2">
        <v>105</v>
      </c>
      <c r="C1329" s="2">
        <v>123777</v>
      </c>
      <c r="D1329" s="3" t="s">
        <v>6191</v>
      </c>
      <c r="E1329" s="2" t="s">
        <v>4881</v>
      </c>
      <c r="F1329" s="2" t="s">
        <v>10</v>
      </c>
      <c r="G1329" s="2" t="s">
        <v>71</v>
      </c>
      <c r="H1329" s="2">
        <v>3500000</v>
      </c>
      <c r="I1329" s="2">
        <v>4.7</v>
      </c>
      <c r="J1329" s="3">
        <v>10762178</v>
      </c>
      <c r="K1329">
        <f t="shared" si="48"/>
        <v>1.3775047412552699E-3</v>
      </c>
      <c r="R1329" s="12" t="str">
        <f ca="1">IFERROR(__xludf.DUMMYFUNCTION("""COMPUTED_VALUE"""),"The Rite ")</f>
        <v>The Rite </v>
      </c>
      <c r="S1329" s="12">
        <f t="shared" si="49"/>
        <v>-9368755</v>
      </c>
    </row>
    <row r="1330" spans="1:19" x14ac:dyDescent="0.3">
      <c r="A1330" s="2" t="s">
        <v>21</v>
      </c>
      <c r="B1330" s="2">
        <v>121</v>
      </c>
      <c r="C1330" s="3">
        <v>39200000</v>
      </c>
      <c r="D1330" s="3" t="s">
        <v>5913</v>
      </c>
      <c r="E1330" s="2" t="s">
        <v>3262</v>
      </c>
      <c r="F1330" s="2" t="s">
        <v>10</v>
      </c>
      <c r="G1330" s="2" t="s">
        <v>16</v>
      </c>
      <c r="H1330" s="2">
        <v>17000000</v>
      </c>
      <c r="I1330" s="2">
        <v>7.5</v>
      </c>
      <c r="J1330" s="3">
        <v>10763469</v>
      </c>
      <c r="K1330">
        <f t="shared" si="48"/>
        <v>1.3775047412552699E-3</v>
      </c>
      <c r="R1330" s="12" t="str">
        <f ca="1">IFERROR(__xludf.DUMMYFUNCTION("""COMPUTED_VALUE"""),"Gattaca ")</f>
        <v>Gattaca </v>
      </c>
      <c r="S1330" s="12">
        <f t="shared" si="49"/>
        <v>-45736494</v>
      </c>
    </row>
    <row r="1331" spans="1:19" x14ac:dyDescent="0.3">
      <c r="A1331" s="2" t="s">
        <v>4654</v>
      </c>
      <c r="B1331" s="2">
        <v>86</v>
      </c>
      <c r="C1331" s="3">
        <v>24332324</v>
      </c>
      <c r="D1331" s="3" t="s">
        <v>6192</v>
      </c>
      <c r="E1331" s="2" t="s">
        <v>4655</v>
      </c>
      <c r="F1331" s="2" t="s">
        <v>10</v>
      </c>
      <c r="G1331" s="2" t="s">
        <v>11</v>
      </c>
      <c r="H1331" s="2">
        <v>5000000</v>
      </c>
      <c r="I1331" s="2">
        <v>5.2</v>
      </c>
      <c r="J1331" s="3">
        <v>10769960</v>
      </c>
      <c r="K1331">
        <f t="shared" si="48"/>
        <v>1.3775047412552699E-3</v>
      </c>
      <c r="R1331" s="12" t="str">
        <f ca="1">IFERROR(__xludf.DUMMYFUNCTION("""COMPUTED_VALUE"""),"Isn't She Great ")</f>
        <v>Isn't She Great </v>
      </c>
      <c r="S1331" s="12">
        <f t="shared" si="49"/>
        <v>55695760</v>
      </c>
    </row>
    <row r="1332" spans="1:19" x14ac:dyDescent="0.3">
      <c r="A1332" s="2" t="s">
        <v>280</v>
      </c>
      <c r="B1332" s="2">
        <v>134</v>
      </c>
      <c r="C1332" s="3">
        <v>63992328</v>
      </c>
      <c r="D1332" s="3" t="s">
        <v>520</v>
      </c>
      <c r="E1332" s="2" t="s">
        <v>3638</v>
      </c>
      <c r="F1332" s="2" t="s">
        <v>10</v>
      </c>
      <c r="G1332" s="2" t="s">
        <v>11</v>
      </c>
      <c r="H1332" s="2">
        <v>14000000</v>
      </c>
      <c r="I1332" s="2">
        <v>7.7</v>
      </c>
      <c r="J1332" s="3">
        <v>10814185</v>
      </c>
      <c r="K1332">
        <f t="shared" si="48"/>
        <v>1.3775047412552699E-3</v>
      </c>
      <c r="R1332" s="12" t="str">
        <f ca="1">IFERROR(__xludf.DUMMYFUNCTION("""COMPUTED_VALUE"""),"Space Chimps ")</f>
        <v>Space Chimps </v>
      </c>
      <c r="S1332" s="12">
        <f t="shared" si="49"/>
        <v>28292022</v>
      </c>
    </row>
    <row r="1333" spans="1:19" x14ac:dyDescent="0.3">
      <c r="A1333" s="2" t="s">
        <v>1525</v>
      </c>
      <c r="B1333" s="2">
        <v>107</v>
      </c>
      <c r="C1333" s="3">
        <v>53884821</v>
      </c>
      <c r="D1333" s="3" t="s">
        <v>5920</v>
      </c>
      <c r="E1333" s="2" t="s">
        <v>1762</v>
      </c>
      <c r="F1333" s="2" t="s">
        <v>10</v>
      </c>
      <c r="G1333" s="2" t="s">
        <v>11</v>
      </c>
      <c r="H1333" s="2">
        <v>40000000</v>
      </c>
      <c r="I1333" s="2">
        <v>6.5</v>
      </c>
      <c r="J1333" s="3">
        <v>10824921</v>
      </c>
      <c r="K1333">
        <f t="shared" si="48"/>
        <v>1.3775047412552699E-3</v>
      </c>
      <c r="R1333" s="12" t="str">
        <f ca="1">IFERROR(__xludf.DUMMYFUNCTION("""COMPUTED_VALUE"""),"Head of State ")</f>
        <v>Head of State </v>
      </c>
      <c r="S1333" s="12">
        <f t="shared" si="49"/>
        <v>21771174</v>
      </c>
    </row>
    <row r="1334" spans="1:19" x14ac:dyDescent="0.3">
      <c r="A1334" s="2" t="s">
        <v>1154</v>
      </c>
      <c r="B1334" s="2">
        <v>103</v>
      </c>
      <c r="C1334" s="2">
        <v>25472967</v>
      </c>
      <c r="D1334" s="3" t="s">
        <v>1703</v>
      </c>
      <c r="E1334" s="2" t="s">
        <v>1155</v>
      </c>
      <c r="F1334" s="2" t="s">
        <v>10</v>
      </c>
      <c r="G1334" s="2" t="s">
        <v>11</v>
      </c>
      <c r="H1334" s="2">
        <v>30000000</v>
      </c>
      <c r="I1334" s="2">
        <v>5.6</v>
      </c>
      <c r="J1334" s="3">
        <v>10880926</v>
      </c>
      <c r="K1334">
        <f t="shared" si="48"/>
        <v>1.3775047412552699E-3</v>
      </c>
      <c r="R1334" s="12" t="str">
        <f ca="1">IFERROR(__xludf.DUMMYFUNCTION("""COMPUTED_VALUE"""),"The Hangover ")</f>
        <v>The Hangover </v>
      </c>
      <c r="S1334" s="12">
        <f t="shared" si="49"/>
        <v>-5206096</v>
      </c>
    </row>
    <row r="1335" spans="1:19" x14ac:dyDescent="0.3">
      <c r="A1335" s="2" t="s">
        <v>3370</v>
      </c>
      <c r="B1335" s="2">
        <v>93</v>
      </c>
      <c r="C1335" s="2">
        <v>1181197</v>
      </c>
      <c r="D1335" s="3" t="s">
        <v>6056</v>
      </c>
      <c r="E1335" s="2" t="s">
        <v>3371</v>
      </c>
      <c r="F1335" s="2" t="s">
        <v>10</v>
      </c>
      <c r="G1335" s="2" t="s">
        <v>11</v>
      </c>
      <c r="H1335" s="2">
        <v>15500000</v>
      </c>
      <c r="I1335" s="2">
        <v>5.9</v>
      </c>
      <c r="J1335" s="3">
        <v>10907291</v>
      </c>
      <c r="K1335">
        <f t="shared" si="48"/>
        <v>1.3775047412552699E-3</v>
      </c>
      <c r="R1335" s="12" t="str">
        <f ca="1">IFERROR(__xludf.DUMMYFUNCTION("""COMPUTED_VALUE"""),"Ip Man 3 ")</f>
        <v>Ip Man 3 </v>
      </c>
      <c r="S1335" s="12">
        <f t="shared" si="49"/>
        <v>45707116</v>
      </c>
    </row>
    <row r="1336" spans="1:19" x14ac:dyDescent="0.3">
      <c r="A1336" s="2" t="s">
        <v>179</v>
      </c>
      <c r="B1336" s="2">
        <v>137</v>
      </c>
      <c r="C1336" s="3">
        <v>24343673</v>
      </c>
      <c r="D1336" s="3" t="s">
        <v>5759</v>
      </c>
      <c r="E1336" s="2" t="s">
        <v>180</v>
      </c>
      <c r="F1336" s="2" t="s">
        <v>10</v>
      </c>
      <c r="G1336" s="2" t="s">
        <v>11</v>
      </c>
      <c r="H1336" s="2">
        <v>160000000</v>
      </c>
      <c r="I1336" s="2">
        <v>6.6</v>
      </c>
      <c r="J1336" s="3">
        <v>10911750</v>
      </c>
      <c r="K1336">
        <f t="shared" si="48"/>
        <v>1.3775047412552699E-3</v>
      </c>
      <c r="R1336" s="12" t="str">
        <f ca="1">IFERROR(__xludf.DUMMYFUNCTION("""COMPUTED_VALUE"""),"Austin Powers: The Spy Who Shagged Me ")</f>
        <v>Austin Powers: The Spy Who Shagged Me </v>
      </c>
      <c r="S1336" s="12">
        <f t="shared" si="49"/>
        <v>-4813330</v>
      </c>
    </row>
    <row r="1337" spans="1:19" x14ac:dyDescent="0.3">
      <c r="A1337" s="2" t="s">
        <v>1896</v>
      </c>
      <c r="B1337" s="2">
        <v>122</v>
      </c>
      <c r="C1337" s="3">
        <v>15519841</v>
      </c>
      <c r="D1337" s="3" t="s">
        <v>6193</v>
      </c>
      <c r="E1337" s="2" t="s">
        <v>2524</v>
      </c>
      <c r="F1337" s="2" t="s">
        <v>10</v>
      </c>
      <c r="G1337" s="2" t="s">
        <v>11</v>
      </c>
      <c r="H1337" s="2">
        <v>25000000</v>
      </c>
      <c r="I1337" s="2">
        <v>8.1</v>
      </c>
      <c r="J1337" s="3">
        <v>10955425</v>
      </c>
      <c r="K1337">
        <f t="shared" si="48"/>
        <v>1.3775047412552699E-3</v>
      </c>
      <c r="R1337" s="12" t="str">
        <f ca="1">IFERROR(__xludf.DUMMYFUNCTION("""COMPUTED_VALUE"""),"Batman ")</f>
        <v>Batman </v>
      </c>
      <c r="S1337" s="12">
        <f t="shared" si="49"/>
        <v>20993544</v>
      </c>
    </row>
    <row r="1338" spans="1:19" x14ac:dyDescent="0.3">
      <c r="A1338" s="2" t="s">
        <v>1506</v>
      </c>
      <c r="B1338" s="2">
        <v>85</v>
      </c>
      <c r="C1338" s="3">
        <v>16088610</v>
      </c>
      <c r="D1338" s="3" t="s">
        <v>5810</v>
      </c>
      <c r="E1338" s="2" t="s">
        <v>2734</v>
      </c>
      <c r="F1338" s="2" t="s">
        <v>10</v>
      </c>
      <c r="G1338" s="2" t="s">
        <v>11</v>
      </c>
      <c r="H1338" s="2">
        <v>23000000</v>
      </c>
      <c r="I1338" s="2">
        <v>6.8</v>
      </c>
      <c r="J1338" s="3">
        <v>10956379</v>
      </c>
      <c r="K1338">
        <f t="shared" si="48"/>
        <v>1.3775047412552699E-3</v>
      </c>
      <c r="R1338" s="12" t="str">
        <f ca="1">IFERROR(__xludf.DUMMYFUNCTION("""COMPUTED_VALUE"""),"There Be Dragons ")</f>
        <v>There Be Dragons </v>
      </c>
      <c r="S1338" s="12">
        <f t="shared" si="49"/>
        <v>13054924</v>
      </c>
    </row>
    <row r="1339" spans="1:19" x14ac:dyDescent="0.3">
      <c r="A1339" s="2" t="s">
        <v>1024</v>
      </c>
      <c r="B1339" s="2">
        <v>93</v>
      </c>
      <c r="C1339" s="3">
        <v>18653615</v>
      </c>
      <c r="D1339" s="3" t="s">
        <v>5865</v>
      </c>
      <c r="E1339" s="2" t="s">
        <v>1025</v>
      </c>
      <c r="F1339" s="2" t="s">
        <v>10</v>
      </c>
      <c r="G1339" s="2" t="s">
        <v>11</v>
      </c>
      <c r="H1339" s="2">
        <v>61000000</v>
      </c>
      <c r="I1339" s="2">
        <v>6.3</v>
      </c>
      <c r="J1339" s="3">
        <v>10965209</v>
      </c>
      <c r="K1339">
        <f t="shared" si="48"/>
        <v>1.3775047412552699E-3</v>
      </c>
      <c r="R1339" s="12" t="str">
        <f ca="1">IFERROR(__xludf.DUMMYFUNCTION("""COMPUTED_VALUE"""),"Lethal Weapon 3 ")</f>
        <v>Lethal Weapon 3 </v>
      </c>
      <c r="S1339" s="12">
        <f t="shared" si="49"/>
        <v>-18436643</v>
      </c>
    </row>
    <row r="1340" spans="1:19" x14ac:dyDescent="0.3">
      <c r="A1340" s="2" t="s">
        <v>5049</v>
      </c>
      <c r="B1340" s="2">
        <v>120</v>
      </c>
      <c r="C1340" s="3">
        <v>14637490</v>
      </c>
      <c r="D1340" s="3" t="s">
        <v>5869</v>
      </c>
      <c r="E1340" s="2" t="s">
        <v>5050</v>
      </c>
      <c r="F1340" s="2" t="s">
        <v>10</v>
      </c>
      <c r="G1340" s="2" t="s">
        <v>11</v>
      </c>
      <c r="H1340" s="2">
        <v>2300000</v>
      </c>
      <c r="I1340" s="2">
        <v>5.9</v>
      </c>
      <c r="J1340" s="3">
        <v>10991381</v>
      </c>
      <c r="K1340">
        <f t="shared" si="48"/>
        <v>1.3775047412552699E-3</v>
      </c>
      <c r="R1340" s="12" t="str">
        <f ca="1">IFERROR(__xludf.DUMMYFUNCTION("""COMPUTED_VALUE"""),"The Blind Side ")</f>
        <v>The Blind Side </v>
      </c>
      <c r="S1340" s="12">
        <f t="shared" si="49"/>
        <v>38955614</v>
      </c>
    </row>
    <row r="1341" spans="1:19" x14ac:dyDescent="0.3">
      <c r="A1341" s="2" t="s">
        <v>2451</v>
      </c>
      <c r="B1341" s="2">
        <v>109</v>
      </c>
      <c r="C1341" s="3">
        <v>43490057</v>
      </c>
      <c r="D1341" s="3" t="s">
        <v>520</v>
      </c>
      <c r="E1341" s="2" t="s">
        <v>4928</v>
      </c>
      <c r="F1341" s="2" t="s">
        <v>10</v>
      </c>
      <c r="G1341" s="2" t="s">
        <v>11</v>
      </c>
      <c r="H1341" s="2">
        <v>3000000</v>
      </c>
      <c r="I1341" s="2">
        <v>7.9</v>
      </c>
      <c r="J1341" s="3">
        <v>10996440</v>
      </c>
      <c r="K1341">
        <f t="shared" si="48"/>
        <v>1.3775047412552699E-3</v>
      </c>
      <c r="R1341" s="12" t="str">
        <f ca="1">IFERROR(__xludf.DUMMYFUNCTION("""COMPUTED_VALUE"""),"Spy Kids ")</f>
        <v>Spy Kids </v>
      </c>
      <c r="S1341" s="12">
        <f t="shared" si="49"/>
        <v>-74354454</v>
      </c>
    </row>
    <row r="1342" spans="1:19" x14ac:dyDescent="0.3">
      <c r="A1342" s="2" t="s">
        <v>454</v>
      </c>
      <c r="B1342" s="2">
        <v>121</v>
      </c>
      <c r="C1342" s="3">
        <v>389804</v>
      </c>
      <c r="D1342" s="3" t="s">
        <v>6194</v>
      </c>
      <c r="E1342" s="2" t="s">
        <v>3739</v>
      </c>
      <c r="F1342" s="2" t="s">
        <v>10</v>
      </c>
      <c r="G1342" s="2" t="s">
        <v>11</v>
      </c>
      <c r="H1342" s="2">
        <v>13000000</v>
      </c>
      <c r="I1342" s="2">
        <v>8</v>
      </c>
      <c r="J1342" s="3">
        <v>11000000</v>
      </c>
      <c r="K1342">
        <f t="shared" si="48"/>
        <v>1.3775047412552699E-3</v>
      </c>
      <c r="R1342" s="12" t="str">
        <f ca="1">IFERROR(__xludf.DUMMYFUNCTION("""COMPUTED_VALUE"""),"Horrible Bosses ")</f>
        <v>Horrible Bosses </v>
      </c>
      <c r="S1342" s="12">
        <f t="shared" si="49"/>
        <v>15981850</v>
      </c>
    </row>
    <row r="1343" spans="1:19" x14ac:dyDescent="0.3">
      <c r="A1343" s="2" t="s">
        <v>112</v>
      </c>
      <c r="B1343" s="2">
        <v>142</v>
      </c>
      <c r="C1343" s="3">
        <v>24138847</v>
      </c>
      <c r="D1343" s="3" t="s">
        <v>6141</v>
      </c>
      <c r="E1343" s="2" t="s">
        <v>403</v>
      </c>
      <c r="F1343" s="2" t="s">
        <v>10</v>
      </c>
      <c r="G1343" s="2" t="s">
        <v>11</v>
      </c>
      <c r="H1343" s="2">
        <v>110000000</v>
      </c>
      <c r="I1343" s="2">
        <v>7.1</v>
      </c>
      <c r="J1343" s="3">
        <v>11008432</v>
      </c>
      <c r="K1343">
        <f t="shared" si="48"/>
        <v>1.3775047412552699E-3</v>
      </c>
      <c r="R1343" s="12" t="str">
        <f ca="1">IFERROR(__xludf.DUMMYFUNCTION("""COMPUTED_VALUE"""),"True Grit ")</f>
        <v>True Grit </v>
      </c>
      <c r="S1343" s="12">
        <f t="shared" si="49"/>
        <v>70568000</v>
      </c>
    </row>
    <row r="1344" spans="1:19" x14ac:dyDescent="0.3">
      <c r="A1344" s="2" t="s">
        <v>3570</v>
      </c>
      <c r="B1344" s="2">
        <v>93</v>
      </c>
      <c r="C1344" s="3">
        <v>24276500</v>
      </c>
      <c r="D1344" s="3" t="s">
        <v>520</v>
      </c>
      <c r="E1344" s="2" t="s">
        <v>3571</v>
      </c>
      <c r="F1344" s="2" t="s">
        <v>10</v>
      </c>
      <c r="G1344" s="2" t="s">
        <v>11</v>
      </c>
      <c r="H1344" s="2">
        <v>15000000</v>
      </c>
      <c r="I1344" s="2">
        <v>5.9</v>
      </c>
      <c r="J1344" s="3">
        <v>11030963</v>
      </c>
      <c r="K1344">
        <f t="shared" si="48"/>
        <v>1.3775047412552699E-3</v>
      </c>
      <c r="R1344" s="12" t="str">
        <f ca="1">IFERROR(__xludf.DUMMYFUNCTION("""COMPUTED_VALUE"""),"The Devil Wears Prada ")</f>
        <v>The Devil Wears Prada </v>
      </c>
      <c r="S1344" s="12">
        <f t="shared" si="49"/>
        <v>-26202073</v>
      </c>
    </row>
    <row r="1345" spans="1:19" x14ac:dyDescent="0.3">
      <c r="A1345" s="2" t="s">
        <v>2817</v>
      </c>
      <c r="B1345" s="2">
        <v>105</v>
      </c>
      <c r="C1345" s="3">
        <v>30920167</v>
      </c>
      <c r="D1345" s="3" t="s">
        <v>5975</v>
      </c>
      <c r="E1345" s="2" t="s">
        <v>2818</v>
      </c>
      <c r="F1345" s="2" t="s">
        <v>10</v>
      </c>
      <c r="G1345" s="2" t="s">
        <v>11</v>
      </c>
      <c r="H1345" s="2">
        <v>22000000</v>
      </c>
      <c r="I1345" s="2">
        <v>5.4</v>
      </c>
      <c r="J1345" s="3">
        <v>11034436</v>
      </c>
      <c r="K1345">
        <f t="shared" si="48"/>
        <v>1.3775047412552699E-3</v>
      </c>
      <c r="R1345" s="12" t="str">
        <f ca="1">IFERROR(__xludf.DUMMYFUNCTION("""COMPUTED_VALUE"""),"Star Trek: The Motion Picture ")</f>
        <v>Star Trek: The Motion Picture </v>
      </c>
      <c r="S1345" s="12">
        <f t="shared" si="49"/>
        <v>-14868670</v>
      </c>
    </row>
    <row r="1346" spans="1:19" x14ac:dyDescent="0.3">
      <c r="A1346" s="2" t="s">
        <v>1272</v>
      </c>
      <c r="B1346" s="2">
        <v>289</v>
      </c>
      <c r="C1346" s="3">
        <v>47307550</v>
      </c>
      <c r="D1346" s="3" t="s">
        <v>5770</v>
      </c>
      <c r="E1346" s="2" t="s">
        <v>2144</v>
      </c>
      <c r="F1346" s="2" t="s">
        <v>10</v>
      </c>
      <c r="G1346" s="2" t="s">
        <v>11</v>
      </c>
      <c r="H1346" s="2">
        <v>31500000</v>
      </c>
      <c r="I1346" s="2">
        <v>8.5</v>
      </c>
      <c r="J1346" s="3">
        <v>11041228</v>
      </c>
      <c r="K1346">
        <f t="shared" ref="K1346:K1409" si="50">CORREL(H$2:H$3941,J$2:J$3941)</f>
        <v>1.3775047412552699E-3</v>
      </c>
      <c r="R1346" s="12" t="str">
        <f ca="1">IFERROR(__xludf.DUMMYFUNCTION("""COMPUTED_VALUE"""),"Identity Thief ")</f>
        <v>Identity Thief </v>
      </c>
      <c r="S1346" s="12">
        <f t="shared" si="49"/>
        <v>11809813</v>
      </c>
    </row>
    <row r="1347" spans="1:19" x14ac:dyDescent="0.3">
      <c r="A1347" s="2" t="s">
        <v>3543</v>
      </c>
      <c r="B1347" s="2">
        <v>103</v>
      </c>
      <c r="C1347" s="3">
        <v>51053787</v>
      </c>
      <c r="D1347" s="3" t="s">
        <v>5869</v>
      </c>
      <c r="E1347" s="2" t="s">
        <v>3544</v>
      </c>
      <c r="F1347" s="2" t="s">
        <v>10</v>
      </c>
      <c r="G1347" s="2" t="s">
        <v>16</v>
      </c>
      <c r="H1347" s="2">
        <v>15000000</v>
      </c>
      <c r="I1347" s="2">
        <v>7.2</v>
      </c>
      <c r="J1347" s="3">
        <v>11043445</v>
      </c>
      <c r="K1347">
        <f t="shared" si="50"/>
        <v>1.3775047412552699E-3</v>
      </c>
      <c r="R1347" s="12" t="str">
        <f ca="1">IFERROR(__xludf.DUMMYFUNCTION("""COMPUTED_VALUE"""),"Cape Fear ")</f>
        <v>Cape Fear </v>
      </c>
      <c r="S1347" s="12">
        <f t="shared" si="49"/>
        <v>-41416631</v>
      </c>
    </row>
    <row r="1348" spans="1:19" x14ac:dyDescent="0.3">
      <c r="A1348" s="2" t="s">
        <v>1052</v>
      </c>
      <c r="B1348" s="2">
        <v>113</v>
      </c>
      <c r="C1348" s="2">
        <v>102413606</v>
      </c>
      <c r="D1348" s="3" t="s">
        <v>6033</v>
      </c>
      <c r="E1348" s="2" t="s">
        <v>2061</v>
      </c>
      <c r="F1348" s="2" t="s">
        <v>10</v>
      </c>
      <c r="G1348" s="2" t="s">
        <v>11</v>
      </c>
      <c r="H1348" s="2">
        <v>34000000</v>
      </c>
      <c r="I1348" s="2">
        <v>6.8</v>
      </c>
      <c r="J1348" s="3">
        <v>11100000</v>
      </c>
      <c r="K1348">
        <f t="shared" si="50"/>
        <v>1.3775047412552699E-3</v>
      </c>
      <c r="R1348" s="12" t="str">
        <f ca="1">IFERROR(__xludf.DUMMYFUNCTION("""COMPUTED_VALUE"""),"21 ")</f>
        <v>21 </v>
      </c>
      <c r="S1348" s="12">
        <f t="shared" si="49"/>
        <v>-93265156</v>
      </c>
    </row>
    <row r="1349" spans="1:19" x14ac:dyDescent="0.3">
      <c r="A1349" s="2" t="s">
        <v>1622</v>
      </c>
      <c r="B1349" s="2">
        <v>251</v>
      </c>
      <c r="C1349" s="3">
        <v>39235088</v>
      </c>
      <c r="D1349" s="3" t="s">
        <v>5869</v>
      </c>
      <c r="E1349" s="2" t="s">
        <v>1623</v>
      </c>
      <c r="F1349" s="2" t="s">
        <v>10</v>
      </c>
      <c r="G1349" s="2" t="s">
        <v>16</v>
      </c>
      <c r="H1349" s="2">
        <v>31115000</v>
      </c>
      <c r="I1349" s="2">
        <v>7</v>
      </c>
      <c r="J1349" s="3">
        <v>11144518</v>
      </c>
      <c r="K1349">
        <f t="shared" si="50"/>
        <v>1.3775047412552699E-3</v>
      </c>
      <c r="R1349" s="12" t="str">
        <f ca="1">IFERROR(__xludf.DUMMYFUNCTION("""COMPUTED_VALUE"""),"Trainwreck ")</f>
        <v>Trainwreck </v>
      </c>
      <c r="S1349" s="12">
        <f t="shared" si="49"/>
        <v>23432501</v>
      </c>
    </row>
    <row r="1350" spans="1:19" x14ac:dyDescent="0.3">
      <c r="A1350" s="2" t="s">
        <v>468</v>
      </c>
      <c r="B1350" s="2">
        <v>93</v>
      </c>
      <c r="C1350" s="3">
        <v>8114507</v>
      </c>
      <c r="D1350" s="3" t="s">
        <v>5872</v>
      </c>
      <c r="E1350" s="2" t="s">
        <v>1613</v>
      </c>
      <c r="F1350" s="2" t="s">
        <v>10</v>
      </c>
      <c r="G1350" s="2" t="s">
        <v>11</v>
      </c>
      <c r="H1350" s="2">
        <v>40000000</v>
      </c>
      <c r="I1350" s="2">
        <v>6.6</v>
      </c>
      <c r="J1350" s="3">
        <v>11146409</v>
      </c>
      <c r="K1350">
        <f t="shared" si="50"/>
        <v>1.3775047412552699E-3</v>
      </c>
      <c r="R1350" s="12" t="str">
        <f ca="1">IFERROR(__xludf.DUMMYFUNCTION("""COMPUTED_VALUE"""),"Guess Who ")</f>
        <v>Guess Who </v>
      </c>
      <c r="S1350" s="12">
        <f t="shared" si="49"/>
        <v>6560886</v>
      </c>
    </row>
    <row r="1351" spans="1:19" x14ac:dyDescent="0.3">
      <c r="A1351" s="2" t="s">
        <v>2667</v>
      </c>
      <c r="B1351" s="2">
        <v>93</v>
      </c>
      <c r="C1351" s="3">
        <v>30859000</v>
      </c>
      <c r="D1351" s="3" t="s">
        <v>6045</v>
      </c>
      <c r="E1351" s="2" t="s">
        <v>4606</v>
      </c>
      <c r="F1351" s="2" t="s">
        <v>10</v>
      </c>
      <c r="G1351" s="2" t="s">
        <v>11</v>
      </c>
      <c r="H1351" s="2">
        <v>8500000</v>
      </c>
      <c r="I1351" s="2">
        <v>4.9000000000000004</v>
      </c>
      <c r="J1351" s="3">
        <v>11169531</v>
      </c>
      <c r="K1351">
        <f t="shared" si="50"/>
        <v>1.3775047412552699E-3</v>
      </c>
      <c r="R1351" s="12" t="str">
        <f ca="1">IFERROR(__xludf.DUMMYFUNCTION("""COMPUTED_VALUE"""),"The English Patient ")</f>
        <v>The English Patient </v>
      </c>
      <c r="S1351" s="12">
        <f t="shared" si="49"/>
        <v>-3376223</v>
      </c>
    </row>
    <row r="1352" spans="1:19" x14ac:dyDescent="0.3">
      <c r="A1352" s="2" t="s">
        <v>1436</v>
      </c>
      <c r="B1352" s="2">
        <v>104</v>
      </c>
      <c r="C1352" s="3">
        <v>41597830</v>
      </c>
      <c r="D1352" s="3" t="s">
        <v>6195</v>
      </c>
      <c r="E1352" s="2" t="s">
        <v>2243</v>
      </c>
      <c r="F1352" s="2" t="s">
        <v>10</v>
      </c>
      <c r="G1352" s="2" t="s">
        <v>11</v>
      </c>
      <c r="H1352" s="2">
        <v>30000000</v>
      </c>
      <c r="I1352" s="2">
        <v>5.6</v>
      </c>
      <c r="J1352" s="3">
        <v>11204499</v>
      </c>
      <c r="K1352">
        <f t="shared" si="50"/>
        <v>1.3775047412552699E-3</v>
      </c>
      <c r="R1352" s="12" t="str">
        <f ca="1">IFERROR(__xludf.DUMMYFUNCTION("""COMPUTED_VALUE"""),"L.A. Confidential ")</f>
        <v>L.A. Confidential </v>
      </c>
      <c r="S1352" s="12">
        <f t="shared" si="49"/>
        <v>22200000</v>
      </c>
    </row>
    <row r="1353" spans="1:19" x14ac:dyDescent="0.3">
      <c r="A1353" s="2" t="s">
        <v>374</v>
      </c>
      <c r="B1353" s="2">
        <v>139</v>
      </c>
      <c r="C1353" s="3">
        <v>15081783</v>
      </c>
      <c r="D1353" s="3" t="s">
        <v>6136</v>
      </c>
      <c r="E1353" s="2" t="s">
        <v>1322</v>
      </c>
      <c r="F1353" s="2" t="s">
        <v>10</v>
      </c>
      <c r="G1353" s="2" t="s">
        <v>11</v>
      </c>
      <c r="H1353" s="2">
        <v>50000000</v>
      </c>
      <c r="I1353" s="2">
        <v>7.7</v>
      </c>
      <c r="J1353" s="3">
        <v>11227940</v>
      </c>
      <c r="K1353">
        <f t="shared" si="50"/>
        <v>1.3775047412552699E-3</v>
      </c>
      <c r="R1353" s="12" t="str">
        <f ca="1">IFERROR(__xludf.DUMMYFUNCTION("""COMPUTED_VALUE"""),"Sky High ")</f>
        <v>Sky High </v>
      </c>
      <c r="S1353" s="12">
        <f t="shared" si="49"/>
        <v>19332324</v>
      </c>
    </row>
    <row r="1354" spans="1:19" x14ac:dyDescent="0.3">
      <c r="A1354" s="2" t="s">
        <v>902</v>
      </c>
      <c r="B1354" s="2">
        <v>116</v>
      </c>
      <c r="C1354" s="3">
        <v>108706165</v>
      </c>
      <c r="D1354" s="3" t="s">
        <v>5930</v>
      </c>
      <c r="E1354" s="2" t="s">
        <v>903</v>
      </c>
      <c r="F1354" s="2" t="s">
        <v>10</v>
      </c>
      <c r="G1354" s="2" t="s">
        <v>16</v>
      </c>
      <c r="H1354" s="2">
        <v>35000000</v>
      </c>
      <c r="I1354" s="2">
        <v>6.5</v>
      </c>
      <c r="J1354" s="3">
        <v>11284657</v>
      </c>
      <c r="K1354">
        <f t="shared" si="50"/>
        <v>1.3775047412552699E-3</v>
      </c>
      <c r="R1354" s="12" t="str">
        <f ca="1">IFERROR(__xludf.DUMMYFUNCTION("""COMPUTED_VALUE"""),"In &amp; Out ")</f>
        <v>In &amp; Out </v>
      </c>
      <c r="S1354" s="12">
        <f t="shared" si="49"/>
        <v>49992328</v>
      </c>
    </row>
    <row r="1355" spans="1:19" x14ac:dyDescent="0.3">
      <c r="A1355" s="2" t="s">
        <v>1361</v>
      </c>
      <c r="B1355" s="2">
        <v>78</v>
      </c>
      <c r="C1355" s="3">
        <v>26896744</v>
      </c>
      <c r="D1355" s="3" t="s">
        <v>5960</v>
      </c>
      <c r="E1355" s="2" t="s">
        <v>1362</v>
      </c>
      <c r="F1355" s="2" t="s">
        <v>10</v>
      </c>
      <c r="G1355" s="2" t="s">
        <v>11</v>
      </c>
      <c r="H1355" s="2">
        <v>50000000</v>
      </c>
      <c r="I1355" s="2">
        <v>6.6</v>
      </c>
      <c r="J1355" s="3">
        <v>11326836</v>
      </c>
      <c r="K1355">
        <f t="shared" si="50"/>
        <v>1.3775047412552699E-3</v>
      </c>
      <c r="R1355" s="12" t="str">
        <f ca="1">IFERROR(__xludf.DUMMYFUNCTION("""COMPUTED_VALUE"""),"Species ")</f>
        <v>Species </v>
      </c>
      <c r="S1355" s="12">
        <f t="shared" si="49"/>
        <v>13884821</v>
      </c>
    </row>
    <row r="1356" spans="1:19" x14ac:dyDescent="0.3">
      <c r="A1356" s="2" t="s">
        <v>45</v>
      </c>
      <c r="B1356" s="2">
        <v>192</v>
      </c>
      <c r="C1356" s="3">
        <v>14597405</v>
      </c>
      <c r="D1356" s="3" t="s">
        <v>5869</v>
      </c>
      <c r="E1356" s="2" t="s">
        <v>532</v>
      </c>
      <c r="F1356" s="2" t="s">
        <v>10</v>
      </c>
      <c r="G1356" s="2" t="s">
        <v>11</v>
      </c>
      <c r="H1356" s="2">
        <v>94000000</v>
      </c>
      <c r="I1356" s="2">
        <v>8.9</v>
      </c>
      <c r="J1356" s="3">
        <v>11405825</v>
      </c>
      <c r="K1356">
        <f t="shared" si="50"/>
        <v>1.3775047412552699E-3</v>
      </c>
      <c r="R1356" s="12" t="str">
        <f ca="1">IFERROR(__xludf.DUMMYFUNCTION("""COMPUTED_VALUE"""),"A Nightmare on Elm Street ")</f>
        <v>A Nightmare on Elm Street </v>
      </c>
      <c r="S1356" s="12">
        <f t="shared" si="49"/>
        <v>-4527033</v>
      </c>
    </row>
    <row r="1357" spans="1:19" x14ac:dyDescent="0.3">
      <c r="A1357" s="2" t="s">
        <v>2255</v>
      </c>
      <c r="B1357" s="2">
        <v>99</v>
      </c>
      <c r="C1357" s="3">
        <v>47124400</v>
      </c>
      <c r="D1357" s="3" t="s">
        <v>5849</v>
      </c>
      <c r="E1357" s="2" t="s">
        <v>4439</v>
      </c>
      <c r="F1357" s="2" t="s">
        <v>10</v>
      </c>
      <c r="G1357" s="2" t="s">
        <v>11</v>
      </c>
      <c r="H1357" s="2">
        <v>6500000</v>
      </c>
      <c r="I1357" s="2">
        <v>5.4</v>
      </c>
      <c r="J1357" s="3">
        <v>11433134</v>
      </c>
      <c r="K1357">
        <f t="shared" si="50"/>
        <v>1.3775047412552699E-3</v>
      </c>
      <c r="R1357" s="12" t="str">
        <f ca="1">IFERROR(__xludf.DUMMYFUNCTION("""COMPUTED_VALUE"""),"The Cell ")</f>
        <v>The Cell </v>
      </c>
      <c r="S1357" s="12">
        <f t="shared" si="49"/>
        <v>-14318803</v>
      </c>
    </row>
    <row r="1358" spans="1:19" x14ac:dyDescent="0.3">
      <c r="A1358" s="2" t="s">
        <v>542</v>
      </c>
      <c r="B1358" s="2">
        <v>107</v>
      </c>
      <c r="C1358" s="3">
        <v>71502303</v>
      </c>
      <c r="D1358" s="3" t="s">
        <v>6105</v>
      </c>
      <c r="E1358" s="2" t="s">
        <v>543</v>
      </c>
      <c r="F1358" s="2" t="s">
        <v>10</v>
      </c>
      <c r="G1358" s="2" t="s">
        <v>11</v>
      </c>
      <c r="H1358" s="2">
        <v>90000000</v>
      </c>
      <c r="I1358" s="2">
        <v>6.6</v>
      </c>
      <c r="J1358" s="3">
        <v>11434867</v>
      </c>
      <c r="K1358">
        <f t="shared" si="50"/>
        <v>1.3775047412552699E-3</v>
      </c>
      <c r="R1358" s="12" t="str">
        <f ca="1">IFERROR(__xludf.DUMMYFUNCTION("""COMPUTED_VALUE"""),"The Man in the Iron Mask ")</f>
        <v>The Man in the Iron Mask </v>
      </c>
      <c r="S1358" s="12">
        <f t="shared" si="49"/>
        <v>-135656327</v>
      </c>
    </row>
    <row r="1359" spans="1:19" x14ac:dyDescent="0.3">
      <c r="A1359" s="2" t="s">
        <v>5352</v>
      </c>
      <c r="B1359" s="2">
        <v>95</v>
      </c>
      <c r="C1359" s="3">
        <v>4771000</v>
      </c>
      <c r="D1359" s="3" t="s">
        <v>5823</v>
      </c>
      <c r="E1359" s="2" t="s">
        <v>5353</v>
      </c>
      <c r="F1359" s="2" t="s">
        <v>10</v>
      </c>
      <c r="G1359" s="2" t="s">
        <v>11</v>
      </c>
      <c r="H1359" s="2">
        <v>900000</v>
      </c>
      <c r="I1359" s="2">
        <v>6.4</v>
      </c>
      <c r="J1359" s="3">
        <v>11466088</v>
      </c>
      <c r="K1359">
        <f t="shared" si="50"/>
        <v>1.3775047412552699E-3</v>
      </c>
      <c r="R1359" s="12" t="str">
        <f ca="1">IFERROR(__xludf.DUMMYFUNCTION("""COMPUTED_VALUE"""),"Secretariat ")</f>
        <v>Secretariat </v>
      </c>
      <c r="S1359" s="12">
        <f t="shared" si="49"/>
        <v>-9480159</v>
      </c>
    </row>
    <row r="1360" spans="1:19" x14ac:dyDescent="0.3">
      <c r="A1360" s="2" t="s">
        <v>1602</v>
      </c>
      <c r="B1360" s="2">
        <v>114</v>
      </c>
      <c r="C1360" s="3">
        <v>50461335</v>
      </c>
      <c r="D1360" s="3" t="s">
        <v>6190</v>
      </c>
      <c r="E1360" s="2" t="s">
        <v>2313</v>
      </c>
      <c r="F1360" s="2" t="s">
        <v>10</v>
      </c>
      <c r="G1360" s="2" t="s">
        <v>11</v>
      </c>
      <c r="H1360" s="2">
        <v>30000000</v>
      </c>
      <c r="I1360" s="2">
        <v>7</v>
      </c>
      <c r="J1360" s="3">
        <v>11501093</v>
      </c>
      <c r="K1360">
        <f t="shared" si="50"/>
        <v>1.3775047412552699E-3</v>
      </c>
      <c r="R1360" s="12" t="str">
        <f ca="1">IFERROR(__xludf.DUMMYFUNCTION("""COMPUTED_VALUE"""),"TMNT ")</f>
        <v>TMNT </v>
      </c>
      <c r="S1360" s="12">
        <f t="shared" si="49"/>
        <v>-6911390</v>
      </c>
    </row>
    <row r="1361" spans="1:19" x14ac:dyDescent="0.3">
      <c r="A1361" s="2" t="s">
        <v>1677</v>
      </c>
      <c r="B1361" s="2">
        <v>120</v>
      </c>
      <c r="C1361" s="2">
        <v>101334374</v>
      </c>
      <c r="D1361" s="3" t="s">
        <v>6130</v>
      </c>
      <c r="E1361" s="2" t="s">
        <v>2692</v>
      </c>
      <c r="F1361" s="2" t="s">
        <v>10</v>
      </c>
      <c r="G1361" s="2" t="s">
        <v>11</v>
      </c>
      <c r="H1361" s="2">
        <v>24000000</v>
      </c>
      <c r="I1361" s="2">
        <v>6.1</v>
      </c>
      <c r="J1361" s="3">
        <v>11508423</v>
      </c>
      <c r="K1361">
        <f t="shared" si="50"/>
        <v>1.3775047412552699E-3</v>
      </c>
      <c r="R1361" s="12" t="str">
        <f ca="1">IFERROR(__xludf.DUMMYFUNCTION("""COMPUTED_VALUE"""),"Radio ")</f>
        <v>Radio </v>
      </c>
      <c r="S1361" s="12">
        <f t="shared" si="49"/>
        <v>-42346385</v>
      </c>
    </row>
    <row r="1362" spans="1:19" x14ac:dyDescent="0.3">
      <c r="A1362" s="2" t="s">
        <v>1098</v>
      </c>
      <c r="B1362" s="2">
        <v>99</v>
      </c>
      <c r="C1362" s="3">
        <v>187165546</v>
      </c>
      <c r="D1362" s="3" t="s">
        <v>1703</v>
      </c>
      <c r="E1362" s="2" t="s">
        <v>1099</v>
      </c>
      <c r="F1362" s="2" t="s">
        <v>10</v>
      </c>
      <c r="G1362" s="2" t="s">
        <v>16</v>
      </c>
      <c r="H1362" s="2">
        <v>60000000</v>
      </c>
      <c r="I1362" s="2">
        <v>5.9</v>
      </c>
      <c r="J1362" s="3">
        <v>11529368</v>
      </c>
      <c r="K1362">
        <f t="shared" si="50"/>
        <v>1.3775047412552699E-3</v>
      </c>
      <c r="R1362" s="12" t="str">
        <f ca="1">IFERROR(__xludf.DUMMYFUNCTION("""COMPUTED_VALUE"""),"Friends with Benefits ")</f>
        <v>Friends with Benefits </v>
      </c>
      <c r="S1362" s="12">
        <f t="shared" si="49"/>
        <v>12337490</v>
      </c>
    </row>
    <row r="1363" spans="1:19" x14ac:dyDescent="0.3">
      <c r="A1363" s="2" t="s">
        <v>4223</v>
      </c>
      <c r="B1363" s="2">
        <v>101</v>
      </c>
      <c r="C1363" s="3">
        <v>108521835</v>
      </c>
      <c r="D1363" s="3" t="s">
        <v>5767</v>
      </c>
      <c r="E1363" s="2" t="s">
        <v>4224</v>
      </c>
      <c r="F1363" s="2" t="s">
        <v>10</v>
      </c>
      <c r="G1363" s="2" t="s">
        <v>11</v>
      </c>
      <c r="H1363" s="2">
        <v>8500000</v>
      </c>
      <c r="I1363" s="2">
        <v>6.5</v>
      </c>
      <c r="J1363" s="3">
        <v>11533945</v>
      </c>
      <c r="K1363">
        <f t="shared" si="50"/>
        <v>1.3775047412552699E-3</v>
      </c>
      <c r="R1363" s="12" t="str">
        <f ca="1">IFERROR(__xludf.DUMMYFUNCTION("""COMPUTED_VALUE"""),"Neighbors 2: Sorority Rising ")</f>
        <v>Neighbors 2: Sorority Rising </v>
      </c>
      <c r="S1363" s="12">
        <f t="shared" si="49"/>
        <v>40490057</v>
      </c>
    </row>
    <row r="1364" spans="1:19" x14ac:dyDescent="0.3">
      <c r="A1364" s="2" t="s">
        <v>5279</v>
      </c>
      <c r="B1364" s="2">
        <v>102</v>
      </c>
      <c r="C1364" s="3">
        <v>24127895</v>
      </c>
      <c r="D1364" s="3" t="s">
        <v>5872</v>
      </c>
      <c r="E1364" s="2" t="s">
        <v>5280</v>
      </c>
      <c r="F1364" s="2" t="s">
        <v>5281</v>
      </c>
      <c r="G1364" s="2" t="s">
        <v>5282</v>
      </c>
      <c r="H1364" s="2">
        <v>1100000</v>
      </c>
      <c r="I1364" s="2">
        <v>7.6</v>
      </c>
      <c r="J1364" s="3">
        <v>11538204</v>
      </c>
      <c r="K1364">
        <f t="shared" si="50"/>
        <v>1.3775047412552699E-3</v>
      </c>
      <c r="R1364" s="12" t="str">
        <f ca="1">IFERROR(__xludf.DUMMYFUNCTION("""COMPUTED_VALUE"""),"Saving Mr. Banks ")</f>
        <v>Saving Mr. Banks </v>
      </c>
      <c r="S1364" s="12">
        <f t="shared" si="49"/>
        <v>-12610196</v>
      </c>
    </row>
    <row r="1365" spans="1:19" x14ac:dyDescent="0.3">
      <c r="A1365" s="2" t="s">
        <v>1299</v>
      </c>
      <c r="B1365" s="2">
        <v>119</v>
      </c>
      <c r="C1365" s="3">
        <v>108360000</v>
      </c>
      <c r="D1365" s="3" t="s">
        <v>6148</v>
      </c>
      <c r="E1365" s="2" t="s">
        <v>4236</v>
      </c>
      <c r="F1365" s="2" t="s">
        <v>10</v>
      </c>
      <c r="G1365" s="2" t="s">
        <v>11</v>
      </c>
      <c r="H1365" s="2">
        <v>8550000</v>
      </c>
      <c r="I1365" s="2">
        <v>5.6</v>
      </c>
      <c r="J1365" s="3">
        <v>11546543</v>
      </c>
      <c r="K1365">
        <f t="shared" si="50"/>
        <v>1.3775047412552699E-3</v>
      </c>
      <c r="R1365" s="12" t="str">
        <f ca="1">IFERROR(__xludf.DUMMYFUNCTION("""COMPUTED_VALUE"""),"Malcolm X ")</f>
        <v>Malcolm X </v>
      </c>
      <c r="S1365" s="12">
        <f t="shared" si="49"/>
        <v>-85861153</v>
      </c>
    </row>
    <row r="1366" spans="1:19" x14ac:dyDescent="0.3">
      <c r="A1366" s="2" t="s">
        <v>5644</v>
      </c>
      <c r="B1366" s="2">
        <v>89</v>
      </c>
      <c r="C1366" s="3">
        <v>53868030</v>
      </c>
      <c r="D1366" s="3" t="s">
        <v>6095</v>
      </c>
      <c r="E1366" s="2" t="s">
        <v>5645</v>
      </c>
      <c r="F1366" s="2" t="s">
        <v>5427</v>
      </c>
      <c r="G1366" s="2" t="s">
        <v>3631</v>
      </c>
      <c r="H1366" s="3">
        <v>474544677</v>
      </c>
      <c r="I1366" s="2">
        <v>8.5</v>
      </c>
      <c r="J1366" s="3">
        <v>11560259</v>
      </c>
      <c r="K1366">
        <f t="shared" si="50"/>
        <v>1.3775047412552699E-3</v>
      </c>
      <c r="R1366" s="12" t="str">
        <f ca="1">IFERROR(__xludf.DUMMYFUNCTION("""COMPUTED_VALUE"""),"This Is 40 ")</f>
        <v>This Is 40 </v>
      </c>
      <c r="S1366" s="12">
        <f t="shared" si="49"/>
        <v>9276500</v>
      </c>
    </row>
    <row r="1367" spans="1:19" x14ac:dyDescent="0.3">
      <c r="A1367" s="2" t="s">
        <v>5335</v>
      </c>
      <c r="B1367" s="2">
        <v>79</v>
      </c>
      <c r="C1367" s="3">
        <v>18472363</v>
      </c>
      <c r="D1367" s="3" t="s">
        <v>6045</v>
      </c>
      <c r="E1367" s="2" t="s">
        <v>5336</v>
      </c>
      <c r="F1367" s="2" t="s">
        <v>10</v>
      </c>
      <c r="G1367" s="2" t="s">
        <v>11</v>
      </c>
      <c r="H1367" s="2">
        <v>1000000</v>
      </c>
      <c r="I1367" s="2">
        <v>6.1</v>
      </c>
      <c r="J1367" s="3">
        <v>11576087</v>
      </c>
      <c r="K1367">
        <f t="shared" si="50"/>
        <v>1.3775047412552699E-3</v>
      </c>
      <c r="R1367" s="12" t="str">
        <f ca="1">IFERROR(__xludf.DUMMYFUNCTION("""COMPUTED_VALUE"""),"Old Dogs ")</f>
        <v>Old Dogs </v>
      </c>
      <c r="S1367" s="12">
        <f t="shared" si="49"/>
        <v>8920167</v>
      </c>
    </row>
    <row r="1368" spans="1:19" x14ac:dyDescent="0.3">
      <c r="A1368" s="2" t="s">
        <v>2579</v>
      </c>
      <c r="B1368" s="2">
        <v>88</v>
      </c>
      <c r="C1368" s="3">
        <v>39177541</v>
      </c>
      <c r="D1368" s="3" t="s">
        <v>5910</v>
      </c>
      <c r="E1368" s="2" t="s">
        <v>4648</v>
      </c>
      <c r="F1368" s="2" t="s">
        <v>10</v>
      </c>
      <c r="G1368" s="2" t="s">
        <v>11</v>
      </c>
      <c r="H1368" s="2">
        <v>5000000</v>
      </c>
      <c r="I1368" s="2">
        <v>5.9</v>
      </c>
      <c r="J1368" s="3">
        <v>11614236</v>
      </c>
      <c r="K1368">
        <f t="shared" si="50"/>
        <v>1.3775047412552699E-3</v>
      </c>
      <c r="R1368" s="12" t="str">
        <f ca="1">IFERROR(__xludf.DUMMYFUNCTION("""COMPUTED_VALUE"""),"Underworld: Rise of the Lycans ")</f>
        <v>Underworld: Rise of the Lycans </v>
      </c>
      <c r="S1368" s="12">
        <f t="shared" si="49"/>
        <v>15807550</v>
      </c>
    </row>
    <row r="1369" spans="1:19" x14ac:dyDescent="0.3">
      <c r="A1369" s="2" t="s">
        <v>1441</v>
      </c>
      <c r="B1369" s="2">
        <v>105</v>
      </c>
      <c r="C1369" s="3">
        <v>14888028</v>
      </c>
      <c r="D1369" s="3" t="s">
        <v>6196</v>
      </c>
      <c r="E1369" s="2" t="s">
        <v>2486</v>
      </c>
      <c r="F1369" s="2" t="s">
        <v>10</v>
      </c>
      <c r="G1369" s="2" t="s">
        <v>11</v>
      </c>
      <c r="H1369" s="2">
        <v>26000000</v>
      </c>
      <c r="I1369" s="2">
        <v>7.1</v>
      </c>
      <c r="J1369" s="3">
        <v>11631245</v>
      </c>
      <c r="K1369">
        <f t="shared" si="50"/>
        <v>1.3775047412552699E-3</v>
      </c>
      <c r="R1369" s="12" t="str">
        <f ca="1">IFERROR(__xludf.DUMMYFUNCTION("""COMPUTED_VALUE"""),"License to Wed ")</f>
        <v>License to Wed </v>
      </c>
      <c r="S1369" s="12">
        <f t="shared" ref="S1369:S1432" si="51">C1347-H1347</f>
        <v>36053787</v>
      </c>
    </row>
    <row r="1370" spans="1:19" x14ac:dyDescent="0.3">
      <c r="A1370" s="2" t="s">
        <v>762</v>
      </c>
      <c r="B1370" s="2">
        <v>112</v>
      </c>
      <c r="C1370" s="3">
        <v>35143332</v>
      </c>
      <c r="D1370" s="3" t="s">
        <v>5849</v>
      </c>
      <c r="E1370" s="2" t="s">
        <v>4442</v>
      </c>
      <c r="F1370" s="2" t="s">
        <v>10</v>
      </c>
      <c r="G1370" s="2" t="s">
        <v>11</v>
      </c>
      <c r="H1370" s="2">
        <v>6000000</v>
      </c>
      <c r="I1370" s="2">
        <v>7.8</v>
      </c>
      <c r="J1370" s="3">
        <v>11634458</v>
      </c>
      <c r="K1370">
        <f t="shared" si="50"/>
        <v>1.3775047412552699E-3</v>
      </c>
      <c r="R1370" s="12" t="str">
        <f ca="1">IFERROR(__xludf.DUMMYFUNCTION("""COMPUTED_VALUE"""),"The Benchwarmers ")</f>
        <v>The Benchwarmers </v>
      </c>
      <c r="S1370" s="12">
        <f t="shared" si="51"/>
        <v>68413606</v>
      </c>
    </row>
    <row r="1371" spans="1:19" x14ac:dyDescent="0.3">
      <c r="A1371" s="2" t="s">
        <v>600</v>
      </c>
      <c r="B1371" s="2">
        <v>129</v>
      </c>
      <c r="C1371" s="3">
        <v>71309760</v>
      </c>
      <c r="D1371" s="3" t="s">
        <v>5833</v>
      </c>
      <c r="E1371" s="2" t="s">
        <v>601</v>
      </c>
      <c r="F1371" s="2" t="s">
        <v>10</v>
      </c>
      <c r="G1371" s="2" t="s">
        <v>11</v>
      </c>
      <c r="H1371" s="2">
        <v>20000000</v>
      </c>
      <c r="I1371" s="2">
        <v>6.9</v>
      </c>
      <c r="J1371" s="3">
        <v>11642254</v>
      </c>
      <c r="K1371">
        <f t="shared" si="50"/>
        <v>1.3775047412552699E-3</v>
      </c>
      <c r="R1371" s="12" t="str">
        <f ca="1">IFERROR(__xludf.DUMMYFUNCTION("""COMPUTED_VALUE"""),"Must Love Dogs ")</f>
        <v>Must Love Dogs </v>
      </c>
      <c r="S1371" s="12">
        <f t="shared" si="51"/>
        <v>8120088</v>
      </c>
    </row>
    <row r="1372" spans="1:19" x14ac:dyDescent="0.3">
      <c r="A1372" s="2" t="s">
        <v>519</v>
      </c>
      <c r="B1372" s="2">
        <v>119</v>
      </c>
      <c r="C1372" s="3">
        <v>79566871</v>
      </c>
      <c r="D1372" s="3" t="s">
        <v>5913</v>
      </c>
      <c r="E1372" s="2" t="s">
        <v>2410</v>
      </c>
      <c r="F1372" s="2" t="s">
        <v>10</v>
      </c>
      <c r="G1372" s="2" t="s">
        <v>71</v>
      </c>
      <c r="H1372" s="2">
        <v>28000000</v>
      </c>
      <c r="I1372" s="2">
        <v>6.7</v>
      </c>
      <c r="J1372" s="3">
        <v>11675178</v>
      </c>
      <c r="K1372">
        <f t="shared" si="50"/>
        <v>1.3775047412552699E-3</v>
      </c>
      <c r="R1372" s="12" t="str">
        <f ca="1">IFERROR(__xludf.DUMMYFUNCTION("""COMPUTED_VALUE"""),"Donnie Brasco ")</f>
        <v>Donnie Brasco </v>
      </c>
      <c r="S1372" s="12">
        <f t="shared" si="51"/>
        <v>-31885493</v>
      </c>
    </row>
    <row r="1373" spans="1:19" x14ac:dyDescent="0.3">
      <c r="A1373" s="2" t="s">
        <v>810</v>
      </c>
      <c r="B1373" s="2">
        <v>115</v>
      </c>
      <c r="C1373" s="3">
        <v>98780042</v>
      </c>
      <c r="D1373" s="3" t="s">
        <v>5785</v>
      </c>
      <c r="E1373" s="2" t="s">
        <v>2907</v>
      </c>
      <c r="F1373" s="2" t="s">
        <v>10</v>
      </c>
      <c r="G1373" s="2" t="s">
        <v>11</v>
      </c>
      <c r="H1373" s="2">
        <v>20000000</v>
      </c>
      <c r="I1373" s="2">
        <v>6.2</v>
      </c>
      <c r="J1373" s="3">
        <v>11694528</v>
      </c>
      <c r="K1373">
        <f t="shared" si="50"/>
        <v>1.3775047412552699E-3</v>
      </c>
      <c r="R1373" s="12" t="str">
        <f ca="1">IFERROR(__xludf.DUMMYFUNCTION("""COMPUTED_VALUE"""),"Resident Evil ")</f>
        <v>Resident Evil </v>
      </c>
      <c r="S1373" s="12">
        <f t="shared" si="51"/>
        <v>22359000</v>
      </c>
    </row>
    <row r="1374" spans="1:19" x14ac:dyDescent="0.3">
      <c r="A1374" s="2" t="s">
        <v>2216</v>
      </c>
      <c r="B1374" s="2">
        <v>101</v>
      </c>
      <c r="C1374" s="2">
        <v>9714482</v>
      </c>
      <c r="D1374" s="3" t="s">
        <v>5872</v>
      </c>
      <c r="E1374" s="2" t="s">
        <v>3021</v>
      </c>
      <c r="F1374" s="2" t="s">
        <v>10</v>
      </c>
      <c r="G1374" s="2" t="s">
        <v>11</v>
      </c>
      <c r="H1374" s="2">
        <v>20000000</v>
      </c>
      <c r="I1374" s="2">
        <v>6.8</v>
      </c>
      <c r="J1374" s="3">
        <v>11702090</v>
      </c>
      <c r="K1374">
        <f t="shared" si="50"/>
        <v>1.3775047412552699E-3</v>
      </c>
      <c r="R1374" s="12" t="str">
        <f ca="1">IFERROR(__xludf.DUMMYFUNCTION("""COMPUTED_VALUE"""),"Poltergeist ")</f>
        <v>Poltergeist </v>
      </c>
      <c r="S1374" s="12">
        <f t="shared" si="51"/>
        <v>11597830</v>
      </c>
    </row>
    <row r="1375" spans="1:19" x14ac:dyDescent="0.3">
      <c r="A1375" s="2" t="s">
        <v>2210</v>
      </c>
      <c r="B1375" s="2">
        <v>114</v>
      </c>
      <c r="C1375" s="3">
        <v>53854588</v>
      </c>
      <c r="D1375" s="3" t="s">
        <v>5919</v>
      </c>
      <c r="E1375" s="2" t="s">
        <v>2211</v>
      </c>
      <c r="F1375" s="2" t="s">
        <v>10</v>
      </c>
      <c r="G1375" s="2" t="s">
        <v>11</v>
      </c>
      <c r="H1375" s="2">
        <v>30000000</v>
      </c>
      <c r="I1375" s="2">
        <v>5.9</v>
      </c>
      <c r="J1375" s="3">
        <v>11703287</v>
      </c>
      <c r="K1375">
        <f t="shared" si="50"/>
        <v>1.3775047412552699E-3</v>
      </c>
      <c r="R1375" s="12" t="str">
        <f ca="1">IFERROR(__xludf.DUMMYFUNCTION("""COMPUTED_VALUE"""),"The Ladykillers ")</f>
        <v>The Ladykillers </v>
      </c>
      <c r="S1375" s="12">
        <f t="shared" si="51"/>
        <v>-34918217</v>
      </c>
    </row>
    <row r="1376" spans="1:19" x14ac:dyDescent="0.3">
      <c r="A1376" s="2" t="s">
        <v>5518</v>
      </c>
      <c r="B1376" s="2">
        <v>104</v>
      </c>
      <c r="C1376" s="3">
        <v>30857814</v>
      </c>
      <c r="D1376" s="3" t="s">
        <v>5944</v>
      </c>
      <c r="E1376" s="2" t="s">
        <v>5519</v>
      </c>
      <c r="F1376" s="2" t="s">
        <v>10</v>
      </c>
      <c r="G1376" s="2" t="s">
        <v>11</v>
      </c>
      <c r="H1376" s="2">
        <v>500000</v>
      </c>
      <c r="I1376" s="2">
        <v>3.5</v>
      </c>
      <c r="J1376" s="3">
        <v>11784000</v>
      </c>
      <c r="K1376">
        <f t="shared" si="50"/>
        <v>1.3775047412552699E-3</v>
      </c>
      <c r="R1376" s="12" t="str">
        <f ca="1">IFERROR(__xludf.DUMMYFUNCTION("""COMPUTED_VALUE"""),"Max Payne ")</f>
        <v>Max Payne </v>
      </c>
      <c r="S1376" s="12">
        <f t="shared" si="51"/>
        <v>73706165</v>
      </c>
    </row>
    <row r="1377" spans="1:19" x14ac:dyDescent="0.3">
      <c r="A1377" s="2" t="s">
        <v>909</v>
      </c>
      <c r="B1377" s="2">
        <v>118</v>
      </c>
      <c r="C1377" s="3">
        <v>71148699</v>
      </c>
      <c r="D1377" s="3" t="s">
        <v>5865</v>
      </c>
      <c r="E1377" s="2" t="s">
        <v>1245</v>
      </c>
      <c r="F1377" s="2" t="s">
        <v>10</v>
      </c>
      <c r="G1377" s="2" t="s">
        <v>11</v>
      </c>
      <c r="H1377" s="2">
        <v>55000000</v>
      </c>
      <c r="I1377" s="2">
        <v>5.8</v>
      </c>
      <c r="J1377" s="3">
        <v>11797927</v>
      </c>
      <c r="K1377">
        <f t="shared" si="50"/>
        <v>1.3775047412552699E-3</v>
      </c>
      <c r="R1377" s="12" t="str">
        <f ca="1">IFERROR(__xludf.DUMMYFUNCTION("""COMPUTED_VALUE"""),"In Time ")</f>
        <v>In Time </v>
      </c>
      <c r="S1377" s="12">
        <f t="shared" si="51"/>
        <v>-23103256</v>
      </c>
    </row>
    <row r="1378" spans="1:19" x14ac:dyDescent="0.3">
      <c r="A1378" s="2" t="s">
        <v>1645</v>
      </c>
      <c r="B1378" s="2">
        <v>100</v>
      </c>
      <c r="C1378" s="3">
        <v>3902679</v>
      </c>
      <c r="D1378" s="3" t="s">
        <v>5830</v>
      </c>
      <c r="E1378" s="2" t="s">
        <v>1646</v>
      </c>
      <c r="F1378" s="2" t="s">
        <v>10</v>
      </c>
      <c r="G1378" s="2" t="s">
        <v>47</v>
      </c>
      <c r="H1378" s="2">
        <v>45000000</v>
      </c>
      <c r="I1378" s="2">
        <v>6.3</v>
      </c>
      <c r="J1378" s="3">
        <v>11802056</v>
      </c>
      <c r="K1378">
        <f t="shared" si="50"/>
        <v>1.3775047412552699E-3</v>
      </c>
      <c r="R1378" s="12" t="str">
        <f ca="1">IFERROR(__xludf.DUMMYFUNCTION("""COMPUTED_VALUE"""),"The Back-up Plan ")</f>
        <v>The Back-up Plan </v>
      </c>
      <c r="S1378" s="12">
        <f t="shared" si="51"/>
        <v>-79402595</v>
      </c>
    </row>
    <row r="1379" spans="1:19" x14ac:dyDescent="0.3">
      <c r="A1379" s="2" t="s">
        <v>1659</v>
      </c>
      <c r="B1379" s="2">
        <v>104</v>
      </c>
      <c r="C1379" s="3">
        <v>118311368</v>
      </c>
      <c r="D1379" s="3" t="s">
        <v>6197</v>
      </c>
      <c r="E1379" s="2" t="s">
        <v>3778</v>
      </c>
      <c r="F1379" s="2" t="s">
        <v>10</v>
      </c>
      <c r="G1379" s="2" t="s">
        <v>11</v>
      </c>
      <c r="H1379" s="2">
        <v>12000000</v>
      </c>
      <c r="I1379" s="2">
        <v>6.5</v>
      </c>
      <c r="J1379" s="3">
        <v>11806119</v>
      </c>
      <c r="K1379">
        <f t="shared" si="50"/>
        <v>1.3775047412552699E-3</v>
      </c>
      <c r="R1379" s="12" t="str">
        <f ca="1">IFERROR(__xludf.DUMMYFUNCTION("""COMPUTED_VALUE"""),"Something Borrowed ")</f>
        <v>Something Borrowed </v>
      </c>
      <c r="S1379" s="12">
        <f t="shared" si="51"/>
        <v>40624400</v>
      </c>
    </row>
    <row r="1380" spans="1:19" x14ac:dyDescent="0.3">
      <c r="A1380" s="2" t="s">
        <v>3175</v>
      </c>
      <c r="B1380" s="2">
        <v>115</v>
      </c>
      <c r="C1380" s="3">
        <v>16574731</v>
      </c>
      <c r="D1380" s="3" t="s">
        <v>5940</v>
      </c>
      <c r="E1380" s="2" t="s">
        <v>3176</v>
      </c>
      <c r="F1380" s="2" t="s">
        <v>10</v>
      </c>
      <c r="G1380" s="2" t="s">
        <v>11</v>
      </c>
      <c r="H1380" s="2">
        <v>18000000</v>
      </c>
      <c r="I1380" s="2">
        <v>6.7</v>
      </c>
      <c r="J1380" s="3">
        <v>11854694</v>
      </c>
      <c r="K1380">
        <f t="shared" si="50"/>
        <v>1.3775047412552699E-3</v>
      </c>
      <c r="R1380" s="12" t="str">
        <f ca="1">IFERROR(__xludf.DUMMYFUNCTION("""COMPUTED_VALUE"""),"Black Knight ")</f>
        <v>Black Knight </v>
      </c>
      <c r="S1380" s="12">
        <f t="shared" si="51"/>
        <v>-18497697</v>
      </c>
    </row>
    <row r="1381" spans="1:19" x14ac:dyDescent="0.3">
      <c r="A1381" s="2" t="s">
        <v>5060</v>
      </c>
      <c r="B1381" s="2">
        <v>100</v>
      </c>
      <c r="C1381" s="3">
        <v>58422650</v>
      </c>
      <c r="D1381" s="3" t="s">
        <v>6198</v>
      </c>
      <c r="E1381" s="2" t="s">
        <v>5061</v>
      </c>
      <c r="F1381" s="2" t="s">
        <v>10</v>
      </c>
      <c r="G1381" s="2" t="s">
        <v>11</v>
      </c>
      <c r="H1381" s="2">
        <v>2000000</v>
      </c>
      <c r="I1381" s="2">
        <v>6.9</v>
      </c>
      <c r="J1381" s="3">
        <v>11860839</v>
      </c>
      <c r="K1381">
        <f t="shared" si="50"/>
        <v>1.3775047412552699E-3</v>
      </c>
      <c r="R1381" s="12" t="str">
        <f ca="1">IFERROR(__xludf.DUMMYFUNCTION("""COMPUTED_VALUE"""),"Street Fighter ")</f>
        <v>Street Fighter </v>
      </c>
      <c r="S1381" s="12">
        <f t="shared" si="51"/>
        <v>3871000</v>
      </c>
    </row>
    <row r="1382" spans="1:19" x14ac:dyDescent="0.3">
      <c r="A1382" s="2" t="s">
        <v>965</v>
      </c>
      <c r="B1382" s="2">
        <v>141</v>
      </c>
      <c r="C1382" s="3">
        <v>71069884</v>
      </c>
      <c r="D1382" s="3" t="s">
        <v>5910</v>
      </c>
      <c r="E1382" s="2" t="s">
        <v>1250</v>
      </c>
      <c r="F1382" s="2" t="s">
        <v>10</v>
      </c>
      <c r="G1382" s="2" t="s">
        <v>11</v>
      </c>
      <c r="H1382" s="2">
        <v>55000000</v>
      </c>
      <c r="I1382" s="2">
        <v>7.8</v>
      </c>
      <c r="J1382" s="3">
        <v>11883495</v>
      </c>
      <c r="K1382">
        <f t="shared" si="50"/>
        <v>1.3775047412552699E-3</v>
      </c>
      <c r="R1382" s="12" t="str">
        <f ca="1">IFERROR(__xludf.DUMMYFUNCTION("""COMPUTED_VALUE"""),"The Pianist ")</f>
        <v>The Pianist </v>
      </c>
      <c r="S1382" s="12">
        <f t="shared" si="51"/>
        <v>20461335</v>
      </c>
    </row>
    <row r="1383" spans="1:19" x14ac:dyDescent="0.3">
      <c r="A1383" s="2" t="s">
        <v>1081</v>
      </c>
      <c r="B1383" s="2">
        <v>115</v>
      </c>
      <c r="C1383" s="3">
        <v>18488314</v>
      </c>
      <c r="D1383" s="3" t="s">
        <v>6199</v>
      </c>
      <c r="E1383" s="2" t="s">
        <v>1082</v>
      </c>
      <c r="F1383" s="2" t="s">
        <v>10</v>
      </c>
      <c r="G1383" s="2" t="s">
        <v>11</v>
      </c>
      <c r="H1383" s="2">
        <v>60000000</v>
      </c>
      <c r="I1383" s="2">
        <v>6.5</v>
      </c>
      <c r="J1383" s="3">
        <v>11900000</v>
      </c>
      <c r="K1383">
        <f t="shared" si="50"/>
        <v>1.3775047412552699E-3</v>
      </c>
      <c r="R1383" s="12" t="str">
        <f ca="1">IFERROR(__xludf.DUMMYFUNCTION("""COMPUTED_VALUE"""),"The Nativity Story ")</f>
        <v>The Nativity Story </v>
      </c>
      <c r="S1383" s="12">
        <f t="shared" si="51"/>
        <v>77334374</v>
      </c>
    </row>
    <row r="1384" spans="1:19" x14ac:dyDescent="0.3">
      <c r="A1384" s="2" t="s">
        <v>318</v>
      </c>
      <c r="B1384" s="2">
        <v>96</v>
      </c>
      <c r="C1384" s="3">
        <v>73648142</v>
      </c>
      <c r="D1384" s="3" t="s">
        <v>5773</v>
      </c>
      <c r="E1384" s="2" t="s">
        <v>2065</v>
      </c>
      <c r="F1384" s="2" t="s">
        <v>10</v>
      </c>
      <c r="G1384" s="2" t="s">
        <v>11</v>
      </c>
      <c r="H1384" s="2">
        <v>35000000</v>
      </c>
      <c r="I1384" s="2">
        <v>7.3</v>
      </c>
      <c r="J1384" s="3">
        <v>11905519</v>
      </c>
      <c r="K1384">
        <f t="shared" si="50"/>
        <v>1.3775047412552699E-3</v>
      </c>
      <c r="R1384" s="12" t="str">
        <f ca="1">IFERROR(__xludf.DUMMYFUNCTION("""COMPUTED_VALUE"""),"House of Wax ")</f>
        <v>House of Wax </v>
      </c>
      <c r="S1384" s="12">
        <f t="shared" si="51"/>
        <v>127165546</v>
      </c>
    </row>
    <row r="1385" spans="1:19" x14ac:dyDescent="0.3">
      <c r="A1385" s="2" t="s">
        <v>4230</v>
      </c>
      <c r="B1385" s="2">
        <v>126</v>
      </c>
      <c r="C1385" s="3">
        <v>44700000</v>
      </c>
      <c r="D1385" s="3" t="s">
        <v>5874</v>
      </c>
      <c r="E1385" s="2" t="s">
        <v>4231</v>
      </c>
      <c r="F1385" s="2" t="s">
        <v>10</v>
      </c>
      <c r="G1385" s="2" t="s">
        <v>11</v>
      </c>
      <c r="H1385" s="2">
        <v>8000000</v>
      </c>
      <c r="I1385" s="2">
        <v>7.1</v>
      </c>
      <c r="J1385" s="3">
        <v>11956207</v>
      </c>
      <c r="K1385">
        <f t="shared" si="50"/>
        <v>1.3775047412552699E-3</v>
      </c>
      <c r="R1385" s="12" t="str">
        <f ca="1">IFERROR(__xludf.DUMMYFUNCTION("""COMPUTED_VALUE"""),"Closer ")</f>
        <v>Closer </v>
      </c>
      <c r="S1385" s="12">
        <f t="shared" si="51"/>
        <v>100021835</v>
      </c>
    </row>
    <row r="1386" spans="1:19" x14ac:dyDescent="0.3">
      <c r="A1386" s="2" t="s">
        <v>596</v>
      </c>
      <c r="B1386" s="2">
        <v>141</v>
      </c>
      <c r="C1386" s="3">
        <v>172051787</v>
      </c>
      <c r="D1386" s="3" t="s">
        <v>5835</v>
      </c>
      <c r="E1386" s="2" t="s">
        <v>1511</v>
      </c>
      <c r="F1386" s="2" t="s">
        <v>10</v>
      </c>
      <c r="G1386" s="2" t="s">
        <v>11</v>
      </c>
      <c r="H1386" s="2">
        <v>45000000</v>
      </c>
      <c r="I1386" s="2">
        <v>6.5</v>
      </c>
      <c r="J1386" s="3">
        <v>12006514</v>
      </c>
      <c r="K1386">
        <f t="shared" si="50"/>
        <v>1.3775047412552699E-3</v>
      </c>
      <c r="R1386" s="12" t="str">
        <f ca="1">IFERROR(__xludf.DUMMYFUNCTION("""COMPUTED_VALUE"""),"J. Edgar ")</f>
        <v>J. Edgar </v>
      </c>
      <c r="S1386" s="12">
        <f t="shared" si="51"/>
        <v>23027895</v>
      </c>
    </row>
    <row r="1387" spans="1:19" x14ac:dyDescent="0.3">
      <c r="A1387" s="2" t="s">
        <v>456</v>
      </c>
      <c r="B1387" s="2">
        <v>98</v>
      </c>
      <c r="C1387" s="3">
        <v>18535191</v>
      </c>
      <c r="D1387" s="3" t="s">
        <v>5863</v>
      </c>
      <c r="E1387" s="2" t="s">
        <v>457</v>
      </c>
      <c r="F1387" s="2" t="s">
        <v>10</v>
      </c>
      <c r="G1387" s="2" t="s">
        <v>11</v>
      </c>
      <c r="H1387" s="2">
        <v>100000000</v>
      </c>
      <c r="I1387" s="2">
        <v>5.5</v>
      </c>
      <c r="J1387" s="3">
        <v>12026670</v>
      </c>
      <c r="K1387">
        <f t="shared" si="50"/>
        <v>1.3775047412552699E-3</v>
      </c>
      <c r="R1387" s="12" t="str">
        <f ca="1">IFERROR(__xludf.DUMMYFUNCTION("""COMPUTED_VALUE"""),"Mirrors ")</f>
        <v>Mirrors </v>
      </c>
      <c r="S1387" s="12">
        <f t="shared" si="51"/>
        <v>99810000</v>
      </c>
    </row>
    <row r="1388" spans="1:19" x14ac:dyDescent="0.3">
      <c r="A1388" s="2" t="s">
        <v>2003</v>
      </c>
      <c r="B1388" s="2">
        <v>96</v>
      </c>
      <c r="C1388" s="3">
        <v>79100000</v>
      </c>
      <c r="D1388" s="3" t="s">
        <v>6033</v>
      </c>
      <c r="E1388" s="2" t="s">
        <v>4730</v>
      </c>
      <c r="F1388" s="2" t="s">
        <v>10</v>
      </c>
      <c r="G1388" s="2" t="s">
        <v>11</v>
      </c>
      <c r="H1388" s="2">
        <v>4500000</v>
      </c>
      <c r="I1388" s="2">
        <v>6.7</v>
      </c>
      <c r="J1388" s="3">
        <v>12055108</v>
      </c>
      <c r="K1388">
        <f t="shared" si="50"/>
        <v>1.3775047412552699E-3</v>
      </c>
      <c r="R1388" s="12" t="str">
        <f ca="1">IFERROR(__xludf.DUMMYFUNCTION("""COMPUTED_VALUE"""),"Queen of the Damned ")</f>
        <v>Queen of the Damned </v>
      </c>
      <c r="S1388" s="12">
        <f t="shared" si="51"/>
        <v>-420676647</v>
      </c>
    </row>
    <row r="1389" spans="1:19" x14ac:dyDescent="0.3">
      <c r="A1389" s="2" t="s">
        <v>67</v>
      </c>
      <c r="B1389" s="2">
        <v>126</v>
      </c>
      <c r="C1389" s="3">
        <v>4007792</v>
      </c>
      <c r="D1389" s="3" t="s">
        <v>5975</v>
      </c>
      <c r="E1389" s="2" t="s">
        <v>668</v>
      </c>
      <c r="F1389" s="2" t="s">
        <v>10</v>
      </c>
      <c r="G1389" s="2" t="s">
        <v>11</v>
      </c>
      <c r="H1389" s="2">
        <v>80000000</v>
      </c>
      <c r="I1389" s="2">
        <v>7</v>
      </c>
      <c r="J1389" s="3">
        <v>12065985</v>
      </c>
      <c r="K1389">
        <f t="shared" si="50"/>
        <v>1.3775047412552699E-3</v>
      </c>
      <c r="R1389" s="12" t="str">
        <f ca="1">IFERROR(__xludf.DUMMYFUNCTION("""COMPUTED_VALUE"""),"Predator 2 ")</f>
        <v>Predator 2 </v>
      </c>
      <c r="S1389" s="12">
        <f t="shared" si="51"/>
        <v>17472363</v>
      </c>
    </row>
    <row r="1390" spans="1:19" x14ac:dyDescent="0.3">
      <c r="A1390" s="2" t="s">
        <v>1242</v>
      </c>
      <c r="B1390" s="2">
        <v>94</v>
      </c>
      <c r="C1390" s="2">
        <v>34238611</v>
      </c>
      <c r="D1390" s="3" t="s">
        <v>6200</v>
      </c>
      <c r="E1390" s="2" t="s">
        <v>1243</v>
      </c>
      <c r="F1390" s="2" t="s">
        <v>10</v>
      </c>
      <c r="G1390" s="2" t="s">
        <v>11</v>
      </c>
      <c r="H1390" s="2">
        <v>55000000</v>
      </c>
      <c r="I1390" s="2">
        <v>6</v>
      </c>
      <c r="J1390" s="3">
        <v>12134420</v>
      </c>
      <c r="K1390">
        <f t="shared" si="50"/>
        <v>1.3775047412552699E-3</v>
      </c>
      <c r="R1390" s="12" t="str">
        <f ca="1">IFERROR(__xludf.DUMMYFUNCTION("""COMPUTED_VALUE"""),"Untraceable ")</f>
        <v>Untraceable </v>
      </c>
      <c r="S1390" s="12">
        <f t="shared" si="51"/>
        <v>34177541</v>
      </c>
    </row>
    <row r="1391" spans="1:19" x14ac:dyDescent="0.3">
      <c r="A1391" s="2" t="s">
        <v>812</v>
      </c>
      <c r="B1391" s="2">
        <v>127</v>
      </c>
      <c r="C1391" s="3">
        <v>30513940</v>
      </c>
      <c r="D1391" s="3" t="s">
        <v>5891</v>
      </c>
      <c r="E1391" s="2" t="s">
        <v>2766</v>
      </c>
      <c r="F1391" s="2" t="s">
        <v>10</v>
      </c>
      <c r="G1391" s="2" t="s">
        <v>11</v>
      </c>
      <c r="H1391" s="2">
        <v>22000000</v>
      </c>
      <c r="I1391" s="2">
        <v>7</v>
      </c>
      <c r="J1391" s="3">
        <v>12181484</v>
      </c>
      <c r="K1391">
        <f t="shared" si="50"/>
        <v>1.3775047412552699E-3</v>
      </c>
      <c r="R1391" s="12" t="str">
        <f ca="1">IFERROR(__xludf.DUMMYFUNCTION("""COMPUTED_VALUE"""),"Blast from the Past ")</f>
        <v>Blast from the Past </v>
      </c>
      <c r="S1391" s="12">
        <f t="shared" si="51"/>
        <v>-11111972</v>
      </c>
    </row>
    <row r="1392" spans="1:19" x14ac:dyDescent="0.3">
      <c r="A1392" s="2" t="s">
        <v>2194</v>
      </c>
      <c r="B1392" s="2">
        <v>111</v>
      </c>
      <c r="C1392" s="3">
        <v>24185781</v>
      </c>
      <c r="D1392" s="3" t="s">
        <v>6201</v>
      </c>
      <c r="E1392" s="2" t="s">
        <v>3201</v>
      </c>
      <c r="F1392" s="2" t="s">
        <v>10</v>
      </c>
      <c r="G1392" s="2" t="s">
        <v>11</v>
      </c>
      <c r="H1392" s="2">
        <v>18000000</v>
      </c>
      <c r="I1392" s="2">
        <v>6.9</v>
      </c>
      <c r="J1392" s="3">
        <v>12188642</v>
      </c>
      <c r="K1392">
        <f t="shared" si="50"/>
        <v>1.3775047412552699E-3</v>
      </c>
      <c r="R1392" s="12" t="str">
        <f ca="1">IFERROR(__xludf.DUMMYFUNCTION("""COMPUTED_VALUE"""),"Jersey Girl ")</f>
        <v>Jersey Girl </v>
      </c>
      <c r="S1392" s="12">
        <f t="shared" si="51"/>
        <v>29143332</v>
      </c>
    </row>
    <row r="1393" spans="1:19" x14ac:dyDescent="0.3">
      <c r="A1393" s="2" t="s">
        <v>3297</v>
      </c>
      <c r="B1393" s="2">
        <v>104</v>
      </c>
      <c r="C1393" s="3">
        <v>18593156</v>
      </c>
      <c r="D1393" s="3" t="s">
        <v>885</v>
      </c>
      <c r="E1393" s="2" t="s">
        <v>4272</v>
      </c>
      <c r="F1393" s="2" t="s">
        <v>10</v>
      </c>
      <c r="G1393" s="2" t="s">
        <v>11</v>
      </c>
      <c r="H1393" s="2">
        <v>8000000</v>
      </c>
      <c r="I1393" s="2">
        <v>5.4</v>
      </c>
      <c r="J1393" s="3">
        <v>12189514</v>
      </c>
      <c r="K1393">
        <f t="shared" si="50"/>
        <v>1.3775047412552699E-3</v>
      </c>
      <c r="R1393" s="12" t="str">
        <f ca="1">IFERROR(__xludf.DUMMYFUNCTION("""COMPUTED_VALUE"""),"Alex Cross ")</f>
        <v>Alex Cross </v>
      </c>
      <c r="S1393" s="12">
        <f t="shared" si="51"/>
        <v>51309760</v>
      </c>
    </row>
    <row r="1394" spans="1:19" x14ac:dyDescent="0.3">
      <c r="A1394" s="2" t="s">
        <v>1864</v>
      </c>
      <c r="B1394" s="2">
        <v>110</v>
      </c>
      <c r="C1394" s="3">
        <v>78900000</v>
      </c>
      <c r="D1394" s="3" t="s">
        <v>6202</v>
      </c>
      <c r="E1394" s="2" t="s">
        <v>2137</v>
      </c>
      <c r="F1394" s="2" t="s">
        <v>10</v>
      </c>
      <c r="G1394" s="2" t="s">
        <v>11</v>
      </c>
      <c r="H1394" s="2">
        <v>30000000</v>
      </c>
      <c r="I1394" s="2">
        <v>5.3</v>
      </c>
      <c r="J1394" s="3">
        <v>12200000</v>
      </c>
      <c r="K1394">
        <f t="shared" si="50"/>
        <v>1.3775047412552699E-3</v>
      </c>
      <c r="R1394" s="12" t="str">
        <f ca="1">IFERROR(__xludf.DUMMYFUNCTION("""COMPUTED_VALUE"""),"Midnight in the Garden of Good and Evil ")</f>
        <v>Midnight in the Garden of Good and Evil </v>
      </c>
      <c r="S1394" s="12">
        <f t="shared" si="51"/>
        <v>51566871</v>
      </c>
    </row>
    <row r="1395" spans="1:19" x14ac:dyDescent="0.3">
      <c r="A1395" s="2" t="s">
        <v>5531</v>
      </c>
      <c r="B1395" s="2">
        <v>84</v>
      </c>
      <c r="C1395" s="3">
        <v>39177215</v>
      </c>
      <c r="D1395" s="3" t="s">
        <v>6141</v>
      </c>
      <c r="E1395" s="2" t="s">
        <v>5532</v>
      </c>
      <c r="F1395" s="2" t="s">
        <v>10</v>
      </c>
      <c r="G1395" s="2" t="s">
        <v>16</v>
      </c>
      <c r="H1395" s="2">
        <v>450000</v>
      </c>
      <c r="I1395" s="2">
        <v>7.1</v>
      </c>
      <c r="J1395" s="3">
        <v>12212417</v>
      </c>
      <c r="K1395">
        <f t="shared" si="50"/>
        <v>1.3775047412552699E-3</v>
      </c>
      <c r="R1395" s="12" t="str">
        <f ca="1">IFERROR(__xludf.DUMMYFUNCTION("""COMPUTED_VALUE"""),"Nanny McPhee Returns ")</f>
        <v>Nanny McPhee Returns </v>
      </c>
      <c r="S1395" s="12">
        <f t="shared" si="51"/>
        <v>78780042</v>
      </c>
    </row>
    <row r="1396" spans="1:19" x14ac:dyDescent="0.3">
      <c r="A1396" s="2" t="s">
        <v>1303</v>
      </c>
      <c r="B1396" s="2">
        <v>104</v>
      </c>
      <c r="C1396" s="3">
        <v>30695227</v>
      </c>
      <c r="D1396" s="3" t="s">
        <v>5833</v>
      </c>
      <c r="E1396" s="2" t="s">
        <v>4282</v>
      </c>
      <c r="F1396" s="2" t="s">
        <v>10</v>
      </c>
      <c r="G1396" s="2" t="s">
        <v>199</v>
      </c>
      <c r="H1396" s="2">
        <v>8000000</v>
      </c>
      <c r="I1396" s="2">
        <v>6.6</v>
      </c>
      <c r="J1396" s="3">
        <v>12232937</v>
      </c>
      <c r="K1396">
        <f t="shared" si="50"/>
        <v>1.3775047412552699E-3</v>
      </c>
      <c r="R1396" s="12" t="str">
        <f ca="1">IFERROR(__xludf.DUMMYFUNCTION("""COMPUTED_VALUE"""),"Hoffa ")</f>
        <v>Hoffa </v>
      </c>
      <c r="S1396" s="12">
        <f t="shared" si="51"/>
        <v>-10285518</v>
      </c>
    </row>
    <row r="1397" spans="1:19" x14ac:dyDescent="0.3">
      <c r="A1397" s="2" t="s">
        <v>4179</v>
      </c>
      <c r="B1397" s="2">
        <v>122</v>
      </c>
      <c r="C1397" s="3">
        <v>21468807</v>
      </c>
      <c r="D1397" s="3" t="s">
        <v>6102</v>
      </c>
      <c r="E1397" s="2" t="s">
        <v>4472</v>
      </c>
      <c r="F1397" s="2" t="s">
        <v>10</v>
      </c>
      <c r="G1397" s="2" t="s">
        <v>11</v>
      </c>
      <c r="H1397" s="2">
        <v>6000000</v>
      </c>
      <c r="I1397" s="2">
        <v>7.5</v>
      </c>
      <c r="J1397" s="3">
        <v>12276810</v>
      </c>
      <c r="K1397">
        <f t="shared" si="50"/>
        <v>1.3775047412552699E-3</v>
      </c>
      <c r="R1397" s="12" t="str">
        <f ca="1">IFERROR(__xludf.DUMMYFUNCTION("""COMPUTED_VALUE"""),"The X Files: I Want to Believe ")</f>
        <v>The X Files: I Want to Believe </v>
      </c>
      <c r="S1397" s="12">
        <f t="shared" si="51"/>
        <v>23854588</v>
      </c>
    </row>
    <row r="1398" spans="1:19" x14ac:dyDescent="0.3">
      <c r="A1398" s="2" t="s">
        <v>3751</v>
      </c>
      <c r="B1398" s="2">
        <v>90</v>
      </c>
      <c r="C1398" s="3">
        <v>44606335</v>
      </c>
      <c r="D1398" s="3" t="s">
        <v>5873</v>
      </c>
      <c r="E1398" s="2" t="s">
        <v>3752</v>
      </c>
      <c r="F1398" s="2" t="s">
        <v>10</v>
      </c>
      <c r="G1398" s="2" t="s">
        <v>11</v>
      </c>
      <c r="H1398" s="2">
        <v>15000000</v>
      </c>
      <c r="I1398" s="2">
        <v>6.4</v>
      </c>
      <c r="J1398" s="3">
        <v>12281500</v>
      </c>
      <c r="K1398">
        <f t="shared" si="50"/>
        <v>1.3775047412552699E-3</v>
      </c>
      <c r="R1398" s="12" t="str">
        <f ca="1">IFERROR(__xludf.DUMMYFUNCTION("""COMPUTED_VALUE"""),"Ella Enchanted ")</f>
        <v>Ella Enchanted </v>
      </c>
      <c r="S1398" s="12">
        <f t="shared" si="51"/>
        <v>30357814</v>
      </c>
    </row>
    <row r="1399" spans="1:19" x14ac:dyDescent="0.3">
      <c r="A1399" s="2" t="s">
        <v>1434</v>
      </c>
      <c r="B1399" s="2">
        <v>115</v>
      </c>
      <c r="C1399" s="3">
        <v>42194060</v>
      </c>
      <c r="D1399" s="3" t="s">
        <v>5778</v>
      </c>
      <c r="E1399" s="2" t="s">
        <v>2850</v>
      </c>
      <c r="F1399" s="2" t="s">
        <v>10</v>
      </c>
      <c r="G1399" s="2" t="s">
        <v>71</v>
      </c>
      <c r="H1399" s="2">
        <v>31000000</v>
      </c>
      <c r="I1399" s="2">
        <v>6.8</v>
      </c>
      <c r="J1399" s="3">
        <v>12282677</v>
      </c>
      <c r="K1399">
        <f t="shared" si="50"/>
        <v>1.3775047412552699E-3</v>
      </c>
      <c r="R1399" s="12" t="str">
        <f ca="1">IFERROR(__xludf.DUMMYFUNCTION("""COMPUTED_VALUE"""),"Concussion ")</f>
        <v>Concussion </v>
      </c>
      <c r="S1399" s="12">
        <f t="shared" si="51"/>
        <v>16148699</v>
      </c>
    </row>
    <row r="1400" spans="1:19" x14ac:dyDescent="0.3">
      <c r="A1400" s="2" t="s">
        <v>3791</v>
      </c>
      <c r="B1400" s="2">
        <v>80</v>
      </c>
      <c r="C1400" s="3">
        <v>13248477</v>
      </c>
      <c r="D1400" s="3" t="s">
        <v>5830</v>
      </c>
      <c r="E1400" s="2" t="s">
        <v>3982</v>
      </c>
      <c r="F1400" s="2" t="s">
        <v>10</v>
      </c>
      <c r="G1400" s="2" t="s">
        <v>11</v>
      </c>
      <c r="H1400" s="2">
        <v>10000000</v>
      </c>
      <c r="I1400" s="2">
        <v>6.3</v>
      </c>
      <c r="J1400" s="3">
        <v>12339633</v>
      </c>
      <c r="K1400">
        <f t="shared" si="50"/>
        <v>1.3775047412552699E-3</v>
      </c>
      <c r="R1400" s="12" t="str">
        <f ca="1">IFERROR(__xludf.DUMMYFUNCTION("""COMPUTED_VALUE"""),"Abduction ")</f>
        <v>Abduction </v>
      </c>
      <c r="S1400" s="12">
        <f t="shared" si="51"/>
        <v>-41097321</v>
      </c>
    </row>
    <row r="1401" spans="1:19" x14ac:dyDescent="0.3">
      <c r="A1401" s="2" t="s">
        <v>4350</v>
      </c>
      <c r="B1401" s="2">
        <v>110</v>
      </c>
      <c r="C1401" s="3">
        <v>25335935</v>
      </c>
      <c r="D1401" s="3" t="s">
        <v>5778</v>
      </c>
      <c r="E1401" s="2" t="s">
        <v>4903</v>
      </c>
      <c r="F1401" s="2" t="s">
        <v>10</v>
      </c>
      <c r="G1401" s="2" t="s">
        <v>16</v>
      </c>
      <c r="H1401" s="2">
        <v>3000000</v>
      </c>
      <c r="I1401" s="2">
        <v>7.8</v>
      </c>
      <c r="J1401" s="3">
        <v>12372410</v>
      </c>
      <c r="K1401">
        <f t="shared" si="50"/>
        <v>1.3775047412552699E-3</v>
      </c>
      <c r="R1401" s="12" t="str">
        <f ca="1">IFERROR(__xludf.DUMMYFUNCTION("""COMPUTED_VALUE"""),"Valiant ")</f>
        <v>Valiant </v>
      </c>
      <c r="S1401" s="12">
        <f t="shared" si="51"/>
        <v>106311368</v>
      </c>
    </row>
    <row r="1402" spans="1:19" x14ac:dyDescent="0.3">
      <c r="A1402" s="2" t="s">
        <v>1553</v>
      </c>
      <c r="B1402" s="2">
        <v>82</v>
      </c>
      <c r="C1402" s="3">
        <v>30688364</v>
      </c>
      <c r="D1402" s="3" t="s">
        <v>6203</v>
      </c>
      <c r="E1402" s="2" t="s">
        <v>2519</v>
      </c>
      <c r="F1402" s="2" t="s">
        <v>10</v>
      </c>
      <c r="G1402" s="2" t="s">
        <v>11</v>
      </c>
      <c r="H1402" s="2">
        <v>30000000</v>
      </c>
      <c r="I1402" s="2">
        <v>6</v>
      </c>
      <c r="J1402" s="3">
        <v>12398628</v>
      </c>
      <c r="K1402">
        <f t="shared" si="50"/>
        <v>1.3775047412552699E-3</v>
      </c>
      <c r="R1402" s="12" t="str">
        <f ca="1">IFERROR(__xludf.DUMMYFUNCTION("""COMPUTED_VALUE"""),"Wonder Boys ")</f>
        <v>Wonder Boys </v>
      </c>
      <c r="S1402" s="12">
        <f t="shared" si="51"/>
        <v>-1425269</v>
      </c>
    </row>
    <row r="1403" spans="1:19" x14ac:dyDescent="0.3">
      <c r="A1403" s="2" t="s">
        <v>749</v>
      </c>
      <c r="B1403" s="2">
        <v>104</v>
      </c>
      <c r="C1403" s="3">
        <v>30669413</v>
      </c>
      <c r="D1403" s="3" t="s">
        <v>6204</v>
      </c>
      <c r="E1403" s="2" t="s">
        <v>750</v>
      </c>
      <c r="F1403" s="2" t="s">
        <v>751</v>
      </c>
      <c r="G1403" s="2" t="s">
        <v>504</v>
      </c>
      <c r="H1403" s="2">
        <v>40000000</v>
      </c>
      <c r="I1403" s="2">
        <v>7.8</v>
      </c>
      <c r="J1403" s="3">
        <v>12469811</v>
      </c>
      <c r="K1403">
        <f t="shared" si="50"/>
        <v>1.3775047412552699E-3</v>
      </c>
      <c r="R1403" s="12" t="str">
        <f ca="1">IFERROR(__xludf.DUMMYFUNCTION("""COMPUTED_VALUE"""),"Superhero Movie ")</f>
        <v>Superhero Movie </v>
      </c>
      <c r="S1403" s="12">
        <f t="shared" si="51"/>
        <v>56422650</v>
      </c>
    </row>
    <row r="1404" spans="1:19" x14ac:dyDescent="0.3">
      <c r="A1404" s="2" t="s">
        <v>394</v>
      </c>
      <c r="B1404" s="2">
        <v>112</v>
      </c>
      <c r="C1404" s="3">
        <v>53789313</v>
      </c>
      <c r="D1404" s="3" t="s">
        <v>5752</v>
      </c>
      <c r="E1404" s="2" t="s">
        <v>395</v>
      </c>
      <c r="F1404" s="2" t="s">
        <v>10</v>
      </c>
      <c r="G1404" s="2" t="s">
        <v>11</v>
      </c>
      <c r="H1404" s="3">
        <v>65653758</v>
      </c>
      <c r="I1404" s="2">
        <v>6.3</v>
      </c>
      <c r="J1404" s="3">
        <v>12514138</v>
      </c>
      <c r="K1404">
        <f t="shared" si="50"/>
        <v>1.3775047412552699E-3</v>
      </c>
      <c r="R1404" s="12" t="str">
        <f ca="1">IFERROR(__xludf.DUMMYFUNCTION("""COMPUTED_VALUE"""),"Broken City ")</f>
        <v>Broken City </v>
      </c>
      <c r="S1404" s="12">
        <f t="shared" si="51"/>
        <v>16069884</v>
      </c>
    </row>
    <row r="1405" spans="1:19" x14ac:dyDescent="0.3">
      <c r="A1405" s="2" t="s">
        <v>3052</v>
      </c>
      <c r="B1405" s="2">
        <v>125</v>
      </c>
      <c r="C1405" s="3">
        <v>39026186</v>
      </c>
      <c r="D1405" s="3" t="s">
        <v>5849</v>
      </c>
      <c r="E1405" s="2" t="s">
        <v>3053</v>
      </c>
      <c r="F1405" s="2" t="s">
        <v>10</v>
      </c>
      <c r="G1405" s="2" t="s">
        <v>11</v>
      </c>
      <c r="H1405" s="2">
        <v>20000000</v>
      </c>
      <c r="I1405" s="2">
        <v>7</v>
      </c>
      <c r="J1405" s="3">
        <v>12549485</v>
      </c>
      <c r="K1405">
        <f t="shared" si="50"/>
        <v>1.3775047412552699E-3</v>
      </c>
      <c r="R1405" s="12" t="str">
        <f ca="1">IFERROR(__xludf.DUMMYFUNCTION("""COMPUTED_VALUE"""),"Cursed ")</f>
        <v>Cursed </v>
      </c>
      <c r="S1405" s="12">
        <f t="shared" si="51"/>
        <v>-41511686</v>
      </c>
    </row>
    <row r="1406" spans="1:19" x14ac:dyDescent="0.3">
      <c r="A1406" s="2" t="s">
        <v>3705</v>
      </c>
      <c r="B1406" s="2">
        <v>84</v>
      </c>
      <c r="C1406" s="3">
        <v>108638745</v>
      </c>
      <c r="D1406" s="3" t="s">
        <v>885</v>
      </c>
      <c r="E1406" s="2" t="s">
        <v>3706</v>
      </c>
      <c r="F1406" s="2" t="s">
        <v>10</v>
      </c>
      <c r="G1406" s="2" t="s">
        <v>11</v>
      </c>
      <c r="H1406" s="2">
        <v>13000000</v>
      </c>
      <c r="I1406" s="2">
        <v>5.6</v>
      </c>
      <c r="J1406" s="3">
        <v>12555230</v>
      </c>
      <c r="K1406">
        <f t="shared" si="50"/>
        <v>1.3775047412552699E-3</v>
      </c>
      <c r="R1406" s="12" t="str">
        <f ca="1">IFERROR(__xludf.DUMMYFUNCTION("""COMPUTED_VALUE"""),"Premium Rush ")</f>
        <v>Premium Rush </v>
      </c>
      <c r="S1406" s="12">
        <f t="shared" si="51"/>
        <v>38648142</v>
      </c>
    </row>
    <row r="1407" spans="1:19" x14ac:dyDescent="0.3">
      <c r="A1407" s="2" t="s">
        <v>788</v>
      </c>
      <c r="B1407" s="2">
        <v>110</v>
      </c>
      <c r="C1407" s="3">
        <v>53715611</v>
      </c>
      <c r="D1407" s="3" t="s">
        <v>5894</v>
      </c>
      <c r="E1407" s="2" t="s">
        <v>789</v>
      </c>
      <c r="F1407" s="2" t="s">
        <v>10</v>
      </c>
      <c r="G1407" s="2" t="s">
        <v>11</v>
      </c>
      <c r="H1407" s="3">
        <v>80021740</v>
      </c>
      <c r="I1407" s="2">
        <v>4.0999999999999996</v>
      </c>
      <c r="J1407" s="3">
        <v>12570442</v>
      </c>
      <c r="K1407">
        <f t="shared" si="50"/>
        <v>1.3775047412552699E-3</v>
      </c>
      <c r="R1407" s="12" t="str">
        <f ca="1">IFERROR(__xludf.DUMMYFUNCTION("""COMPUTED_VALUE"""),"Hot Pursuit ")</f>
        <v>Hot Pursuit </v>
      </c>
      <c r="S1407" s="12">
        <f t="shared" si="51"/>
        <v>36700000</v>
      </c>
    </row>
    <row r="1408" spans="1:19" x14ac:dyDescent="0.3">
      <c r="A1408" s="2" t="s">
        <v>431</v>
      </c>
      <c r="B1408" s="2">
        <v>82</v>
      </c>
      <c r="C1408" s="3">
        <v>63540020</v>
      </c>
      <c r="D1408" s="3" t="s">
        <v>5846</v>
      </c>
      <c r="E1408" s="2" t="s">
        <v>432</v>
      </c>
      <c r="F1408" s="2" t="s">
        <v>10</v>
      </c>
      <c r="G1408" s="2" t="s">
        <v>11</v>
      </c>
      <c r="H1408" s="2">
        <v>109000000</v>
      </c>
      <c r="I1408" s="2">
        <v>3.8</v>
      </c>
      <c r="J1408" s="3">
        <v>12574715</v>
      </c>
      <c r="K1408">
        <f t="shared" si="50"/>
        <v>1.3775047412552699E-3</v>
      </c>
      <c r="R1408" s="12" t="str">
        <f ca="1">IFERROR(__xludf.DUMMYFUNCTION("""COMPUTED_VALUE"""),"The Four Feathers ")</f>
        <v>The Four Feathers </v>
      </c>
      <c r="S1408" s="12">
        <f t="shared" si="51"/>
        <v>127051787</v>
      </c>
    </row>
    <row r="1409" spans="1:19" x14ac:dyDescent="0.3">
      <c r="A1409" s="2" t="s">
        <v>5683</v>
      </c>
      <c r="B1409" s="2">
        <v>82</v>
      </c>
      <c r="C1409" s="3">
        <v>65653758</v>
      </c>
      <c r="D1409" s="3" t="s">
        <v>5913</v>
      </c>
      <c r="E1409" s="2" t="s">
        <v>5684</v>
      </c>
      <c r="F1409" s="2" t="s">
        <v>10</v>
      </c>
      <c r="G1409" s="2" t="s">
        <v>11</v>
      </c>
      <c r="H1409" s="2">
        <v>7830000</v>
      </c>
      <c r="I1409" s="2">
        <v>5.6</v>
      </c>
      <c r="J1409" s="3">
        <v>12583510</v>
      </c>
      <c r="K1409">
        <f t="shared" si="50"/>
        <v>1.3775047412552699E-3</v>
      </c>
      <c r="R1409" s="12" t="str">
        <f ca="1">IFERROR(__xludf.DUMMYFUNCTION("""COMPUTED_VALUE"""),"Parker ")</f>
        <v>Parker </v>
      </c>
      <c r="S1409" s="12">
        <f t="shared" si="51"/>
        <v>-81464809</v>
      </c>
    </row>
    <row r="1410" spans="1:19" x14ac:dyDescent="0.3">
      <c r="A1410" s="2" t="s">
        <v>2713</v>
      </c>
      <c r="B1410" s="2">
        <v>125</v>
      </c>
      <c r="C1410" s="3">
        <v>64423650</v>
      </c>
      <c r="D1410" s="3" t="s">
        <v>6205</v>
      </c>
      <c r="E1410" s="2" t="s">
        <v>3719</v>
      </c>
      <c r="F1410" s="2" t="s">
        <v>10</v>
      </c>
      <c r="G1410" s="2" t="s">
        <v>199</v>
      </c>
      <c r="H1410" s="2">
        <v>13000000</v>
      </c>
      <c r="I1410" s="2">
        <v>7.1</v>
      </c>
      <c r="J1410" s="3">
        <v>12610552</v>
      </c>
      <c r="K1410">
        <f t="shared" ref="K1410:K1473" si="52">CORREL(H$2:H$3941,J$2:J$3941)</f>
        <v>1.3775047412552699E-3</v>
      </c>
      <c r="R1410" s="12" t="str">
        <f ca="1">IFERROR(__xludf.DUMMYFUNCTION("""COMPUTED_VALUE"""),"Wimbledon ")</f>
        <v>Wimbledon </v>
      </c>
      <c r="S1410" s="12">
        <f t="shared" si="51"/>
        <v>74600000</v>
      </c>
    </row>
    <row r="1411" spans="1:19" x14ac:dyDescent="0.3">
      <c r="A1411" s="2" t="s">
        <v>3552</v>
      </c>
      <c r="B1411" s="2">
        <v>145</v>
      </c>
      <c r="C1411" s="3">
        <v>41543207</v>
      </c>
      <c r="D1411" s="3" t="s">
        <v>5866</v>
      </c>
      <c r="E1411" s="2" t="s">
        <v>3553</v>
      </c>
      <c r="F1411" s="2" t="s">
        <v>3090</v>
      </c>
      <c r="G1411" s="2" t="s">
        <v>199</v>
      </c>
      <c r="H1411" s="2">
        <v>6000000</v>
      </c>
      <c r="I1411" s="2">
        <v>8.3000000000000007</v>
      </c>
      <c r="J1411" s="3">
        <v>12610731</v>
      </c>
      <c r="K1411">
        <f t="shared" si="52"/>
        <v>1.3775047412552699E-3</v>
      </c>
      <c r="R1411" s="12" t="str">
        <f ca="1">IFERROR(__xludf.DUMMYFUNCTION("""COMPUTED_VALUE"""),"Furry Vengeance ")</f>
        <v>Furry Vengeance </v>
      </c>
      <c r="S1411" s="12">
        <f t="shared" si="51"/>
        <v>-75992208</v>
      </c>
    </row>
    <row r="1412" spans="1:19" x14ac:dyDescent="0.3">
      <c r="A1412" s="2" t="s">
        <v>1242</v>
      </c>
      <c r="B1412" s="2">
        <v>107</v>
      </c>
      <c r="C1412" s="2">
        <v>9795017</v>
      </c>
      <c r="D1412" s="3" t="s">
        <v>520</v>
      </c>
      <c r="E1412" s="2" t="s">
        <v>1451</v>
      </c>
      <c r="F1412" s="2" t="s">
        <v>10</v>
      </c>
      <c r="G1412" s="2" t="s">
        <v>11</v>
      </c>
      <c r="H1412" s="2">
        <v>50000000</v>
      </c>
      <c r="I1412" s="2">
        <v>5.0999999999999996</v>
      </c>
      <c r="J1412" s="3">
        <v>12626905</v>
      </c>
      <c r="K1412">
        <f t="shared" si="52"/>
        <v>1.3775047412552699E-3</v>
      </c>
      <c r="R1412" s="12" t="str">
        <f ca="1">IFERROR(__xludf.DUMMYFUNCTION("""COMPUTED_VALUE"""),"Lions for Lambs ")</f>
        <v>Lions for Lambs </v>
      </c>
      <c r="S1412" s="12">
        <f t="shared" si="51"/>
        <v>-20761389</v>
      </c>
    </row>
    <row r="1413" spans="1:19" x14ac:dyDescent="0.3">
      <c r="A1413" s="2" t="s">
        <v>3591</v>
      </c>
      <c r="B1413" s="2">
        <v>96</v>
      </c>
      <c r="C1413" s="3">
        <v>35063732</v>
      </c>
      <c r="D1413" s="3" t="s">
        <v>5767</v>
      </c>
      <c r="E1413" s="2" t="s">
        <v>4008</v>
      </c>
      <c r="F1413" s="2" t="s">
        <v>10</v>
      </c>
      <c r="G1413" s="2" t="s">
        <v>11</v>
      </c>
      <c r="H1413" s="2">
        <v>10000000</v>
      </c>
      <c r="I1413" s="2">
        <v>4.7</v>
      </c>
      <c r="J1413" s="3">
        <v>12693621</v>
      </c>
      <c r="K1413">
        <f t="shared" si="52"/>
        <v>1.3775047412552699E-3</v>
      </c>
      <c r="R1413" s="12" t="str">
        <f ca="1">IFERROR(__xludf.DUMMYFUNCTION("""COMPUTED_VALUE"""),"Flight of the Intruder ")</f>
        <v>Flight of the Intruder </v>
      </c>
      <c r="S1413" s="12">
        <f t="shared" si="51"/>
        <v>8513940</v>
      </c>
    </row>
    <row r="1414" spans="1:19" x14ac:dyDescent="0.3">
      <c r="A1414" s="2" t="s">
        <v>762</v>
      </c>
      <c r="B1414" s="2">
        <v>107</v>
      </c>
      <c r="C1414" s="3">
        <v>39008741</v>
      </c>
      <c r="D1414" s="3" t="s">
        <v>5884</v>
      </c>
      <c r="E1414" s="2" t="s">
        <v>763</v>
      </c>
      <c r="F1414" s="2" t="s">
        <v>10</v>
      </c>
      <c r="G1414" s="2" t="s">
        <v>11</v>
      </c>
      <c r="H1414" s="2">
        <v>76000000</v>
      </c>
      <c r="I1414" s="2">
        <v>5.9</v>
      </c>
      <c r="J1414" s="3">
        <v>12701880</v>
      </c>
      <c r="K1414">
        <f t="shared" si="52"/>
        <v>1.3775047412552699E-3</v>
      </c>
      <c r="R1414" s="12" t="str">
        <f ca="1">IFERROR(__xludf.DUMMYFUNCTION("""COMPUTED_VALUE"""),"Walk Hard: The Dewey Cox Story ")</f>
        <v>Walk Hard: The Dewey Cox Story </v>
      </c>
      <c r="S1414" s="12">
        <f t="shared" si="51"/>
        <v>6185781</v>
      </c>
    </row>
    <row r="1415" spans="1:19" x14ac:dyDescent="0.3">
      <c r="A1415" s="2" t="s">
        <v>240</v>
      </c>
      <c r="B1415" s="2">
        <v>103</v>
      </c>
      <c r="C1415" s="3">
        <v>18439082</v>
      </c>
      <c r="D1415" s="3" t="s">
        <v>6206</v>
      </c>
      <c r="E1415" s="2" t="s">
        <v>241</v>
      </c>
      <c r="F1415" s="2" t="s">
        <v>10</v>
      </c>
      <c r="G1415" s="2" t="s">
        <v>11</v>
      </c>
      <c r="H1415" s="2">
        <v>150000000</v>
      </c>
      <c r="I1415" s="2">
        <v>4.2</v>
      </c>
      <c r="J1415" s="3">
        <v>12712093</v>
      </c>
      <c r="K1415">
        <f t="shared" si="52"/>
        <v>1.3775047412552699E-3</v>
      </c>
      <c r="R1415" s="12" t="str">
        <f ca="1">IFERROR(__xludf.DUMMYFUNCTION("""COMPUTED_VALUE"""),"The Shipping News ")</f>
        <v>The Shipping News </v>
      </c>
      <c r="S1415" s="12">
        <f t="shared" si="51"/>
        <v>10593156</v>
      </c>
    </row>
    <row r="1416" spans="1:19" x14ac:dyDescent="0.3">
      <c r="A1416" s="2" t="s">
        <v>112</v>
      </c>
      <c r="B1416" s="2">
        <v>120</v>
      </c>
      <c r="C1416" s="3">
        <v>25799043</v>
      </c>
      <c r="D1416" s="3" t="s">
        <v>5778</v>
      </c>
      <c r="E1416" s="2" t="s">
        <v>164</v>
      </c>
      <c r="F1416" s="2" t="s">
        <v>10</v>
      </c>
      <c r="G1416" s="2" t="s">
        <v>11</v>
      </c>
      <c r="H1416" s="2">
        <v>165000000</v>
      </c>
      <c r="I1416" s="2">
        <v>5.5</v>
      </c>
      <c r="J1416" s="3">
        <v>12782508</v>
      </c>
      <c r="K1416">
        <f t="shared" si="52"/>
        <v>1.3775047412552699E-3</v>
      </c>
      <c r="R1416" s="12" t="str">
        <f ca="1">IFERROR(__xludf.DUMMYFUNCTION("""COMPUTED_VALUE"""),"American Outlaws ")</f>
        <v>American Outlaws </v>
      </c>
      <c r="S1416" s="12">
        <f t="shared" si="51"/>
        <v>48900000</v>
      </c>
    </row>
    <row r="1417" spans="1:19" x14ac:dyDescent="0.3">
      <c r="A1417" s="2" t="s">
        <v>5154</v>
      </c>
      <c r="B1417" s="2">
        <v>111</v>
      </c>
      <c r="C1417" s="3">
        <v>115731542</v>
      </c>
      <c r="D1417" s="3" t="s">
        <v>5794</v>
      </c>
      <c r="E1417" s="2" t="s">
        <v>5155</v>
      </c>
      <c r="F1417" s="2" t="s">
        <v>10</v>
      </c>
      <c r="G1417" s="2" t="s">
        <v>11</v>
      </c>
      <c r="H1417" s="2">
        <v>1800000</v>
      </c>
      <c r="I1417" s="2">
        <v>5.4</v>
      </c>
      <c r="J1417" s="3">
        <v>12784397</v>
      </c>
      <c r="K1417">
        <f t="shared" si="52"/>
        <v>1.3775047412552699E-3</v>
      </c>
      <c r="R1417" s="12" t="str">
        <f ca="1">IFERROR(__xludf.DUMMYFUNCTION("""COMPUTED_VALUE"""),"The Young Victoria ")</f>
        <v>The Young Victoria </v>
      </c>
      <c r="S1417" s="12">
        <f t="shared" si="51"/>
        <v>38727215</v>
      </c>
    </row>
    <row r="1418" spans="1:19" x14ac:dyDescent="0.3">
      <c r="A1418" s="2" t="s">
        <v>1330</v>
      </c>
      <c r="B1418" s="2">
        <v>133</v>
      </c>
      <c r="C1418" s="3">
        <v>26539321</v>
      </c>
      <c r="D1418" s="3" t="s">
        <v>5767</v>
      </c>
      <c r="E1418" s="2" t="s">
        <v>2647</v>
      </c>
      <c r="F1418" s="2" t="s">
        <v>10</v>
      </c>
      <c r="G1418" s="2" t="s">
        <v>16</v>
      </c>
      <c r="H1418" s="2">
        <v>28000000</v>
      </c>
      <c r="I1418" s="2">
        <v>7.1</v>
      </c>
      <c r="J1418" s="3">
        <v>12784713</v>
      </c>
      <c r="K1418">
        <f t="shared" si="52"/>
        <v>1.3775047412552699E-3</v>
      </c>
      <c r="R1418" s="12" t="str">
        <f ca="1">IFERROR(__xludf.DUMMYFUNCTION("""COMPUTED_VALUE"""),"Whiteout ")</f>
        <v>Whiteout </v>
      </c>
      <c r="S1418" s="12">
        <f t="shared" si="51"/>
        <v>22695227</v>
      </c>
    </row>
    <row r="1419" spans="1:19" x14ac:dyDescent="0.3">
      <c r="A1419" s="2" t="s">
        <v>1151</v>
      </c>
      <c r="B1419" s="2">
        <v>130</v>
      </c>
      <c r="C1419" s="3">
        <v>71038190</v>
      </c>
      <c r="D1419" s="3" t="s">
        <v>5950</v>
      </c>
      <c r="E1419" s="2" t="s">
        <v>1152</v>
      </c>
      <c r="F1419" s="2" t="s">
        <v>10</v>
      </c>
      <c r="G1419" s="2" t="s">
        <v>11</v>
      </c>
      <c r="H1419" s="2">
        <v>60000000</v>
      </c>
      <c r="I1419" s="2">
        <v>6</v>
      </c>
      <c r="J1419" s="3">
        <v>12793213</v>
      </c>
      <c r="K1419">
        <f t="shared" si="52"/>
        <v>1.3775047412552699E-3</v>
      </c>
      <c r="R1419" s="12" t="str">
        <f ca="1">IFERROR(__xludf.DUMMYFUNCTION("""COMPUTED_VALUE"""),"The Tree of Life ")</f>
        <v>The Tree of Life </v>
      </c>
      <c r="S1419" s="12">
        <f t="shared" si="51"/>
        <v>15468807</v>
      </c>
    </row>
    <row r="1420" spans="1:19" x14ac:dyDescent="0.3">
      <c r="A1420" s="2" t="s">
        <v>1602</v>
      </c>
      <c r="B1420" s="2">
        <v>110</v>
      </c>
      <c r="C1420" s="3">
        <v>39025000</v>
      </c>
      <c r="D1420" s="3" t="s">
        <v>5926</v>
      </c>
      <c r="E1420" s="2" t="s">
        <v>2444</v>
      </c>
      <c r="F1420" s="2" t="s">
        <v>10</v>
      </c>
      <c r="G1420" s="2" t="s">
        <v>199</v>
      </c>
      <c r="H1420" s="2">
        <v>27000000</v>
      </c>
      <c r="I1420" s="2">
        <v>7.8</v>
      </c>
      <c r="J1420" s="3">
        <v>12801190</v>
      </c>
      <c r="K1420">
        <f t="shared" si="52"/>
        <v>1.3775047412552699E-3</v>
      </c>
      <c r="R1420" s="12" t="str">
        <f ca="1">IFERROR(__xludf.DUMMYFUNCTION("""COMPUTED_VALUE"""),"Knock Off ")</f>
        <v>Knock Off </v>
      </c>
      <c r="S1420" s="12">
        <f t="shared" si="51"/>
        <v>29606335</v>
      </c>
    </row>
    <row r="1421" spans="1:19" x14ac:dyDescent="0.3">
      <c r="A1421" s="2" t="s">
        <v>1147</v>
      </c>
      <c r="B1421" s="2">
        <v>94</v>
      </c>
      <c r="C1421" s="2">
        <v>12398628</v>
      </c>
      <c r="D1421" s="3" t="s">
        <v>6033</v>
      </c>
      <c r="E1421" s="2" t="s">
        <v>3007</v>
      </c>
      <c r="F1421" s="2" t="s">
        <v>10</v>
      </c>
      <c r="G1421" s="2" t="s">
        <v>11</v>
      </c>
      <c r="H1421" s="2">
        <v>20000000</v>
      </c>
      <c r="I1421" s="2">
        <v>6.1</v>
      </c>
      <c r="J1421" s="3">
        <v>12831121</v>
      </c>
      <c r="K1421">
        <f t="shared" si="52"/>
        <v>1.3775047412552699E-3</v>
      </c>
      <c r="R1421" s="12" t="str">
        <f ca="1">IFERROR(__xludf.DUMMYFUNCTION("""COMPUTED_VALUE"""),"Sabotage ")</f>
        <v>Sabotage </v>
      </c>
      <c r="S1421" s="12">
        <f t="shared" si="51"/>
        <v>11194060</v>
      </c>
    </row>
    <row r="1422" spans="1:19" x14ac:dyDescent="0.3">
      <c r="A1422" s="2" t="s">
        <v>671</v>
      </c>
      <c r="B1422" s="2">
        <v>123</v>
      </c>
      <c r="C1422" s="3">
        <v>4741987</v>
      </c>
      <c r="D1422" s="3" t="s">
        <v>6134</v>
      </c>
      <c r="E1422" s="2" t="s">
        <v>1755</v>
      </c>
      <c r="F1422" s="2" t="s">
        <v>10</v>
      </c>
      <c r="G1422" s="2" t="s">
        <v>11</v>
      </c>
      <c r="H1422" s="2">
        <v>40000000</v>
      </c>
      <c r="I1422" s="2">
        <v>7.2</v>
      </c>
      <c r="J1422" s="3">
        <v>12870569</v>
      </c>
      <c r="K1422">
        <f t="shared" si="52"/>
        <v>1.3775047412552699E-3</v>
      </c>
      <c r="R1422" s="12" t="str">
        <f ca="1">IFERROR(__xludf.DUMMYFUNCTION("""COMPUTED_VALUE"""),"The Order ")</f>
        <v>The Order </v>
      </c>
      <c r="S1422" s="12">
        <f t="shared" si="51"/>
        <v>3248477</v>
      </c>
    </row>
    <row r="1423" spans="1:19" x14ac:dyDescent="0.3">
      <c r="A1423" s="2" t="s">
        <v>189</v>
      </c>
      <c r="B1423" s="2">
        <v>123</v>
      </c>
      <c r="C1423" s="3">
        <v>47105085</v>
      </c>
      <c r="D1423" s="3" t="s">
        <v>6041</v>
      </c>
      <c r="E1423" s="2" t="s">
        <v>190</v>
      </c>
      <c r="F1423" s="2" t="s">
        <v>10</v>
      </c>
      <c r="G1423" s="2" t="s">
        <v>11</v>
      </c>
      <c r="H1423" s="2">
        <v>160000000</v>
      </c>
      <c r="I1423" s="2">
        <v>7.3</v>
      </c>
      <c r="J1423" s="3">
        <v>12902790</v>
      </c>
      <c r="K1423">
        <f t="shared" si="52"/>
        <v>1.3775047412552699E-3</v>
      </c>
      <c r="R1423" s="12" t="str">
        <f ca="1">IFERROR(__xludf.DUMMYFUNCTION("""COMPUTED_VALUE"""),"Punisher: War Zone ")</f>
        <v>Punisher: War Zone </v>
      </c>
      <c r="S1423" s="12">
        <f t="shared" si="51"/>
        <v>22335935</v>
      </c>
    </row>
    <row r="1424" spans="1:19" x14ac:dyDescent="0.3">
      <c r="A1424" s="2" t="s">
        <v>4959</v>
      </c>
      <c r="B1424" s="2">
        <v>86</v>
      </c>
      <c r="C1424" s="3">
        <v>78800000</v>
      </c>
      <c r="D1424" s="3" t="s">
        <v>6015</v>
      </c>
      <c r="E1424" s="2" t="s">
        <v>4960</v>
      </c>
      <c r="F1424" s="2" t="s">
        <v>10</v>
      </c>
      <c r="G1424" s="2" t="s">
        <v>71</v>
      </c>
      <c r="H1424" s="2">
        <v>3000000</v>
      </c>
      <c r="I1424" s="2">
        <v>6.1</v>
      </c>
      <c r="J1424" s="3">
        <v>12947763</v>
      </c>
      <c r="K1424">
        <f t="shared" si="52"/>
        <v>1.3775047412552699E-3</v>
      </c>
      <c r="R1424" s="12" t="str">
        <f ca="1">IFERROR(__xludf.DUMMYFUNCTION("""COMPUTED_VALUE"""),"Zoom ")</f>
        <v>Zoom </v>
      </c>
      <c r="S1424" s="12">
        <f t="shared" si="51"/>
        <v>688364</v>
      </c>
    </row>
    <row r="1425" spans="1:19" x14ac:dyDescent="0.3">
      <c r="A1425" s="2" t="s">
        <v>605</v>
      </c>
      <c r="B1425" s="2">
        <v>142</v>
      </c>
      <c r="C1425" s="3">
        <v>107458785</v>
      </c>
      <c r="D1425" s="3" t="s">
        <v>5874</v>
      </c>
      <c r="E1425" s="2" t="s">
        <v>665</v>
      </c>
      <c r="F1425" s="2" t="s">
        <v>10</v>
      </c>
      <c r="G1425" s="2" t="s">
        <v>11</v>
      </c>
      <c r="H1425" s="2">
        <v>78000000</v>
      </c>
      <c r="I1425" s="2">
        <v>7.3</v>
      </c>
      <c r="J1425" s="3">
        <v>12985267</v>
      </c>
      <c r="K1425">
        <f t="shared" si="52"/>
        <v>1.3775047412552699E-3</v>
      </c>
      <c r="R1425" s="12" t="str">
        <f ca="1">IFERROR(__xludf.DUMMYFUNCTION("""COMPUTED_VALUE"""),"The Walk ")</f>
        <v>The Walk </v>
      </c>
      <c r="S1425" s="12">
        <f t="shared" si="51"/>
        <v>-9330587</v>
      </c>
    </row>
    <row r="1426" spans="1:19" x14ac:dyDescent="0.3">
      <c r="A1426" s="2" t="s">
        <v>4139</v>
      </c>
      <c r="B1426" s="2">
        <v>90</v>
      </c>
      <c r="C1426" s="3">
        <v>30659817</v>
      </c>
      <c r="D1426" s="3" t="s">
        <v>5771</v>
      </c>
      <c r="E1426" s="2" t="s">
        <v>4140</v>
      </c>
      <c r="F1426" s="2" t="s">
        <v>10</v>
      </c>
      <c r="G1426" s="2" t="s">
        <v>11</v>
      </c>
      <c r="H1426" s="2">
        <v>8000000</v>
      </c>
      <c r="I1426" s="2">
        <v>5.9</v>
      </c>
      <c r="J1426" s="3">
        <v>12987647</v>
      </c>
      <c r="K1426">
        <f t="shared" si="52"/>
        <v>1.3775047412552699E-3</v>
      </c>
      <c r="R1426" s="12" t="str">
        <f ca="1">IFERROR(__xludf.DUMMYFUNCTION("""COMPUTED_VALUE"""),"Warriors of Virtue ")</f>
        <v>Warriors of Virtue </v>
      </c>
      <c r="S1426" s="12">
        <f t="shared" si="51"/>
        <v>-11864445</v>
      </c>
    </row>
    <row r="1427" spans="1:19" x14ac:dyDescent="0.3">
      <c r="A1427" s="2" t="s">
        <v>684</v>
      </c>
      <c r="B1427" s="2">
        <v>103</v>
      </c>
      <c r="C1427" s="3">
        <v>105219735</v>
      </c>
      <c r="D1427" s="3" t="s">
        <v>5774</v>
      </c>
      <c r="E1427" s="2" t="s">
        <v>2384</v>
      </c>
      <c r="F1427" s="2" t="s">
        <v>10</v>
      </c>
      <c r="G1427" s="2" t="s">
        <v>199</v>
      </c>
      <c r="H1427" s="2">
        <v>35000000</v>
      </c>
      <c r="I1427" s="2">
        <v>5.2</v>
      </c>
      <c r="J1427" s="3">
        <v>12995673</v>
      </c>
      <c r="K1427">
        <f t="shared" si="52"/>
        <v>1.3775047412552699E-3</v>
      </c>
      <c r="R1427" s="12" t="str">
        <f ca="1">IFERROR(__xludf.DUMMYFUNCTION("""COMPUTED_VALUE"""),"A Good Year ")</f>
        <v>A Good Year </v>
      </c>
      <c r="S1427" s="12">
        <f t="shared" si="51"/>
        <v>19026186</v>
      </c>
    </row>
    <row r="1428" spans="1:19" x14ac:dyDescent="0.3">
      <c r="A1428" s="2" t="s">
        <v>3078</v>
      </c>
      <c r="B1428" s="2">
        <v>124</v>
      </c>
      <c r="C1428" s="3">
        <v>25296447</v>
      </c>
      <c r="D1428" s="3" t="s">
        <v>6207</v>
      </c>
      <c r="E1428" s="2" t="s">
        <v>4312</v>
      </c>
      <c r="F1428" s="2" t="s">
        <v>2071</v>
      </c>
      <c r="G1428" s="2" t="s">
        <v>771</v>
      </c>
      <c r="H1428" s="2">
        <v>1100000000</v>
      </c>
      <c r="I1428" s="2">
        <v>8.1</v>
      </c>
      <c r="J1428" s="3">
        <v>13000000</v>
      </c>
      <c r="K1428">
        <f t="shared" si="52"/>
        <v>1.3775047412552699E-3</v>
      </c>
      <c r="R1428" s="12" t="str">
        <f ca="1">IFERROR(__xludf.DUMMYFUNCTION("""COMPUTED_VALUE"""),"Radio Flyer ")</f>
        <v>Radio Flyer </v>
      </c>
      <c r="S1428" s="12">
        <f t="shared" si="51"/>
        <v>95638745</v>
      </c>
    </row>
    <row r="1429" spans="1:19" x14ac:dyDescent="0.3">
      <c r="A1429" s="2" t="s">
        <v>1272</v>
      </c>
      <c r="B1429" s="2">
        <v>135</v>
      </c>
      <c r="C1429" s="3">
        <v>35617599</v>
      </c>
      <c r="D1429" s="3" t="s">
        <v>6208</v>
      </c>
      <c r="E1429" s="2" t="s">
        <v>1733</v>
      </c>
      <c r="F1429" s="2" t="s">
        <v>10</v>
      </c>
      <c r="G1429" s="2" t="s">
        <v>11</v>
      </c>
      <c r="H1429" s="2">
        <v>40000000</v>
      </c>
      <c r="I1429" s="2">
        <v>7.1</v>
      </c>
      <c r="J1429" s="3">
        <v>13005485</v>
      </c>
      <c r="K1429">
        <f t="shared" si="52"/>
        <v>1.3775047412552699E-3</v>
      </c>
      <c r="R1429" s="12" t="str">
        <f ca="1">IFERROR(__xludf.DUMMYFUNCTION("""COMPUTED_VALUE"""),"Blood In, Blood Out ")</f>
        <v>Blood In, Blood Out </v>
      </c>
      <c r="S1429" s="12">
        <f t="shared" si="51"/>
        <v>-26306129</v>
      </c>
    </row>
    <row r="1430" spans="1:19" x14ac:dyDescent="0.3">
      <c r="A1430" s="2" t="s">
        <v>4672</v>
      </c>
      <c r="B1430" s="2">
        <v>150</v>
      </c>
      <c r="C1430" s="3">
        <v>85416609</v>
      </c>
      <c r="D1430" s="3" t="s">
        <v>6209</v>
      </c>
      <c r="E1430" s="2" t="s">
        <v>4673</v>
      </c>
      <c r="F1430" s="2" t="s">
        <v>10</v>
      </c>
      <c r="G1430" s="2" t="s">
        <v>11</v>
      </c>
      <c r="H1430" s="2">
        <v>5000000</v>
      </c>
      <c r="I1430" s="2">
        <v>7</v>
      </c>
      <c r="J1430" s="3">
        <v>13008928</v>
      </c>
      <c r="K1430">
        <f t="shared" si="52"/>
        <v>1.3775047412552699E-3</v>
      </c>
      <c r="R1430" s="12" t="str">
        <f ca="1">IFERROR(__xludf.DUMMYFUNCTION("""COMPUTED_VALUE"""),"Smilla's Sense of Snow ")</f>
        <v>Smilla's Sense of Snow </v>
      </c>
      <c r="S1430" s="12">
        <f t="shared" si="51"/>
        <v>-45459980</v>
      </c>
    </row>
    <row r="1431" spans="1:19" x14ac:dyDescent="0.3">
      <c r="A1431" s="2" t="s">
        <v>3171</v>
      </c>
      <c r="B1431" s="2">
        <v>84</v>
      </c>
      <c r="C1431" s="3">
        <v>25677801</v>
      </c>
      <c r="D1431" s="3" t="s">
        <v>5778</v>
      </c>
      <c r="E1431" s="2" t="s">
        <v>4197</v>
      </c>
      <c r="F1431" s="2" t="s">
        <v>10</v>
      </c>
      <c r="G1431" s="2" t="s">
        <v>11</v>
      </c>
      <c r="H1431" s="2">
        <v>9000000</v>
      </c>
      <c r="I1431" s="2">
        <v>5.4</v>
      </c>
      <c r="J1431" s="3">
        <v>13019253</v>
      </c>
      <c r="K1431">
        <f t="shared" si="52"/>
        <v>1.3775047412552699E-3</v>
      </c>
      <c r="R1431" s="12" t="str">
        <f ca="1">IFERROR(__xludf.DUMMYFUNCTION("""COMPUTED_VALUE"""),"Femme Fatale ")</f>
        <v>Femme Fatale </v>
      </c>
      <c r="S1431" s="12">
        <f t="shared" si="51"/>
        <v>57823758</v>
      </c>
    </row>
    <row r="1432" spans="1:19" x14ac:dyDescent="0.3">
      <c r="A1432" s="2" t="s">
        <v>617</v>
      </c>
      <c r="B1432" s="2">
        <v>100</v>
      </c>
      <c r="C1432" s="3">
        <v>39143839</v>
      </c>
      <c r="D1432" s="3" t="s">
        <v>6090</v>
      </c>
      <c r="E1432" s="2" t="s">
        <v>621</v>
      </c>
      <c r="F1432" s="2" t="s">
        <v>10</v>
      </c>
      <c r="G1432" s="2" t="s">
        <v>11</v>
      </c>
      <c r="H1432" s="2">
        <v>85000000</v>
      </c>
      <c r="I1432" s="2">
        <v>4.8</v>
      </c>
      <c r="J1432" s="3">
        <v>13034417</v>
      </c>
      <c r="K1432">
        <f t="shared" si="52"/>
        <v>1.3775047412552699E-3</v>
      </c>
      <c r="R1432" s="12" t="str">
        <f ca="1">IFERROR(__xludf.DUMMYFUNCTION("""COMPUTED_VALUE"""),"Ride with the Devil ")</f>
        <v>Ride with the Devil </v>
      </c>
      <c r="S1432" s="12">
        <f t="shared" si="51"/>
        <v>51423650</v>
      </c>
    </row>
    <row r="1433" spans="1:19" x14ac:dyDescent="0.3">
      <c r="A1433" s="2" t="s">
        <v>3424</v>
      </c>
      <c r="B1433" s="2">
        <v>105</v>
      </c>
      <c r="C1433" s="3">
        <v>24103594</v>
      </c>
      <c r="D1433" s="3" t="s">
        <v>5773</v>
      </c>
      <c r="E1433" s="2" t="s">
        <v>4375</v>
      </c>
      <c r="F1433" s="2" t="s">
        <v>10</v>
      </c>
      <c r="G1433" s="2" t="s">
        <v>11</v>
      </c>
      <c r="H1433" s="2">
        <v>7000000</v>
      </c>
      <c r="I1433" s="2">
        <v>6</v>
      </c>
      <c r="J1433" s="3">
        <v>13038660</v>
      </c>
      <c r="K1433">
        <f t="shared" si="52"/>
        <v>1.3775047412552699E-3</v>
      </c>
      <c r="R1433" s="12" t="str">
        <f ca="1">IFERROR(__xludf.DUMMYFUNCTION("""COMPUTED_VALUE"""),"The Maze Runner ")</f>
        <v>The Maze Runner </v>
      </c>
      <c r="S1433" s="12">
        <f t="shared" ref="S1433:S1496" si="53">C1411-H1411</f>
        <v>35543207</v>
      </c>
    </row>
    <row r="1434" spans="1:19" x14ac:dyDescent="0.3">
      <c r="A1434" s="2" t="s">
        <v>3579</v>
      </c>
      <c r="B1434" s="2">
        <v>130</v>
      </c>
      <c r="C1434" s="3">
        <v>13214030</v>
      </c>
      <c r="D1434" s="3" t="s">
        <v>5849</v>
      </c>
      <c r="E1434" s="2" t="s">
        <v>4166</v>
      </c>
      <c r="F1434" s="2" t="s">
        <v>10</v>
      </c>
      <c r="G1434" s="2" t="s">
        <v>2058</v>
      </c>
      <c r="H1434" s="2">
        <v>7400000</v>
      </c>
      <c r="I1434" s="2">
        <v>7.1</v>
      </c>
      <c r="J1434" s="3">
        <v>13052741</v>
      </c>
      <c r="K1434">
        <f t="shared" si="52"/>
        <v>1.3775047412552699E-3</v>
      </c>
      <c r="R1434" s="12" t="str">
        <f ca="1">IFERROR(__xludf.DUMMYFUNCTION("""COMPUTED_VALUE"""),"Unfinished Business ")</f>
        <v>Unfinished Business </v>
      </c>
      <c r="S1434" s="12">
        <f t="shared" si="53"/>
        <v>-40204983</v>
      </c>
    </row>
    <row r="1435" spans="1:19" x14ac:dyDescent="0.3">
      <c r="A1435" s="2" t="s">
        <v>3270</v>
      </c>
      <c r="B1435" s="2">
        <v>96</v>
      </c>
      <c r="C1435" s="3">
        <v>82931301</v>
      </c>
      <c r="D1435" s="3" t="s">
        <v>5751</v>
      </c>
      <c r="E1435" s="2" t="s">
        <v>3271</v>
      </c>
      <c r="F1435" s="2" t="s">
        <v>10</v>
      </c>
      <c r="G1435" s="2" t="s">
        <v>11</v>
      </c>
      <c r="H1435" s="2">
        <v>17000000</v>
      </c>
      <c r="I1435" s="2">
        <v>6.5</v>
      </c>
      <c r="J1435" s="3">
        <v>13060843</v>
      </c>
      <c r="K1435">
        <f t="shared" si="52"/>
        <v>1.3775047412552699E-3</v>
      </c>
      <c r="R1435" s="12" t="str">
        <f ca="1">IFERROR(__xludf.DUMMYFUNCTION("""COMPUTED_VALUE"""),"The Age of Innocence ")</f>
        <v>The Age of Innocence </v>
      </c>
      <c r="S1435" s="12">
        <f t="shared" si="53"/>
        <v>25063732</v>
      </c>
    </row>
    <row r="1436" spans="1:19" x14ac:dyDescent="0.3">
      <c r="A1436" s="2" t="s">
        <v>2240</v>
      </c>
      <c r="B1436" s="2">
        <v>111</v>
      </c>
      <c r="C1436" s="3">
        <v>3773863</v>
      </c>
      <c r="D1436" s="3" t="s">
        <v>5960</v>
      </c>
      <c r="E1436" s="2" t="s">
        <v>2241</v>
      </c>
      <c r="F1436" s="2" t="s">
        <v>10</v>
      </c>
      <c r="G1436" s="2" t="s">
        <v>11</v>
      </c>
      <c r="H1436" s="2">
        <v>30000000</v>
      </c>
      <c r="I1436" s="2">
        <v>7.6</v>
      </c>
      <c r="J1436" s="3">
        <v>13082288</v>
      </c>
      <c r="K1436">
        <f t="shared" si="52"/>
        <v>1.3775047412552699E-3</v>
      </c>
      <c r="R1436" s="12" t="str">
        <f ca="1">IFERROR(__xludf.DUMMYFUNCTION("""COMPUTED_VALUE"""),"The Fountain ")</f>
        <v>The Fountain </v>
      </c>
      <c r="S1436" s="12">
        <f t="shared" si="53"/>
        <v>-36991259</v>
      </c>
    </row>
    <row r="1437" spans="1:19" x14ac:dyDescent="0.3">
      <c r="A1437" s="2" t="s">
        <v>3225</v>
      </c>
      <c r="B1437" s="2">
        <v>80</v>
      </c>
      <c r="C1437" s="3">
        <v>93771072</v>
      </c>
      <c r="D1437" s="3" t="s">
        <v>5767</v>
      </c>
      <c r="E1437" s="2" t="s">
        <v>3226</v>
      </c>
      <c r="F1437" s="2" t="s">
        <v>10</v>
      </c>
      <c r="G1437" s="2" t="s">
        <v>11</v>
      </c>
      <c r="H1437" s="2">
        <v>17500000</v>
      </c>
      <c r="I1437" s="2">
        <v>6.5</v>
      </c>
      <c r="J1437" s="3">
        <v>13092000</v>
      </c>
      <c r="K1437">
        <f t="shared" si="52"/>
        <v>1.3775047412552699E-3</v>
      </c>
      <c r="R1437" s="12" t="str">
        <f ca="1">IFERROR(__xludf.DUMMYFUNCTION("""COMPUTED_VALUE"""),"Chill Factor ")</f>
        <v>Chill Factor </v>
      </c>
      <c r="S1437" s="12">
        <f t="shared" si="53"/>
        <v>-131560918</v>
      </c>
    </row>
    <row r="1438" spans="1:19" x14ac:dyDescent="0.3">
      <c r="A1438" s="2" t="s">
        <v>3685</v>
      </c>
      <c r="B1438" s="2">
        <v>90</v>
      </c>
      <c r="C1438" s="3">
        <v>15155772</v>
      </c>
      <c r="D1438" s="3" t="s">
        <v>5944</v>
      </c>
      <c r="E1438" s="2" t="s">
        <v>3686</v>
      </c>
      <c r="F1438" s="2" t="s">
        <v>10</v>
      </c>
      <c r="G1438" s="2" t="s">
        <v>11</v>
      </c>
      <c r="H1438" s="2">
        <v>6000000</v>
      </c>
      <c r="I1438" s="2">
        <v>6.1</v>
      </c>
      <c r="J1438" s="3">
        <v>13101142</v>
      </c>
      <c r="K1438">
        <f t="shared" si="52"/>
        <v>1.3775047412552699E-3</v>
      </c>
      <c r="R1438" s="12" t="str">
        <f ca="1">IFERROR(__xludf.DUMMYFUNCTION("""COMPUTED_VALUE"""),"Stolen ")</f>
        <v>Stolen </v>
      </c>
      <c r="S1438" s="12">
        <f t="shared" si="53"/>
        <v>-139200957</v>
      </c>
    </row>
    <row r="1439" spans="1:19" x14ac:dyDescent="0.3">
      <c r="A1439" s="2" t="s">
        <v>2956</v>
      </c>
      <c r="B1439" s="2">
        <v>94</v>
      </c>
      <c r="C1439" s="3">
        <v>50213619</v>
      </c>
      <c r="D1439" s="3" t="s">
        <v>6177</v>
      </c>
      <c r="E1439" s="2" t="s">
        <v>4597</v>
      </c>
      <c r="F1439" s="2" t="s">
        <v>10</v>
      </c>
      <c r="G1439" s="2" t="s">
        <v>11</v>
      </c>
      <c r="H1439" s="2">
        <v>5000000</v>
      </c>
      <c r="I1439" s="2">
        <v>5.8</v>
      </c>
      <c r="J1439" s="3">
        <v>13103828</v>
      </c>
      <c r="K1439">
        <f t="shared" si="52"/>
        <v>1.3775047412552699E-3</v>
      </c>
      <c r="R1439" s="12" t="str">
        <f ca="1">IFERROR(__xludf.DUMMYFUNCTION("""COMPUTED_VALUE"""),"Ponyo ")</f>
        <v>Ponyo </v>
      </c>
      <c r="S1439" s="12">
        <f t="shared" si="53"/>
        <v>113931542</v>
      </c>
    </row>
    <row r="1440" spans="1:19" x14ac:dyDescent="0.3">
      <c r="A1440" s="2" t="s">
        <v>1791</v>
      </c>
      <c r="B1440" s="2">
        <v>92</v>
      </c>
      <c r="C1440" s="3">
        <v>11546543</v>
      </c>
      <c r="D1440" s="3" t="s">
        <v>6210</v>
      </c>
      <c r="E1440" s="2" t="s">
        <v>4831</v>
      </c>
      <c r="F1440" s="2" t="s">
        <v>10</v>
      </c>
      <c r="G1440" s="2" t="s">
        <v>11</v>
      </c>
      <c r="H1440" s="2">
        <v>4000000</v>
      </c>
      <c r="I1440" s="2">
        <v>5.8</v>
      </c>
      <c r="J1440" s="3">
        <v>13208023</v>
      </c>
      <c r="K1440">
        <f t="shared" si="52"/>
        <v>1.3775047412552699E-3</v>
      </c>
      <c r="R1440" s="12" t="str">
        <f ca="1">IFERROR(__xludf.DUMMYFUNCTION("""COMPUTED_VALUE"""),"The Longest Ride ")</f>
        <v>The Longest Ride </v>
      </c>
      <c r="S1440" s="12">
        <f t="shared" si="53"/>
        <v>-1460679</v>
      </c>
    </row>
    <row r="1441" spans="1:19" x14ac:dyDescent="0.3">
      <c r="A1441" s="2" t="s">
        <v>4910</v>
      </c>
      <c r="B1441" s="2">
        <v>87</v>
      </c>
      <c r="C1441" s="3">
        <v>30691439</v>
      </c>
      <c r="D1441" s="3" t="s">
        <v>6211</v>
      </c>
      <c r="E1441" s="2" t="s">
        <v>4911</v>
      </c>
      <c r="F1441" s="2" t="s">
        <v>10</v>
      </c>
      <c r="G1441" s="2" t="s">
        <v>11</v>
      </c>
      <c r="H1441" s="2">
        <v>2200000</v>
      </c>
      <c r="I1441" s="2">
        <v>5.4</v>
      </c>
      <c r="J1441" s="3">
        <v>13214030</v>
      </c>
      <c r="K1441">
        <f t="shared" si="52"/>
        <v>1.3775047412552699E-3</v>
      </c>
      <c r="R1441" s="12" t="str">
        <f ca="1">IFERROR(__xludf.DUMMYFUNCTION("""COMPUTED_VALUE"""),"The Astronaut's Wife ")</f>
        <v>The Astronaut's Wife </v>
      </c>
      <c r="S1441" s="12">
        <f t="shared" si="53"/>
        <v>11038190</v>
      </c>
    </row>
    <row r="1442" spans="1:19" x14ac:dyDescent="0.3">
      <c r="A1442" s="2" t="s">
        <v>189</v>
      </c>
      <c r="B1442" s="2">
        <v>97</v>
      </c>
      <c r="C1442" s="3">
        <v>50740078</v>
      </c>
      <c r="D1442" s="3" t="s">
        <v>6212</v>
      </c>
      <c r="E1442" s="2" t="s">
        <v>4677</v>
      </c>
      <c r="F1442" s="2" t="s">
        <v>10</v>
      </c>
      <c r="G1442" s="2" t="s">
        <v>16</v>
      </c>
      <c r="H1442" s="2">
        <v>5000000</v>
      </c>
      <c r="I1442" s="2">
        <v>7.9</v>
      </c>
      <c r="J1442" s="3">
        <v>13214255</v>
      </c>
      <c r="K1442">
        <f t="shared" si="52"/>
        <v>1.3775047412552699E-3</v>
      </c>
      <c r="R1442" s="12" t="str">
        <f ca="1">IFERROR(__xludf.DUMMYFUNCTION("""COMPUTED_VALUE"""),"I Dreamed of Africa ")</f>
        <v>I Dreamed of Africa </v>
      </c>
      <c r="S1442" s="12">
        <f t="shared" si="53"/>
        <v>12025000</v>
      </c>
    </row>
    <row r="1443" spans="1:19" x14ac:dyDescent="0.3">
      <c r="A1443" s="2" t="s">
        <v>4980</v>
      </c>
      <c r="B1443" s="2">
        <v>93</v>
      </c>
      <c r="C1443" s="3">
        <v>71026631</v>
      </c>
      <c r="D1443" s="3" t="s">
        <v>5869</v>
      </c>
      <c r="E1443" s="2" t="s">
        <v>4981</v>
      </c>
      <c r="F1443" s="2" t="s">
        <v>10</v>
      </c>
      <c r="G1443" s="2" t="s">
        <v>11</v>
      </c>
      <c r="H1443" s="2">
        <v>3000000</v>
      </c>
      <c r="I1443" s="2">
        <v>6.4</v>
      </c>
      <c r="J1443" s="3">
        <v>13235267</v>
      </c>
      <c r="K1443">
        <f t="shared" si="52"/>
        <v>1.3775047412552699E-3</v>
      </c>
      <c r="R1443" s="12" t="str">
        <f ca="1">IFERROR(__xludf.DUMMYFUNCTION("""COMPUTED_VALUE"""),"Playing for Keeps ")</f>
        <v>Playing for Keeps </v>
      </c>
      <c r="S1443" s="12">
        <f t="shared" si="53"/>
        <v>-7601372</v>
      </c>
    </row>
    <row r="1444" spans="1:19" x14ac:dyDescent="0.3">
      <c r="A1444" s="2" t="s">
        <v>1447</v>
      </c>
      <c r="B1444" s="2">
        <v>102</v>
      </c>
      <c r="C1444" s="3">
        <v>20733485</v>
      </c>
      <c r="D1444" s="3" t="s">
        <v>5958</v>
      </c>
      <c r="E1444" s="2" t="s">
        <v>1936</v>
      </c>
      <c r="F1444" s="2" t="s">
        <v>10</v>
      </c>
      <c r="G1444" s="2" t="s">
        <v>932</v>
      </c>
      <c r="H1444" s="2">
        <v>36000000</v>
      </c>
      <c r="I1444" s="2">
        <v>5.9</v>
      </c>
      <c r="J1444" s="3">
        <v>13248477</v>
      </c>
      <c r="K1444">
        <f t="shared" si="52"/>
        <v>1.3775047412552699E-3</v>
      </c>
      <c r="R1444" s="12" t="str">
        <f ca="1">IFERROR(__xludf.DUMMYFUNCTION("""COMPUTED_VALUE"""),"Mandela: Long Walk to Freedom ")</f>
        <v>Mandela: Long Walk to Freedom </v>
      </c>
      <c r="S1444" s="12">
        <f t="shared" si="53"/>
        <v>-35258013</v>
      </c>
    </row>
    <row r="1445" spans="1:19" x14ac:dyDescent="0.3">
      <c r="A1445" s="2" t="s">
        <v>940</v>
      </c>
      <c r="B1445" s="2">
        <v>91</v>
      </c>
      <c r="C1445" s="3">
        <v>14612840</v>
      </c>
      <c r="D1445" s="3" t="s">
        <v>1703</v>
      </c>
      <c r="E1445" s="2" t="s">
        <v>5269</v>
      </c>
      <c r="F1445" s="2" t="s">
        <v>10</v>
      </c>
      <c r="G1445" s="2" t="s">
        <v>11</v>
      </c>
      <c r="H1445" s="2">
        <v>2600000</v>
      </c>
      <c r="I1445" s="2">
        <v>6.2</v>
      </c>
      <c r="J1445" s="3">
        <v>13264986</v>
      </c>
      <c r="K1445">
        <f t="shared" si="52"/>
        <v>1.3775047412552699E-3</v>
      </c>
      <c r="R1445" s="12" t="str">
        <f ca="1">IFERROR(__xludf.DUMMYFUNCTION("""COMPUTED_VALUE"""),"A Few Good Men ")</f>
        <v>A Few Good Men </v>
      </c>
      <c r="S1445" s="12">
        <f t="shared" si="53"/>
        <v>-112894915</v>
      </c>
    </row>
    <row r="1446" spans="1:19" x14ac:dyDescent="0.3">
      <c r="A1446" s="2" t="s">
        <v>1549</v>
      </c>
      <c r="B1446" s="2">
        <v>90</v>
      </c>
      <c r="C1446" s="3">
        <v>78745923</v>
      </c>
      <c r="D1446" s="3" t="s">
        <v>5857</v>
      </c>
      <c r="E1446" s="2" t="s">
        <v>2479</v>
      </c>
      <c r="F1446" s="2" t="s">
        <v>10</v>
      </c>
      <c r="G1446" s="2" t="s">
        <v>11</v>
      </c>
      <c r="H1446" s="2">
        <v>26000000</v>
      </c>
      <c r="I1446" s="2">
        <v>6.2</v>
      </c>
      <c r="J1446" s="3">
        <v>13269963</v>
      </c>
      <c r="K1446">
        <f t="shared" si="52"/>
        <v>1.3775047412552699E-3</v>
      </c>
      <c r="R1446" s="12" t="str">
        <f ca="1">IFERROR(__xludf.DUMMYFUNCTION("""COMPUTED_VALUE"""),"Exit Wounds ")</f>
        <v>Exit Wounds </v>
      </c>
      <c r="S1446" s="12">
        <f t="shared" si="53"/>
        <v>75800000</v>
      </c>
    </row>
    <row r="1447" spans="1:19" x14ac:dyDescent="0.3">
      <c r="A1447" s="2" t="s">
        <v>5585</v>
      </c>
      <c r="B1447" s="2">
        <v>95</v>
      </c>
      <c r="C1447" s="3">
        <v>145771527</v>
      </c>
      <c r="D1447" s="3" t="s">
        <v>5773</v>
      </c>
      <c r="E1447" s="2" t="s">
        <v>5586</v>
      </c>
      <c r="F1447" s="2" t="s">
        <v>10</v>
      </c>
      <c r="G1447" s="2" t="s">
        <v>11</v>
      </c>
      <c r="H1447" s="2">
        <v>300000</v>
      </c>
      <c r="I1447" s="2">
        <v>4.8</v>
      </c>
      <c r="J1447" s="3">
        <v>13300000</v>
      </c>
      <c r="K1447">
        <f t="shared" si="52"/>
        <v>1.3775047412552699E-3</v>
      </c>
      <c r="R1447" s="12" t="str">
        <f ca="1">IFERROR(__xludf.DUMMYFUNCTION("""COMPUTED_VALUE"""),"Big Momma's House ")</f>
        <v>Big Momma's House </v>
      </c>
      <c r="S1447" s="12">
        <f t="shared" si="53"/>
        <v>29458785</v>
      </c>
    </row>
    <row r="1448" spans="1:19" x14ac:dyDescent="0.3">
      <c r="A1448" s="2" t="s">
        <v>367</v>
      </c>
      <c r="B1448" s="2">
        <v>112</v>
      </c>
      <c r="C1448" s="3">
        <v>14677654</v>
      </c>
      <c r="D1448" s="3" t="s">
        <v>520</v>
      </c>
      <c r="E1448" s="2" t="s">
        <v>2180</v>
      </c>
      <c r="F1448" s="2" t="s">
        <v>10</v>
      </c>
      <c r="G1448" s="2" t="s">
        <v>2181</v>
      </c>
      <c r="H1448" s="2">
        <v>30000000</v>
      </c>
      <c r="I1448" s="2">
        <v>8</v>
      </c>
      <c r="J1448" s="3">
        <v>13303319</v>
      </c>
      <c r="K1448">
        <f t="shared" si="52"/>
        <v>1.3775047412552699E-3</v>
      </c>
      <c r="R1448" s="12" t="str">
        <f ca="1">IFERROR(__xludf.DUMMYFUNCTION("""COMPUTED_VALUE"""),"Thunder and the House of Magic ")</f>
        <v>Thunder and the House of Magic </v>
      </c>
      <c r="S1448" s="12">
        <f t="shared" si="53"/>
        <v>22659817</v>
      </c>
    </row>
    <row r="1449" spans="1:19" x14ac:dyDescent="0.3">
      <c r="A1449" s="2" t="s">
        <v>4681</v>
      </c>
      <c r="B1449" s="2">
        <v>122</v>
      </c>
      <c r="C1449" s="2">
        <v>3950029</v>
      </c>
      <c r="D1449" s="3" t="s">
        <v>5874</v>
      </c>
      <c r="E1449" s="2" t="s">
        <v>4682</v>
      </c>
      <c r="F1449" s="2" t="s">
        <v>751</v>
      </c>
      <c r="G1449" s="2" t="s">
        <v>504</v>
      </c>
      <c r="H1449" s="2">
        <v>4000000</v>
      </c>
      <c r="I1449" s="2">
        <v>7.2</v>
      </c>
      <c r="J1449" s="3">
        <v>13337299</v>
      </c>
      <c r="K1449">
        <f t="shared" si="52"/>
        <v>1.3775047412552699E-3</v>
      </c>
      <c r="R1449" s="12" t="str">
        <f ca="1">IFERROR(__xludf.DUMMYFUNCTION("""COMPUTED_VALUE"""),"The Darkest Hour ")</f>
        <v>The Darkest Hour </v>
      </c>
      <c r="S1449" s="12">
        <f t="shared" si="53"/>
        <v>70219735</v>
      </c>
    </row>
    <row r="1450" spans="1:19" x14ac:dyDescent="0.3">
      <c r="A1450" s="2" t="s">
        <v>346</v>
      </c>
      <c r="B1450" s="2">
        <v>106</v>
      </c>
      <c r="C1450" s="3">
        <v>78656813</v>
      </c>
      <c r="D1450" s="3" t="s">
        <v>6094</v>
      </c>
      <c r="E1450" s="2" t="s">
        <v>1736</v>
      </c>
      <c r="F1450" s="2" t="s">
        <v>10</v>
      </c>
      <c r="G1450" s="2" t="s">
        <v>11</v>
      </c>
      <c r="H1450" s="2">
        <v>40000000</v>
      </c>
      <c r="I1450" s="2">
        <v>6</v>
      </c>
      <c r="J1450" s="3">
        <v>13350177</v>
      </c>
      <c r="K1450">
        <f t="shared" si="52"/>
        <v>1.3775047412552699E-3</v>
      </c>
      <c r="R1450" s="12" t="str">
        <f ca="1">IFERROR(__xludf.DUMMYFUNCTION("""COMPUTED_VALUE"""),"Step Up Revolution ")</f>
        <v>Step Up Revolution </v>
      </c>
      <c r="S1450" s="12">
        <f t="shared" si="53"/>
        <v>-1074703553</v>
      </c>
    </row>
    <row r="1451" spans="1:19" x14ac:dyDescent="0.3">
      <c r="A1451" s="2" t="s">
        <v>183</v>
      </c>
      <c r="B1451" s="2">
        <v>127</v>
      </c>
      <c r="C1451" s="2">
        <v>67823573</v>
      </c>
      <c r="D1451" s="3" t="s">
        <v>6204</v>
      </c>
      <c r="E1451" s="2" t="s">
        <v>1353</v>
      </c>
      <c r="F1451" s="2" t="s">
        <v>10</v>
      </c>
      <c r="G1451" s="2" t="s">
        <v>11</v>
      </c>
      <c r="H1451" s="2">
        <v>50000000</v>
      </c>
      <c r="I1451" s="2">
        <v>6.6</v>
      </c>
      <c r="J1451" s="3">
        <v>13362308</v>
      </c>
      <c r="K1451">
        <f t="shared" si="52"/>
        <v>1.3775047412552699E-3</v>
      </c>
      <c r="R1451" s="12" t="str">
        <f ca="1">IFERROR(__xludf.DUMMYFUNCTION("""COMPUTED_VALUE"""),"Snakes on a Plane ")</f>
        <v>Snakes on a Plane </v>
      </c>
      <c r="S1451" s="12">
        <f t="shared" si="53"/>
        <v>-4382401</v>
      </c>
    </row>
    <row r="1452" spans="1:19" x14ac:dyDescent="0.3">
      <c r="A1452" s="2" t="s">
        <v>868</v>
      </c>
      <c r="B1452" s="2">
        <v>123</v>
      </c>
      <c r="C1452" s="3">
        <v>69102910</v>
      </c>
      <c r="D1452" s="3" t="s">
        <v>5808</v>
      </c>
      <c r="E1452" s="2" t="s">
        <v>1274</v>
      </c>
      <c r="F1452" s="2" t="s">
        <v>10</v>
      </c>
      <c r="G1452" s="2" t="s">
        <v>11</v>
      </c>
      <c r="H1452" s="2">
        <v>57000000</v>
      </c>
      <c r="I1452" s="2">
        <v>6.4</v>
      </c>
      <c r="J1452" s="3">
        <v>13367101</v>
      </c>
      <c r="K1452">
        <f t="shared" si="52"/>
        <v>1.3775047412552699E-3</v>
      </c>
      <c r="R1452" s="12" t="str">
        <f ca="1">IFERROR(__xludf.DUMMYFUNCTION("""COMPUTED_VALUE"""),"The Watcher ")</f>
        <v>The Watcher </v>
      </c>
      <c r="S1452" s="12">
        <f t="shared" si="53"/>
        <v>80416609</v>
      </c>
    </row>
    <row r="1453" spans="1:19" x14ac:dyDescent="0.3">
      <c r="A1453" s="2" t="s">
        <v>2883</v>
      </c>
      <c r="B1453" s="2">
        <v>100</v>
      </c>
      <c r="C1453" s="3">
        <v>11538204</v>
      </c>
      <c r="D1453" s="3" t="s">
        <v>6213</v>
      </c>
      <c r="E1453" s="2" t="s">
        <v>2884</v>
      </c>
      <c r="F1453" s="2" t="s">
        <v>10</v>
      </c>
      <c r="G1453" s="2" t="s">
        <v>11</v>
      </c>
      <c r="H1453" s="2">
        <v>20000000</v>
      </c>
      <c r="I1453" s="2">
        <v>6.7</v>
      </c>
      <c r="J1453" s="3">
        <v>13376506</v>
      </c>
      <c r="K1453">
        <f t="shared" si="52"/>
        <v>1.3775047412552699E-3</v>
      </c>
      <c r="R1453" s="12" t="str">
        <f ca="1">IFERROR(__xludf.DUMMYFUNCTION("""COMPUTED_VALUE"""),"The Punisher ")</f>
        <v>The Punisher </v>
      </c>
      <c r="S1453" s="12">
        <f t="shared" si="53"/>
        <v>16677801</v>
      </c>
    </row>
    <row r="1454" spans="1:19" x14ac:dyDescent="0.3">
      <c r="A1454" s="2" t="s">
        <v>3485</v>
      </c>
      <c r="B1454" s="2">
        <v>85</v>
      </c>
      <c r="C1454" s="3">
        <v>30628981</v>
      </c>
      <c r="D1454" s="3" t="s">
        <v>6214</v>
      </c>
      <c r="E1454" s="2" t="s">
        <v>3486</v>
      </c>
      <c r="F1454" s="2" t="s">
        <v>10</v>
      </c>
      <c r="G1454" s="2" t="s">
        <v>11</v>
      </c>
      <c r="H1454" s="2">
        <v>15000000</v>
      </c>
      <c r="I1454" s="2">
        <v>5.7</v>
      </c>
      <c r="J1454" s="3">
        <v>13383737</v>
      </c>
      <c r="K1454">
        <f t="shared" si="52"/>
        <v>1.3775047412552699E-3</v>
      </c>
      <c r="R1454" s="12" t="str">
        <f ca="1">IFERROR(__xludf.DUMMYFUNCTION("""COMPUTED_VALUE"""),"Goal! The Dream Begins ")</f>
        <v>Goal! The Dream Begins </v>
      </c>
      <c r="S1454" s="12">
        <f t="shared" si="53"/>
        <v>-45856161</v>
      </c>
    </row>
    <row r="1455" spans="1:19" x14ac:dyDescent="0.3">
      <c r="A1455" s="2" t="s">
        <v>440</v>
      </c>
      <c r="B1455" s="2">
        <v>104</v>
      </c>
      <c r="C1455" s="3">
        <v>30651422</v>
      </c>
      <c r="D1455" s="3" t="s">
        <v>5910</v>
      </c>
      <c r="E1455" s="2" t="s">
        <v>441</v>
      </c>
      <c r="F1455" s="2" t="s">
        <v>10</v>
      </c>
      <c r="G1455" s="2" t="s">
        <v>442</v>
      </c>
      <c r="H1455" s="2">
        <v>90000000</v>
      </c>
      <c r="I1455" s="2">
        <v>4.4000000000000004</v>
      </c>
      <c r="J1455" s="3">
        <v>13391174</v>
      </c>
      <c r="K1455">
        <f t="shared" si="52"/>
        <v>1.3775047412552699E-3</v>
      </c>
      <c r="R1455" s="12" t="str">
        <f ca="1">IFERROR(__xludf.DUMMYFUNCTION("""COMPUTED_VALUE"""),"Safe ")</f>
        <v>Safe </v>
      </c>
      <c r="S1455" s="12">
        <f t="shared" si="53"/>
        <v>17103594</v>
      </c>
    </row>
    <row r="1456" spans="1:19" x14ac:dyDescent="0.3">
      <c r="A1456" s="2" t="s">
        <v>454</v>
      </c>
      <c r="B1456" s="2">
        <v>116</v>
      </c>
      <c r="C1456" s="3">
        <v>11529368</v>
      </c>
      <c r="D1456" s="3" t="s">
        <v>5773</v>
      </c>
      <c r="E1456" s="2" t="s">
        <v>1252</v>
      </c>
      <c r="F1456" s="2" t="s">
        <v>10</v>
      </c>
      <c r="G1456" s="2" t="s">
        <v>11</v>
      </c>
      <c r="H1456" s="2">
        <v>55000000</v>
      </c>
      <c r="I1456" s="2">
        <v>5.8</v>
      </c>
      <c r="J1456" s="3">
        <v>13395939</v>
      </c>
      <c r="K1456">
        <f t="shared" si="52"/>
        <v>1.3775047412552699E-3</v>
      </c>
      <c r="R1456" s="12" t="str">
        <f ca="1">IFERROR(__xludf.DUMMYFUNCTION("""COMPUTED_VALUE"""),"Pushing Tin ")</f>
        <v>Pushing Tin </v>
      </c>
      <c r="S1456" s="12">
        <f t="shared" si="53"/>
        <v>5814030</v>
      </c>
    </row>
    <row r="1457" spans="1:19" x14ac:dyDescent="0.3">
      <c r="A1457" s="2" t="s">
        <v>3501</v>
      </c>
      <c r="B1457" s="2">
        <v>76</v>
      </c>
      <c r="C1457" s="3">
        <v>653621</v>
      </c>
      <c r="D1457" s="3" t="s">
        <v>6215</v>
      </c>
      <c r="E1457" s="2" t="s">
        <v>3502</v>
      </c>
      <c r="F1457" s="2" t="s">
        <v>10</v>
      </c>
      <c r="G1457" s="2" t="s">
        <v>71</v>
      </c>
      <c r="H1457" s="2">
        <v>15000000</v>
      </c>
      <c r="I1457" s="2">
        <v>2.8</v>
      </c>
      <c r="J1457" s="3">
        <v>13401683</v>
      </c>
      <c r="K1457">
        <f t="shared" si="52"/>
        <v>1.3775047412552699E-3</v>
      </c>
      <c r="R1457" s="12" t="str">
        <f ca="1">IFERROR(__xludf.DUMMYFUNCTION("""COMPUTED_VALUE"""),"Star Wars: Episode VI - Return of the Jedi ")</f>
        <v>Star Wars: Episode VI - Return of the Jedi </v>
      </c>
      <c r="S1457" s="12">
        <f t="shared" si="53"/>
        <v>65931301</v>
      </c>
    </row>
    <row r="1458" spans="1:19" x14ac:dyDescent="0.3">
      <c r="A1458" s="2" t="s">
        <v>1157</v>
      </c>
      <c r="B1458" s="2">
        <v>106</v>
      </c>
      <c r="C1458" s="3">
        <v>78651430</v>
      </c>
      <c r="D1458" s="3" t="s">
        <v>5869</v>
      </c>
      <c r="E1458" s="2" t="s">
        <v>1158</v>
      </c>
      <c r="F1458" s="2" t="s">
        <v>10</v>
      </c>
      <c r="G1458" s="2" t="s">
        <v>199</v>
      </c>
      <c r="H1458" s="2">
        <v>60000000</v>
      </c>
      <c r="I1458" s="2">
        <v>6.1</v>
      </c>
      <c r="J1458" s="3">
        <v>13464388</v>
      </c>
      <c r="K1458">
        <f t="shared" si="52"/>
        <v>1.3775047412552699E-3</v>
      </c>
      <c r="R1458" s="12" t="str">
        <f ca="1">IFERROR(__xludf.DUMMYFUNCTION("""COMPUTED_VALUE"""),"Doomsday ")</f>
        <v>Doomsday </v>
      </c>
      <c r="S1458" s="12">
        <f t="shared" si="53"/>
        <v>-26226137</v>
      </c>
    </row>
    <row r="1459" spans="1:19" x14ac:dyDescent="0.3">
      <c r="A1459" s="2" t="s">
        <v>1436</v>
      </c>
      <c r="B1459" s="2">
        <v>135</v>
      </c>
      <c r="C1459" s="3">
        <v>33687630</v>
      </c>
      <c r="D1459" s="3" t="s">
        <v>6041</v>
      </c>
      <c r="E1459" s="2" t="s">
        <v>3688</v>
      </c>
      <c r="F1459" s="2" t="s">
        <v>10</v>
      </c>
      <c r="G1459" s="2" t="s">
        <v>11</v>
      </c>
      <c r="H1459" s="2">
        <v>14000000</v>
      </c>
      <c r="I1459" s="2">
        <v>6.5</v>
      </c>
      <c r="J1459" s="3">
        <v>13491653</v>
      </c>
      <c r="K1459">
        <f t="shared" si="52"/>
        <v>1.3775047412552699E-3</v>
      </c>
      <c r="R1459" s="12" t="str">
        <f ca="1">IFERROR(__xludf.DUMMYFUNCTION("""COMPUTED_VALUE"""),"The Reader ")</f>
        <v>The Reader </v>
      </c>
      <c r="S1459" s="12">
        <f t="shared" si="53"/>
        <v>76271072</v>
      </c>
    </row>
    <row r="1460" spans="1:19" x14ac:dyDescent="0.3">
      <c r="A1460" s="2" t="s">
        <v>4862</v>
      </c>
      <c r="B1460" s="2">
        <v>98</v>
      </c>
      <c r="C1460" s="3">
        <v>26536120</v>
      </c>
      <c r="D1460" s="3" t="s">
        <v>5847</v>
      </c>
      <c r="E1460" s="2" t="s">
        <v>5688</v>
      </c>
      <c r="F1460" s="2" t="s">
        <v>10</v>
      </c>
      <c r="G1460" s="2" t="s">
        <v>11</v>
      </c>
      <c r="H1460" s="3">
        <v>474544677</v>
      </c>
      <c r="I1460" s="2">
        <v>6.6</v>
      </c>
      <c r="J1460" s="3">
        <v>13555988</v>
      </c>
      <c r="K1460">
        <f t="shared" si="52"/>
        <v>1.3775047412552699E-3</v>
      </c>
      <c r="R1460" s="12" t="str">
        <f ca="1">IFERROR(__xludf.DUMMYFUNCTION("""COMPUTED_VALUE"""),"Elf ")</f>
        <v>Elf </v>
      </c>
      <c r="S1460" s="12">
        <f t="shared" si="53"/>
        <v>9155772</v>
      </c>
    </row>
    <row r="1461" spans="1:19" x14ac:dyDescent="0.3">
      <c r="A1461" s="2" t="s">
        <v>5170</v>
      </c>
      <c r="B1461" s="2">
        <v>84</v>
      </c>
      <c r="C1461" s="3">
        <v>50189179</v>
      </c>
      <c r="D1461" s="3" t="s">
        <v>6216</v>
      </c>
      <c r="E1461" s="2" t="s">
        <v>5171</v>
      </c>
      <c r="F1461" s="2" t="s">
        <v>10</v>
      </c>
      <c r="G1461" s="2" t="s">
        <v>11</v>
      </c>
      <c r="H1461" s="3">
        <v>75280058</v>
      </c>
      <c r="I1461" s="2">
        <v>4.3</v>
      </c>
      <c r="J1461" s="3">
        <v>13558739</v>
      </c>
      <c r="K1461">
        <f t="shared" si="52"/>
        <v>1.3775047412552699E-3</v>
      </c>
      <c r="R1461" s="12" t="str">
        <f ca="1">IFERROR(__xludf.DUMMYFUNCTION("""COMPUTED_VALUE"""),"Phenomenon ")</f>
        <v>Phenomenon </v>
      </c>
      <c r="S1461" s="12">
        <f t="shared" si="53"/>
        <v>45213619</v>
      </c>
    </row>
    <row r="1462" spans="1:19" x14ac:dyDescent="0.3">
      <c r="A1462" s="2" t="s">
        <v>209</v>
      </c>
      <c r="B1462" s="2">
        <v>88</v>
      </c>
      <c r="C1462" s="3">
        <v>8108247</v>
      </c>
      <c r="D1462" s="3" t="s">
        <v>5785</v>
      </c>
      <c r="E1462" s="2" t="s">
        <v>3404</v>
      </c>
      <c r="F1462" s="2" t="s">
        <v>10</v>
      </c>
      <c r="G1462" s="2" t="s">
        <v>11</v>
      </c>
      <c r="H1462" s="2">
        <v>15000000</v>
      </c>
      <c r="I1462" s="2">
        <v>5.4</v>
      </c>
      <c r="J1462" s="3">
        <v>13560960</v>
      </c>
      <c r="K1462">
        <f t="shared" si="52"/>
        <v>1.3775047412552699E-3</v>
      </c>
      <c r="R1462" s="12" t="str">
        <f ca="1">IFERROR(__xludf.DUMMYFUNCTION("""COMPUTED_VALUE"""),"Snow Dogs ")</f>
        <v>Snow Dogs </v>
      </c>
      <c r="S1462" s="12">
        <f t="shared" si="53"/>
        <v>7546543</v>
      </c>
    </row>
    <row r="1463" spans="1:19" x14ac:dyDescent="0.3">
      <c r="A1463" s="2" t="s">
        <v>3297</v>
      </c>
      <c r="B1463" s="2">
        <v>108</v>
      </c>
      <c r="C1463" s="3">
        <v>37036404</v>
      </c>
      <c r="D1463" s="3" t="s">
        <v>520</v>
      </c>
      <c r="E1463" s="2" t="s">
        <v>3298</v>
      </c>
      <c r="F1463" s="2" t="s">
        <v>10</v>
      </c>
      <c r="G1463" s="2" t="s">
        <v>11</v>
      </c>
      <c r="H1463" s="2">
        <v>16500000</v>
      </c>
      <c r="I1463" s="2">
        <v>6.3</v>
      </c>
      <c r="J1463" s="3">
        <v>13571817</v>
      </c>
      <c r="K1463">
        <f t="shared" si="52"/>
        <v>1.3775047412552699E-3</v>
      </c>
      <c r="R1463" s="12" t="str">
        <f ca="1">IFERROR(__xludf.DUMMYFUNCTION("""COMPUTED_VALUE"""),"Scrooged ")</f>
        <v>Scrooged </v>
      </c>
      <c r="S1463" s="12">
        <f t="shared" si="53"/>
        <v>28491439</v>
      </c>
    </row>
    <row r="1464" spans="1:19" x14ac:dyDescent="0.3">
      <c r="A1464" s="2" t="s">
        <v>137</v>
      </c>
      <c r="B1464" s="2">
        <v>108</v>
      </c>
      <c r="C1464" s="3">
        <v>50150619</v>
      </c>
      <c r="D1464" s="3" t="s">
        <v>6217</v>
      </c>
      <c r="E1464" s="2" t="s">
        <v>1449</v>
      </c>
      <c r="F1464" s="2" t="s">
        <v>10</v>
      </c>
      <c r="G1464" s="2" t="s">
        <v>11</v>
      </c>
      <c r="H1464" s="2">
        <v>22000000</v>
      </c>
      <c r="I1464" s="2">
        <v>6.8</v>
      </c>
      <c r="J1464" s="3">
        <v>13592872</v>
      </c>
      <c r="K1464">
        <f t="shared" si="52"/>
        <v>1.3775047412552699E-3</v>
      </c>
      <c r="R1464" s="12" t="str">
        <f ca="1">IFERROR(__xludf.DUMMYFUNCTION("""COMPUTED_VALUE"""),"Nacho Libre ")</f>
        <v>Nacho Libre </v>
      </c>
      <c r="S1464" s="12">
        <f t="shared" si="53"/>
        <v>45740078</v>
      </c>
    </row>
    <row r="1465" spans="1:19" x14ac:dyDescent="0.3">
      <c r="A1465" s="2" t="s">
        <v>549</v>
      </c>
      <c r="B1465" s="2">
        <v>104</v>
      </c>
      <c r="C1465" s="3">
        <v>1997807</v>
      </c>
      <c r="D1465" s="3" t="s">
        <v>885</v>
      </c>
      <c r="E1465" s="2" t="s">
        <v>1466</v>
      </c>
      <c r="F1465" s="2" t="s">
        <v>10</v>
      </c>
      <c r="G1465" s="2" t="s">
        <v>11</v>
      </c>
      <c r="H1465" s="2">
        <v>40000000</v>
      </c>
      <c r="I1465" s="2">
        <v>6.3</v>
      </c>
      <c r="J1465" s="3">
        <v>13596911</v>
      </c>
      <c r="K1465">
        <f t="shared" si="52"/>
        <v>1.3775047412552699E-3</v>
      </c>
      <c r="R1465" s="12" t="str">
        <f ca="1">IFERROR(__xludf.DUMMYFUNCTION("""COMPUTED_VALUE"""),"Bridesmaids ")</f>
        <v>Bridesmaids </v>
      </c>
      <c r="S1465" s="12">
        <f t="shared" si="53"/>
        <v>68026631</v>
      </c>
    </row>
    <row r="1466" spans="1:19" x14ac:dyDescent="0.3">
      <c r="A1466" s="2" t="s">
        <v>492</v>
      </c>
      <c r="B1466" s="2">
        <v>100</v>
      </c>
      <c r="C1466" s="3">
        <v>78616689</v>
      </c>
      <c r="D1466" s="3" t="s">
        <v>5892</v>
      </c>
      <c r="E1466" s="2" t="s">
        <v>1210</v>
      </c>
      <c r="F1466" s="2" t="s">
        <v>10</v>
      </c>
      <c r="G1466" s="2" t="s">
        <v>11</v>
      </c>
      <c r="H1466" s="2">
        <v>50000000</v>
      </c>
      <c r="I1466" s="2">
        <v>6</v>
      </c>
      <c r="J1466" s="3">
        <v>13622333</v>
      </c>
      <c r="K1466">
        <f t="shared" si="52"/>
        <v>1.3775047412552699E-3</v>
      </c>
      <c r="R1466" s="12" t="str">
        <f ca="1">IFERROR(__xludf.DUMMYFUNCTION("""COMPUTED_VALUE"""),"This Is the End ")</f>
        <v>This Is the End </v>
      </c>
      <c r="S1466" s="12">
        <f t="shared" si="53"/>
        <v>-15266515</v>
      </c>
    </row>
    <row r="1467" spans="1:19" x14ac:dyDescent="0.3">
      <c r="A1467" s="2" t="s">
        <v>4627</v>
      </c>
      <c r="B1467" s="2">
        <v>90</v>
      </c>
      <c r="C1467" s="3">
        <v>30523568</v>
      </c>
      <c r="D1467" s="3" t="s">
        <v>6004</v>
      </c>
      <c r="E1467" s="2" t="s">
        <v>4628</v>
      </c>
      <c r="F1467" s="2" t="s">
        <v>10</v>
      </c>
      <c r="G1467" s="2" t="s">
        <v>11</v>
      </c>
      <c r="H1467" s="2">
        <v>5000000</v>
      </c>
      <c r="I1467" s="2">
        <v>6.4</v>
      </c>
      <c r="J1467" s="3">
        <v>13630226</v>
      </c>
      <c r="K1467">
        <f t="shared" si="52"/>
        <v>1.3775047412552699E-3</v>
      </c>
      <c r="R1467" s="12" t="str">
        <f ca="1">IFERROR(__xludf.DUMMYFUNCTION("""COMPUTED_VALUE"""),"Stigmata ")</f>
        <v>Stigmata </v>
      </c>
      <c r="S1467" s="12">
        <f t="shared" si="53"/>
        <v>12012840</v>
      </c>
    </row>
    <row r="1468" spans="1:19" x14ac:dyDescent="0.3">
      <c r="A1468" s="2" t="s">
        <v>2086</v>
      </c>
      <c r="B1468" s="2">
        <v>89</v>
      </c>
      <c r="C1468" s="3">
        <v>41523271</v>
      </c>
      <c r="D1468" s="3" t="s">
        <v>5869</v>
      </c>
      <c r="E1468" s="2" t="s">
        <v>2087</v>
      </c>
      <c r="F1468" s="2" t="s">
        <v>10</v>
      </c>
      <c r="G1468" s="2" t="s">
        <v>11</v>
      </c>
      <c r="H1468" s="2">
        <v>30000000</v>
      </c>
      <c r="I1468" s="2">
        <v>4.9000000000000004</v>
      </c>
      <c r="J1468" s="3">
        <v>13640000</v>
      </c>
      <c r="K1468">
        <f t="shared" si="52"/>
        <v>1.3775047412552699E-3</v>
      </c>
      <c r="R1468" s="12" t="str">
        <f ca="1">IFERROR(__xludf.DUMMYFUNCTION("""COMPUTED_VALUE"""),"Men of Honor ")</f>
        <v>Men of Honor </v>
      </c>
      <c r="S1468" s="12">
        <f t="shared" si="53"/>
        <v>52745923</v>
      </c>
    </row>
    <row r="1469" spans="1:19" x14ac:dyDescent="0.3">
      <c r="A1469" s="2" t="s">
        <v>2378</v>
      </c>
      <c r="B1469" s="2">
        <v>101</v>
      </c>
      <c r="C1469" s="3">
        <v>31051126</v>
      </c>
      <c r="D1469" s="3" t="s">
        <v>6144</v>
      </c>
      <c r="E1469" s="2" t="s">
        <v>2379</v>
      </c>
      <c r="F1469" s="2" t="s">
        <v>10</v>
      </c>
      <c r="G1469" s="2" t="s">
        <v>199</v>
      </c>
      <c r="H1469" s="2">
        <v>28000000</v>
      </c>
      <c r="I1469" s="2">
        <v>6.9</v>
      </c>
      <c r="J1469" s="3">
        <v>13650738</v>
      </c>
      <c r="K1469">
        <f t="shared" si="52"/>
        <v>1.3775047412552699E-3</v>
      </c>
      <c r="R1469" s="12" t="str">
        <f ca="1">IFERROR(__xludf.DUMMYFUNCTION("""COMPUTED_VALUE"""),"Takers ")</f>
        <v>Takers </v>
      </c>
      <c r="S1469" s="12">
        <f t="shared" si="53"/>
        <v>145471527</v>
      </c>
    </row>
    <row r="1470" spans="1:19" x14ac:dyDescent="0.3">
      <c r="A1470" s="2" t="s">
        <v>4527</v>
      </c>
      <c r="B1470" s="2">
        <v>91</v>
      </c>
      <c r="C1470" s="3">
        <v>24268828</v>
      </c>
      <c r="D1470" s="3" t="s">
        <v>6218</v>
      </c>
      <c r="E1470" s="2" t="s">
        <v>4694</v>
      </c>
      <c r="F1470" s="2" t="s">
        <v>10</v>
      </c>
      <c r="G1470" s="2" t="s">
        <v>11</v>
      </c>
      <c r="H1470" s="2">
        <v>5000000</v>
      </c>
      <c r="I1470" s="2">
        <v>7</v>
      </c>
      <c r="J1470" s="3">
        <v>13651662</v>
      </c>
      <c r="K1470">
        <f t="shared" si="52"/>
        <v>1.3775047412552699E-3</v>
      </c>
      <c r="R1470" s="12" t="str">
        <f ca="1">IFERROR(__xludf.DUMMYFUNCTION("""COMPUTED_VALUE"""),"The Big Wedding ")</f>
        <v>The Big Wedding </v>
      </c>
      <c r="S1470" s="12">
        <f t="shared" si="53"/>
        <v>-15322346</v>
      </c>
    </row>
    <row r="1471" spans="1:19" x14ac:dyDescent="0.3">
      <c r="A1471" s="2" t="s">
        <v>496</v>
      </c>
      <c r="B1471" s="2">
        <v>114</v>
      </c>
      <c r="C1471" s="3">
        <v>53574088</v>
      </c>
      <c r="D1471" s="3" t="s">
        <v>6151</v>
      </c>
      <c r="E1471" s="2" t="s">
        <v>497</v>
      </c>
      <c r="F1471" s="2" t="s">
        <v>10</v>
      </c>
      <c r="G1471" s="2" t="s">
        <v>11</v>
      </c>
      <c r="H1471" s="2">
        <v>105000000</v>
      </c>
      <c r="I1471" s="2">
        <v>5.3</v>
      </c>
      <c r="J1471" s="3">
        <v>13684949</v>
      </c>
      <c r="K1471">
        <f t="shared" si="52"/>
        <v>1.3775047412552699E-3</v>
      </c>
      <c r="R1471" s="12" t="str">
        <f ca="1">IFERROR(__xludf.DUMMYFUNCTION("""COMPUTED_VALUE"""),"Big Mommas: Like Father, Like Son ")</f>
        <v>Big Mommas: Like Father, Like Son </v>
      </c>
      <c r="S1471" s="12">
        <f t="shared" si="53"/>
        <v>-49971</v>
      </c>
    </row>
    <row r="1472" spans="1:19" x14ac:dyDescent="0.3">
      <c r="A1472" s="2" t="s">
        <v>1760</v>
      </c>
      <c r="B1472" s="2">
        <v>129</v>
      </c>
      <c r="C1472" s="3">
        <v>26781723</v>
      </c>
      <c r="D1472" s="3" t="s">
        <v>6041</v>
      </c>
      <c r="E1472" s="2" t="s">
        <v>1761</v>
      </c>
      <c r="F1472" s="2" t="s">
        <v>10</v>
      </c>
      <c r="G1472" s="2" t="s">
        <v>11</v>
      </c>
      <c r="H1472" s="2">
        <v>40000000</v>
      </c>
      <c r="I1472" s="2">
        <v>6.9</v>
      </c>
      <c r="J1472" s="3">
        <v>13746550</v>
      </c>
      <c r="K1472">
        <f t="shared" si="52"/>
        <v>1.3775047412552699E-3</v>
      </c>
      <c r="R1472" s="12" t="str">
        <f ca="1">IFERROR(__xludf.DUMMYFUNCTION("""COMPUTED_VALUE"""),"Source Code ")</f>
        <v>Source Code </v>
      </c>
      <c r="S1472" s="12">
        <f t="shared" si="53"/>
        <v>38656813</v>
      </c>
    </row>
    <row r="1473" spans="1:19" x14ac:dyDescent="0.3">
      <c r="A1473" s="2" t="s">
        <v>4115</v>
      </c>
      <c r="B1473" s="2">
        <v>107</v>
      </c>
      <c r="C1473" s="3">
        <v>2708188</v>
      </c>
      <c r="D1473" s="3" t="s">
        <v>5768</v>
      </c>
      <c r="E1473" s="2" t="s">
        <v>4116</v>
      </c>
      <c r="F1473" s="2" t="s">
        <v>10</v>
      </c>
      <c r="G1473" s="2" t="s">
        <v>11</v>
      </c>
      <c r="H1473" s="2">
        <v>10000000</v>
      </c>
      <c r="I1473" s="2">
        <v>5.7</v>
      </c>
      <c r="J1473" s="3">
        <v>13750556</v>
      </c>
      <c r="K1473">
        <f t="shared" si="52"/>
        <v>1.3775047412552699E-3</v>
      </c>
      <c r="R1473" s="12" t="str">
        <f ca="1">IFERROR(__xludf.DUMMYFUNCTION("""COMPUTED_VALUE"""),"Alive ")</f>
        <v>Alive </v>
      </c>
      <c r="S1473" s="12">
        <f t="shared" si="53"/>
        <v>17823573</v>
      </c>
    </row>
    <row r="1474" spans="1:19" x14ac:dyDescent="0.3">
      <c r="A1474" s="2" t="s">
        <v>330</v>
      </c>
      <c r="B1474" s="2">
        <v>125</v>
      </c>
      <c r="C1474" s="3">
        <v>43426961</v>
      </c>
      <c r="D1474" s="3" t="s">
        <v>6219</v>
      </c>
      <c r="E1474" s="2" t="s">
        <v>2506</v>
      </c>
      <c r="F1474" s="2" t="s">
        <v>10</v>
      </c>
      <c r="G1474" s="2" t="s">
        <v>11</v>
      </c>
      <c r="H1474" s="2">
        <v>25000000</v>
      </c>
      <c r="I1474" s="2">
        <v>6.9</v>
      </c>
      <c r="J1474" s="3">
        <v>13753931</v>
      </c>
      <c r="K1474">
        <f t="shared" ref="K1474:K1537" si="54">CORREL(H$2:H$3941,J$2:J$3941)</f>
        <v>1.3775047412552699E-3</v>
      </c>
      <c r="R1474" s="12" t="str">
        <f ca="1">IFERROR(__xludf.DUMMYFUNCTION("""COMPUTED_VALUE"""),"The Number 23 ")</f>
        <v>The Number 23 </v>
      </c>
      <c r="S1474" s="12">
        <f t="shared" si="53"/>
        <v>12102910</v>
      </c>
    </row>
    <row r="1475" spans="1:19" x14ac:dyDescent="0.3">
      <c r="A1475" s="2" t="s">
        <v>662</v>
      </c>
      <c r="B1475" s="2">
        <v>113</v>
      </c>
      <c r="C1475" s="3">
        <v>16067035</v>
      </c>
      <c r="D1475" s="3" t="s">
        <v>6220</v>
      </c>
      <c r="E1475" s="2" t="s">
        <v>663</v>
      </c>
      <c r="F1475" s="2" t="s">
        <v>10</v>
      </c>
      <c r="G1475" s="2" t="s">
        <v>11</v>
      </c>
      <c r="H1475" s="2">
        <v>80000000</v>
      </c>
      <c r="I1475" s="2">
        <v>6.5</v>
      </c>
      <c r="J1475" s="3">
        <v>13763130</v>
      </c>
      <c r="K1475">
        <f t="shared" si="54"/>
        <v>1.3775047412552699E-3</v>
      </c>
      <c r="R1475" s="12" t="str">
        <f ca="1">IFERROR(__xludf.DUMMYFUNCTION("""COMPUTED_VALUE"""),"The Young and Prodigious T.S. Spivet ")</f>
        <v>The Young and Prodigious T.S. Spivet </v>
      </c>
      <c r="S1475" s="12">
        <f t="shared" si="53"/>
        <v>-8461796</v>
      </c>
    </row>
    <row r="1476" spans="1:19" x14ac:dyDescent="0.3">
      <c r="A1476" s="2" t="s">
        <v>5157</v>
      </c>
      <c r="B1476" s="2">
        <v>93</v>
      </c>
      <c r="C1476" s="3">
        <v>39103378</v>
      </c>
      <c r="D1476" s="3" t="s">
        <v>6221</v>
      </c>
      <c r="E1476" s="2" t="s">
        <v>5158</v>
      </c>
      <c r="F1476" s="2" t="s">
        <v>10</v>
      </c>
      <c r="G1476" s="2" t="s">
        <v>11</v>
      </c>
      <c r="H1476" s="2">
        <v>500000</v>
      </c>
      <c r="I1476" s="2">
        <v>6.7</v>
      </c>
      <c r="J1476" s="3">
        <v>13766014</v>
      </c>
      <c r="K1476">
        <f t="shared" si="54"/>
        <v>1.3775047412552699E-3</v>
      </c>
      <c r="R1476" s="12" t="str">
        <f ca="1">IFERROR(__xludf.DUMMYFUNCTION("""COMPUTED_VALUE"""),"Dreamer: Inspired by a True Story ")</f>
        <v>Dreamer: Inspired by a True Story </v>
      </c>
      <c r="S1476" s="12">
        <f t="shared" si="53"/>
        <v>15628981</v>
      </c>
    </row>
    <row r="1477" spans="1:19" x14ac:dyDescent="0.3">
      <c r="A1477" s="2" t="s">
        <v>83</v>
      </c>
      <c r="B1477" s="2">
        <v>130</v>
      </c>
      <c r="C1477" s="3">
        <v>12693621</v>
      </c>
      <c r="D1477" s="3" t="s">
        <v>6222</v>
      </c>
      <c r="E1477" s="2" t="s">
        <v>1036</v>
      </c>
      <c r="F1477" s="2" t="s">
        <v>10</v>
      </c>
      <c r="G1477" s="2" t="s">
        <v>16</v>
      </c>
      <c r="H1477" s="2">
        <v>58000000</v>
      </c>
      <c r="I1477" s="2">
        <v>7.2</v>
      </c>
      <c r="J1477" s="3">
        <v>13782838</v>
      </c>
      <c r="K1477">
        <f t="shared" si="54"/>
        <v>1.3775047412552699E-3</v>
      </c>
      <c r="R1477" s="12" t="str">
        <f ca="1">IFERROR(__xludf.DUMMYFUNCTION("""COMPUTED_VALUE"""),"A History of Violence ")</f>
        <v>A History of Violence </v>
      </c>
      <c r="S1477" s="12">
        <f t="shared" si="53"/>
        <v>-59348578</v>
      </c>
    </row>
    <row r="1478" spans="1:19" x14ac:dyDescent="0.3">
      <c r="A1478" s="2" t="s">
        <v>765</v>
      </c>
      <c r="B1478" s="2">
        <v>178</v>
      </c>
      <c r="C1478" s="3">
        <v>30400000</v>
      </c>
      <c r="D1478" s="3" t="s">
        <v>6046</v>
      </c>
      <c r="E1478" s="2" t="s">
        <v>3644</v>
      </c>
      <c r="F1478" s="2" t="s">
        <v>3090</v>
      </c>
      <c r="G1478" s="2" t="s">
        <v>199</v>
      </c>
      <c r="H1478" s="2">
        <v>13500000</v>
      </c>
      <c r="I1478" s="2">
        <v>8.3000000000000007</v>
      </c>
      <c r="J1478" s="3">
        <v>13801755</v>
      </c>
      <c r="K1478">
        <f t="shared" si="54"/>
        <v>1.3775047412552699E-3</v>
      </c>
      <c r="R1478" s="12" t="str">
        <f ca="1">IFERROR(__xludf.DUMMYFUNCTION("""COMPUTED_VALUE"""),"Transporter 2 ")</f>
        <v>Transporter 2 </v>
      </c>
      <c r="S1478" s="12">
        <f t="shared" si="53"/>
        <v>-43470632</v>
      </c>
    </row>
    <row r="1479" spans="1:19" x14ac:dyDescent="0.3">
      <c r="A1479" s="2" t="s">
        <v>3276</v>
      </c>
      <c r="B1479" s="2">
        <v>101</v>
      </c>
      <c r="C1479" s="2">
        <v>8243880</v>
      </c>
      <c r="D1479" s="3" t="s">
        <v>6136</v>
      </c>
      <c r="E1479" s="2" t="s">
        <v>4784</v>
      </c>
      <c r="F1479" s="2" t="s">
        <v>10</v>
      </c>
      <c r="G1479" s="2" t="s">
        <v>11</v>
      </c>
      <c r="H1479" s="2">
        <v>3200000</v>
      </c>
      <c r="I1479" s="2">
        <v>7</v>
      </c>
      <c r="J1479" s="3">
        <v>13823741</v>
      </c>
      <c r="K1479">
        <f t="shared" si="54"/>
        <v>1.3775047412552699E-3</v>
      </c>
      <c r="R1479" s="12" t="str">
        <f ca="1">IFERROR(__xludf.DUMMYFUNCTION("""COMPUTED_VALUE"""),"The Quick and the Dead ")</f>
        <v>The Quick and the Dead </v>
      </c>
      <c r="S1479" s="12">
        <f t="shared" si="53"/>
        <v>-14346379</v>
      </c>
    </row>
    <row r="1480" spans="1:19" x14ac:dyDescent="0.3">
      <c r="A1480" s="2" t="s">
        <v>3690</v>
      </c>
      <c r="B1480" s="2">
        <v>104</v>
      </c>
      <c r="C1480" s="3">
        <v>21383298</v>
      </c>
      <c r="D1480" s="3" t="s">
        <v>6223</v>
      </c>
      <c r="E1480" s="2" t="s">
        <v>3691</v>
      </c>
      <c r="F1480" s="2" t="s">
        <v>10</v>
      </c>
      <c r="G1480" s="2" t="s">
        <v>11</v>
      </c>
      <c r="H1480" s="2">
        <v>13000000</v>
      </c>
      <c r="I1480" s="2">
        <v>6.3</v>
      </c>
      <c r="J1480" s="3">
        <v>13829734</v>
      </c>
      <c r="K1480">
        <f t="shared" si="54"/>
        <v>1.3775047412552699E-3</v>
      </c>
      <c r="R1480" s="12" t="str">
        <f ca="1">IFERROR(__xludf.DUMMYFUNCTION("""COMPUTED_VALUE"""),"Laws of Attraction ")</f>
        <v>Laws of Attraction </v>
      </c>
      <c r="S1480" s="12">
        <f t="shared" si="53"/>
        <v>18651430</v>
      </c>
    </row>
    <row r="1481" spans="1:19" x14ac:dyDescent="0.3">
      <c r="A1481" s="2" t="s">
        <v>45</v>
      </c>
      <c r="B1481" s="2">
        <v>201</v>
      </c>
      <c r="C1481" s="3">
        <v>11560259</v>
      </c>
      <c r="D1481" s="3" t="s">
        <v>5940</v>
      </c>
      <c r="E1481" s="2" t="s">
        <v>55</v>
      </c>
      <c r="F1481" s="2" t="s">
        <v>10</v>
      </c>
      <c r="G1481" s="2" t="s">
        <v>47</v>
      </c>
      <c r="H1481" s="2">
        <v>207000000</v>
      </c>
      <c r="I1481" s="2">
        <v>7.2</v>
      </c>
      <c r="J1481" s="3">
        <v>13838130</v>
      </c>
      <c r="K1481">
        <f t="shared" si="54"/>
        <v>1.3775047412552699E-3</v>
      </c>
      <c r="R1481" s="12" t="str">
        <f ca="1">IFERROR(__xludf.DUMMYFUNCTION("""COMPUTED_VALUE"""),"Bringing Out the Dead ")</f>
        <v>Bringing Out the Dead </v>
      </c>
      <c r="S1481" s="12">
        <f t="shared" si="53"/>
        <v>19687630</v>
      </c>
    </row>
    <row r="1482" spans="1:19" x14ac:dyDescent="0.3">
      <c r="A1482" s="2" t="s">
        <v>3078</v>
      </c>
      <c r="B1482" s="2">
        <v>103</v>
      </c>
      <c r="C1482" s="3">
        <v>36581633</v>
      </c>
      <c r="D1482" s="3" t="s">
        <v>520</v>
      </c>
      <c r="E1482" s="2" t="s">
        <v>3079</v>
      </c>
      <c r="F1482" s="2" t="s">
        <v>2071</v>
      </c>
      <c r="G1482" s="2" t="s">
        <v>771</v>
      </c>
      <c r="H1482" s="2">
        <v>2127519898</v>
      </c>
      <c r="I1482" s="2">
        <v>6.9</v>
      </c>
      <c r="J1482" s="3">
        <v>13854000</v>
      </c>
      <c r="K1482">
        <f t="shared" si="54"/>
        <v>1.3775047412552699E-3</v>
      </c>
      <c r="R1482" s="12" t="str">
        <f ca="1">IFERROR(__xludf.DUMMYFUNCTION("""COMPUTED_VALUE"""),"Repo Men ")</f>
        <v>Repo Men </v>
      </c>
      <c r="S1482" s="12">
        <f t="shared" si="53"/>
        <v>-448008557</v>
      </c>
    </row>
    <row r="1483" spans="1:19" x14ac:dyDescent="0.3">
      <c r="A1483" s="2" t="s">
        <v>1233</v>
      </c>
      <c r="B1483" s="2">
        <v>145</v>
      </c>
      <c r="C1483" s="3">
        <v>125320003</v>
      </c>
      <c r="D1483" s="3" t="s">
        <v>5771</v>
      </c>
      <c r="E1483" s="2" t="s">
        <v>2638</v>
      </c>
      <c r="F1483" s="2" t="s">
        <v>10</v>
      </c>
      <c r="G1483" s="2" t="s">
        <v>11</v>
      </c>
      <c r="H1483" s="2">
        <v>25000000</v>
      </c>
      <c r="I1483" s="2">
        <v>7.3</v>
      </c>
      <c r="J1483" s="3">
        <v>13876974</v>
      </c>
      <c r="K1483">
        <f t="shared" si="54"/>
        <v>1.3775047412552699E-3</v>
      </c>
      <c r="R1483" s="12" t="str">
        <f ca="1">IFERROR(__xludf.DUMMYFUNCTION("""COMPUTED_VALUE"""),"Dragon Wars: D-War ")</f>
        <v>Dragon Wars: D-War </v>
      </c>
      <c r="S1483" s="12">
        <f t="shared" si="53"/>
        <v>-25090879</v>
      </c>
    </row>
    <row r="1484" spans="1:19" x14ac:dyDescent="0.3">
      <c r="A1484" s="2" t="s">
        <v>4769</v>
      </c>
      <c r="B1484" s="2">
        <v>95</v>
      </c>
      <c r="C1484" s="3">
        <v>50129186</v>
      </c>
      <c r="D1484" s="3" t="s">
        <v>5999</v>
      </c>
      <c r="E1484" s="2" t="s">
        <v>4770</v>
      </c>
      <c r="F1484" s="2" t="s">
        <v>10</v>
      </c>
      <c r="G1484" s="2" t="s">
        <v>11</v>
      </c>
      <c r="H1484" s="2">
        <v>8500000</v>
      </c>
      <c r="I1484" s="2">
        <v>5.6</v>
      </c>
      <c r="J1484" s="3">
        <v>13903262</v>
      </c>
      <c r="K1484">
        <f t="shared" si="54"/>
        <v>1.3775047412552699E-3</v>
      </c>
      <c r="R1484" s="12" t="str">
        <f ca="1">IFERROR(__xludf.DUMMYFUNCTION("""COMPUTED_VALUE"""),"Bogus ")</f>
        <v>Bogus </v>
      </c>
      <c r="S1484" s="12">
        <f t="shared" si="53"/>
        <v>-6891753</v>
      </c>
    </row>
    <row r="1485" spans="1:19" x14ac:dyDescent="0.3">
      <c r="A1485" s="2" t="s">
        <v>5119</v>
      </c>
      <c r="B1485" s="2">
        <v>83</v>
      </c>
      <c r="C1485" s="3">
        <v>36976367</v>
      </c>
      <c r="D1485" s="3" t="s">
        <v>5767</v>
      </c>
      <c r="E1485" s="2" t="s">
        <v>5120</v>
      </c>
      <c r="F1485" s="2" t="s">
        <v>10</v>
      </c>
      <c r="G1485" s="2" t="s">
        <v>11</v>
      </c>
      <c r="H1485" s="2">
        <v>2000000</v>
      </c>
      <c r="I1485" s="2">
        <v>5.5</v>
      </c>
      <c r="J1485" s="3">
        <v>13922211</v>
      </c>
      <c r="K1485">
        <f t="shared" si="54"/>
        <v>1.3775047412552699E-3</v>
      </c>
      <c r="R1485" s="12" t="str">
        <f ca="1">IFERROR(__xludf.DUMMYFUNCTION("""COMPUTED_VALUE"""),"The Incredible Burt Wonderstone ")</f>
        <v>The Incredible Burt Wonderstone </v>
      </c>
      <c r="S1485" s="12">
        <f t="shared" si="53"/>
        <v>20536404</v>
      </c>
    </row>
    <row r="1486" spans="1:19" x14ac:dyDescent="0.3">
      <c r="A1486" s="2" t="s">
        <v>648</v>
      </c>
      <c r="B1486" s="2">
        <v>94</v>
      </c>
      <c r="C1486" s="3">
        <v>24042490</v>
      </c>
      <c r="D1486" s="3" t="s">
        <v>885</v>
      </c>
      <c r="E1486" s="2" t="s">
        <v>2995</v>
      </c>
      <c r="F1486" s="2" t="s">
        <v>10</v>
      </c>
      <c r="G1486" s="2" t="s">
        <v>11</v>
      </c>
      <c r="H1486" s="2">
        <v>20000000</v>
      </c>
      <c r="I1486" s="2">
        <v>6.6</v>
      </c>
      <c r="J1486" s="3">
        <v>13973532</v>
      </c>
      <c r="K1486">
        <f t="shared" si="54"/>
        <v>1.3775047412552699E-3</v>
      </c>
      <c r="R1486" s="12" t="str">
        <f ca="1">IFERROR(__xludf.DUMMYFUNCTION("""COMPUTED_VALUE"""),"Cats Don't Dance ")</f>
        <v>Cats Don't Dance </v>
      </c>
      <c r="S1486" s="12">
        <f t="shared" si="53"/>
        <v>28150619</v>
      </c>
    </row>
    <row r="1487" spans="1:19" x14ac:dyDescent="0.3">
      <c r="A1487" s="2" t="s">
        <v>5697</v>
      </c>
      <c r="B1487" s="2">
        <v>97</v>
      </c>
      <c r="C1487" s="2"/>
      <c r="D1487" s="3" t="s">
        <v>5865</v>
      </c>
      <c r="E1487" s="2" t="s">
        <v>5698</v>
      </c>
      <c r="F1487" s="2" t="s">
        <v>10</v>
      </c>
      <c r="G1487" s="2" t="s">
        <v>11</v>
      </c>
      <c r="H1487" s="2">
        <v>4000000</v>
      </c>
      <c r="I1487" s="2">
        <v>6.1</v>
      </c>
      <c r="J1487" s="3">
        <v>13987482</v>
      </c>
      <c r="K1487">
        <f t="shared" si="54"/>
        <v>1.3775047412552699E-3</v>
      </c>
      <c r="R1487" s="12" t="str">
        <f ca="1">IFERROR(__xludf.DUMMYFUNCTION("""COMPUTED_VALUE"""),"Cradle Will Rock ")</f>
        <v>Cradle Will Rock </v>
      </c>
      <c r="S1487" s="12">
        <f t="shared" si="53"/>
        <v>-38002193</v>
      </c>
    </row>
    <row r="1488" spans="1:19" x14ac:dyDescent="0.3">
      <c r="A1488" s="2" t="s">
        <v>337</v>
      </c>
      <c r="B1488" s="2">
        <v>115</v>
      </c>
      <c r="C1488" s="3">
        <v>32885565</v>
      </c>
      <c r="D1488" s="3" t="s">
        <v>5753</v>
      </c>
      <c r="E1488" s="2" t="s">
        <v>784</v>
      </c>
      <c r="F1488" s="2" t="s">
        <v>10</v>
      </c>
      <c r="G1488" s="2" t="s">
        <v>11</v>
      </c>
      <c r="H1488" s="2">
        <v>80000000</v>
      </c>
      <c r="I1488" s="2">
        <v>6.9</v>
      </c>
      <c r="J1488" s="3">
        <v>13998282</v>
      </c>
      <c r="K1488">
        <f t="shared" si="54"/>
        <v>1.3775047412552699E-3</v>
      </c>
      <c r="R1488" s="12" t="str">
        <f ca="1">IFERROR(__xludf.DUMMYFUNCTION("""COMPUTED_VALUE"""),"The Good German ")</f>
        <v>The Good German </v>
      </c>
      <c r="S1488" s="12">
        <f t="shared" si="53"/>
        <v>28616689</v>
      </c>
    </row>
    <row r="1489" spans="1:19" x14ac:dyDescent="0.3">
      <c r="A1489" s="2" t="s">
        <v>1117</v>
      </c>
      <c r="B1489" s="2">
        <v>116</v>
      </c>
      <c r="C1489" s="3">
        <v>91439400</v>
      </c>
      <c r="D1489" s="3" t="s">
        <v>5857</v>
      </c>
      <c r="E1489" s="2" t="s">
        <v>1328</v>
      </c>
      <c r="F1489" s="2" t="s">
        <v>10</v>
      </c>
      <c r="G1489" s="2" t="s">
        <v>11</v>
      </c>
      <c r="H1489" s="2">
        <v>50000000</v>
      </c>
      <c r="I1489" s="2">
        <v>6.4</v>
      </c>
      <c r="J1489" s="3">
        <v>14000000</v>
      </c>
      <c r="K1489">
        <f t="shared" si="54"/>
        <v>1.3775047412552699E-3</v>
      </c>
      <c r="R1489" s="12" t="str">
        <f ca="1">IFERROR(__xludf.DUMMYFUNCTION("""COMPUTED_VALUE"""),"Apocalypse Now ")</f>
        <v>Apocalypse Now </v>
      </c>
      <c r="S1489" s="12">
        <f t="shared" si="53"/>
        <v>25523568</v>
      </c>
    </row>
    <row r="1490" spans="1:19" x14ac:dyDescent="0.3">
      <c r="A1490" s="2" t="s">
        <v>1194</v>
      </c>
      <c r="B1490" s="2">
        <v>86</v>
      </c>
      <c r="C1490" s="3">
        <v>65623128</v>
      </c>
      <c r="D1490" s="3" t="s">
        <v>6035</v>
      </c>
      <c r="E1490" s="2" t="s">
        <v>1195</v>
      </c>
      <c r="F1490" s="2" t="s">
        <v>10</v>
      </c>
      <c r="G1490" s="2" t="s">
        <v>11</v>
      </c>
      <c r="H1490" s="2">
        <v>56000000</v>
      </c>
      <c r="I1490" s="2">
        <v>6.2</v>
      </c>
      <c r="J1490" s="3">
        <v>14003141</v>
      </c>
      <c r="K1490">
        <f t="shared" si="54"/>
        <v>1.3775047412552699E-3</v>
      </c>
      <c r="R1490" s="12" t="str">
        <f ca="1">IFERROR(__xludf.DUMMYFUNCTION("""COMPUTED_VALUE"""),"Going the Distance ")</f>
        <v>Going the Distance </v>
      </c>
      <c r="S1490" s="12">
        <f t="shared" si="53"/>
        <v>11523271</v>
      </c>
    </row>
    <row r="1491" spans="1:19" x14ac:dyDescent="0.3">
      <c r="A1491" s="2" t="s">
        <v>4171</v>
      </c>
      <c r="B1491" s="2">
        <v>106</v>
      </c>
      <c r="C1491" s="3">
        <v>60786269</v>
      </c>
      <c r="D1491" s="3" t="s">
        <v>5958</v>
      </c>
      <c r="E1491" s="2" t="s">
        <v>4172</v>
      </c>
      <c r="F1491" s="2" t="s">
        <v>10</v>
      </c>
      <c r="G1491" s="2" t="s">
        <v>11</v>
      </c>
      <c r="H1491" s="2">
        <v>10000000</v>
      </c>
      <c r="I1491" s="2">
        <v>6.6</v>
      </c>
      <c r="J1491" s="3">
        <v>14015786</v>
      </c>
      <c r="K1491">
        <f t="shared" si="54"/>
        <v>1.3775047412552699E-3</v>
      </c>
      <c r="R1491" s="12" t="str">
        <f ca="1">IFERROR(__xludf.DUMMYFUNCTION("""COMPUTED_VALUE"""),"Mr. Holland's Opus ")</f>
        <v>Mr. Holland's Opus </v>
      </c>
      <c r="S1491" s="12">
        <f t="shared" si="53"/>
        <v>3051126</v>
      </c>
    </row>
    <row r="1492" spans="1:19" x14ac:dyDescent="0.3">
      <c r="A1492" s="2" t="s">
        <v>396</v>
      </c>
      <c r="B1492" s="2">
        <v>89</v>
      </c>
      <c r="C1492" s="3">
        <v>11508423</v>
      </c>
      <c r="D1492" s="3" t="s">
        <v>6046</v>
      </c>
      <c r="E1492" s="2" t="s">
        <v>3783</v>
      </c>
      <c r="F1492" s="2" t="s">
        <v>10</v>
      </c>
      <c r="G1492" s="2" t="s">
        <v>11</v>
      </c>
      <c r="H1492" s="2">
        <v>12000000</v>
      </c>
      <c r="I1492" s="2">
        <v>7.1</v>
      </c>
      <c r="J1492" s="3">
        <v>14018364</v>
      </c>
      <c r="K1492">
        <f t="shared" si="54"/>
        <v>1.3775047412552699E-3</v>
      </c>
      <c r="R1492" s="12" t="str">
        <f ca="1">IFERROR(__xludf.DUMMYFUNCTION("""COMPUTED_VALUE"""),"Criminal ")</f>
        <v>Criminal </v>
      </c>
      <c r="S1492" s="12">
        <f t="shared" si="53"/>
        <v>19268828</v>
      </c>
    </row>
    <row r="1493" spans="1:19" x14ac:dyDescent="0.3">
      <c r="A1493" s="2" t="s">
        <v>21</v>
      </c>
      <c r="B1493" s="2">
        <v>99</v>
      </c>
      <c r="C1493" s="3">
        <v>44566004</v>
      </c>
      <c r="D1493" s="3" t="s">
        <v>5954</v>
      </c>
      <c r="E1493" s="2" t="s">
        <v>2237</v>
      </c>
      <c r="F1493" s="2" t="s">
        <v>10</v>
      </c>
      <c r="G1493" s="2" t="s">
        <v>11</v>
      </c>
      <c r="H1493" s="2">
        <v>30000000</v>
      </c>
      <c r="I1493" s="2">
        <v>6.6</v>
      </c>
      <c r="J1493" s="3">
        <v>14060950</v>
      </c>
      <c r="K1493">
        <f t="shared" si="54"/>
        <v>1.3775047412552699E-3</v>
      </c>
      <c r="R1493" s="12" t="str">
        <f ca="1">IFERROR(__xludf.DUMMYFUNCTION("""COMPUTED_VALUE"""),"Out of Africa ")</f>
        <v>Out of Africa </v>
      </c>
      <c r="S1493" s="12">
        <f t="shared" si="53"/>
        <v>-51425912</v>
      </c>
    </row>
    <row r="1494" spans="1:19" x14ac:dyDescent="0.3">
      <c r="A1494" s="2" t="s">
        <v>1052</v>
      </c>
      <c r="B1494" s="2">
        <v>132</v>
      </c>
      <c r="C1494" s="2">
        <v>81687587</v>
      </c>
      <c r="D1494" s="3" t="s">
        <v>520</v>
      </c>
      <c r="E1494" s="2" t="s">
        <v>1053</v>
      </c>
      <c r="F1494" s="2" t="s">
        <v>10</v>
      </c>
      <c r="G1494" s="2" t="s">
        <v>11</v>
      </c>
      <c r="H1494" s="2">
        <v>61000000</v>
      </c>
      <c r="I1494" s="2">
        <v>6.4</v>
      </c>
      <c r="J1494" s="3">
        <v>14095303</v>
      </c>
      <c r="K1494">
        <f t="shared" si="54"/>
        <v>1.3775047412552699E-3</v>
      </c>
      <c r="R1494" s="12" t="str">
        <f ca="1">IFERROR(__xludf.DUMMYFUNCTION("""COMPUTED_VALUE"""),"Flight ")</f>
        <v>Flight </v>
      </c>
      <c r="S1494" s="12">
        <f t="shared" si="53"/>
        <v>-13218277</v>
      </c>
    </row>
    <row r="1495" spans="1:19" x14ac:dyDescent="0.3">
      <c r="A1495" s="2" t="s">
        <v>3315</v>
      </c>
      <c r="B1495" s="2">
        <v>80</v>
      </c>
      <c r="C1495" s="3">
        <v>78845130</v>
      </c>
      <c r="D1495" s="3" t="s">
        <v>5913</v>
      </c>
      <c r="E1495" s="2" t="s">
        <v>3316</v>
      </c>
      <c r="F1495" s="2" t="s">
        <v>10</v>
      </c>
      <c r="G1495" s="2" t="s">
        <v>11</v>
      </c>
      <c r="H1495" s="2">
        <v>16000000</v>
      </c>
      <c r="I1495" s="2">
        <v>3.3</v>
      </c>
      <c r="J1495" s="3">
        <v>14100000</v>
      </c>
      <c r="K1495">
        <f t="shared" si="54"/>
        <v>1.3775047412552699E-3</v>
      </c>
      <c r="R1495" s="12" t="str">
        <f ca="1">IFERROR(__xludf.DUMMYFUNCTION("""COMPUTED_VALUE"""),"Moonraker ")</f>
        <v>Moonraker </v>
      </c>
      <c r="S1495" s="12">
        <f t="shared" si="53"/>
        <v>-7291812</v>
      </c>
    </row>
    <row r="1496" spans="1:19" x14ac:dyDescent="0.3">
      <c r="A1496" s="2" t="s">
        <v>2216</v>
      </c>
      <c r="B1496" s="2">
        <v>96</v>
      </c>
      <c r="C1496" s="2">
        <v>23213577</v>
      </c>
      <c r="D1496" s="3" t="s">
        <v>5960</v>
      </c>
      <c r="E1496" s="2" t="s">
        <v>3328</v>
      </c>
      <c r="F1496" s="2" t="s">
        <v>10</v>
      </c>
      <c r="G1496" s="2" t="s">
        <v>932</v>
      </c>
      <c r="H1496" s="2">
        <v>15500000</v>
      </c>
      <c r="I1496" s="2">
        <v>7.2</v>
      </c>
      <c r="J1496" s="3">
        <v>14108518</v>
      </c>
      <c r="K1496">
        <f t="shared" si="54"/>
        <v>1.3775047412552699E-3</v>
      </c>
      <c r="R1496" s="12" t="str">
        <f ca="1">IFERROR(__xludf.DUMMYFUNCTION("""COMPUTED_VALUE"""),"The Grand Budapest Hotel ")</f>
        <v>The Grand Budapest Hotel </v>
      </c>
      <c r="S1496" s="12">
        <f t="shared" si="53"/>
        <v>18426961</v>
      </c>
    </row>
    <row r="1497" spans="1:19" x14ac:dyDescent="0.3">
      <c r="A1497" s="2" t="s">
        <v>981</v>
      </c>
      <c r="B1497" s="2">
        <v>122</v>
      </c>
      <c r="C1497" s="3">
        <v>56932305</v>
      </c>
      <c r="D1497" s="3" t="s">
        <v>5771</v>
      </c>
      <c r="E1497" s="2" t="s">
        <v>982</v>
      </c>
      <c r="F1497" s="2" t="s">
        <v>10</v>
      </c>
      <c r="G1497" s="2" t="s">
        <v>11</v>
      </c>
      <c r="H1497" s="2">
        <v>65000000</v>
      </c>
      <c r="I1497" s="2">
        <v>5.9</v>
      </c>
      <c r="J1497" s="3">
        <v>14114488</v>
      </c>
      <c r="K1497">
        <f t="shared" si="54"/>
        <v>1.3775047412552699E-3</v>
      </c>
      <c r="R1497" s="12" t="str">
        <f ca="1">IFERROR(__xludf.DUMMYFUNCTION("""COMPUTED_VALUE"""),"Hearts in Atlantis ")</f>
        <v>Hearts in Atlantis </v>
      </c>
      <c r="S1497" s="12">
        <f t="shared" ref="S1497:S1560" si="55">C1475-H1475</f>
        <v>-63932965</v>
      </c>
    </row>
    <row r="1498" spans="1:19" x14ac:dyDescent="0.3">
      <c r="A1498" s="2" t="s">
        <v>17</v>
      </c>
      <c r="B1498" s="2">
        <v>118</v>
      </c>
      <c r="C1498" s="3">
        <v>78031620</v>
      </c>
      <c r="D1498" s="3" t="s">
        <v>5913</v>
      </c>
      <c r="E1498" s="2" t="s">
        <v>1497</v>
      </c>
      <c r="F1498" s="2" t="s">
        <v>10</v>
      </c>
      <c r="G1498" s="2" t="s">
        <v>11</v>
      </c>
      <c r="H1498" s="2">
        <v>46000000</v>
      </c>
      <c r="I1498" s="2">
        <v>7.2</v>
      </c>
      <c r="J1498" s="3">
        <v>14123773</v>
      </c>
      <c r="K1498">
        <f t="shared" si="54"/>
        <v>1.3775047412552699E-3</v>
      </c>
      <c r="R1498" s="12" t="str">
        <f ca="1">IFERROR(__xludf.DUMMYFUNCTION("""COMPUTED_VALUE"""),"Arachnophobia ")</f>
        <v>Arachnophobia </v>
      </c>
      <c r="S1498" s="12">
        <f t="shared" si="55"/>
        <v>38603378</v>
      </c>
    </row>
    <row r="1499" spans="1:19" x14ac:dyDescent="0.3">
      <c r="A1499" s="2" t="s">
        <v>1284</v>
      </c>
      <c r="B1499" s="2">
        <v>116</v>
      </c>
      <c r="C1499" s="3">
        <v>6525762</v>
      </c>
      <c r="D1499" s="3" t="s">
        <v>6026</v>
      </c>
      <c r="E1499" s="2" t="s">
        <v>2821</v>
      </c>
      <c r="F1499" s="2" t="s">
        <v>10</v>
      </c>
      <c r="G1499" s="2" t="s">
        <v>11</v>
      </c>
      <c r="H1499" s="2">
        <v>22000000</v>
      </c>
      <c r="I1499" s="2">
        <v>6.8</v>
      </c>
      <c r="J1499" s="3">
        <v>14131298</v>
      </c>
      <c r="K1499">
        <f t="shared" si="54"/>
        <v>1.3775047412552699E-3</v>
      </c>
      <c r="R1499" s="12" t="str">
        <f ca="1">IFERROR(__xludf.DUMMYFUNCTION("""COMPUTED_VALUE"""),"Frequency ")</f>
        <v>Frequency </v>
      </c>
      <c r="S1499" s="12">
        <f t="shared" si="55"/>
        <v>-45306379</v>
      </c>
    </row>
    <row r="1500" spans="1:19" x14ac:dyDescent="0.3">
      <c r="A1500" s="2" t="s">
        <v>640</v>
      </c>
      <c r="B1500" s="2">
        <v>121</v>
      </c>
      <c r="C1500" s="3">
        <v>30324946</v>
      </c>
      <c r="D1500" s="3" t="s">
        <v>5818</v>
      </c>
      <c r="E1500" s="2" t="s">
        <v>1278</v>
      </c>
      <c r="F1500" s="2" t="s">
        <v>10</v>
      </c>
      <c r="G1500" s="2" t="s">
        <v>11</v>
      </c>
      <c r="H1500" s="2">
        <v>54000000</v>
      </c>
      <c r="I1500" s="2">
        <v>2.4</v>
      </c>
      <c r="J1500" s="3">
        <v>14174654</v>
      </c>
      <c r="K1500">
        <f t="shared" si="54"/>
        <v>1.3775047412552699E-3</v>
      </c>
      <c r="R1500" s="12" t="str">
        <f ca="1">IFERROR(__xludf.DUMMYFUNCTION("""COMPUTED_VALUE"""),"Vacation ")</f>
        <v>Vacation </v>
      </c>
      <c r="S1500" s="12">
        <f t="shared" si="55"/>
        <v>16900000</v>
      </c>
    </row>
    <row r="1501" spans="1:19" x14ac:dyDescent="0.3">
      <c r="A1501" s="2" t="s">
        <v>1886</v>
      </c>
      <c r="B1501" s="2">
        <v>155</v>
      </c>
      <c r="C1501" s="3">
        <v>18381787</v>
      </c>
      <c r="D1501" s="3" t="s">
        <v>5767</v>
      </c>
      <c r="E1501" s="2" t="s">
        <v>3456</v>
      </c>
      <c r="F1501" s="2" t="s">
        <v>10</v>
      </c>
      <c r="G1501" s="2" t="s">
        <v>11</v>
      </c>
      <c r="H1501" s="2">
        <v>15000000</v>
      </c>
      <c r="I1501" s="2">
        <v>7.9</v>
      </c>
      <c r="J1501" s="3">
        <v>14208384</v>
      </c>
      <c r="K1501">
        <f t="shared" si="54"/>
        <v>1.3775047412552699E-3</v>
      </c>
      <c r="R1501" s="12" t="str">
        <f ca="1">IFERROR(__xludf.DUMMYFUNCTION("""COMPUTED_VALUE"""),"Get Shorty ")</f>
        <v>Get Shorty </v>
      </c>
      <c r="S1501" s="12">
        <f t="shared" si="55"/>
        <v>5043880</v>
      </c>
    </row>
    <row r="1502" spans="1:19" x14ac:dyDescent="0.3">
      <c r="A1502" s="2" t="s">
        <v>4942</v>
      </c>
      <c r="B1502" s="2">
        <v>95</v>
      </c>
      <c r="C1502" s="3">
        <v>3799339</v>
      </c>
      <c r="D1502" s="3" t="s">
        <v>5869</v>
      </c>
      <c r="E1502" s="2" t="s">
        <v>4943</v>
      </c>
      <c r="F1502" s="2" t="s">
        <v>10</v>
      </c>
      <c r="G1502" s="2" t="s">
        <v>11</v>
      </c>
      <c r="H1502" s="2">
        <v>3000000</v>
      </c>
      <c r="I1502" s="2">
        <v>5.3</v>
      </c>
      <c r="J1502" s="3">
        <v>14218868</v>
      </c>
      <c r="K1502">
        <f t="shared" si="54"/>
        <v>1.3775047412552699E-3</v>
      </c>
      <c r="R1502" s="12" t="str">
        <f ca="1">IFERROR(__xludf.DUMMYFUNCTION("""COMPUTED_VALUE"""),"Chicago ")</f>
        <v>Chicago </v>
      </c>
      <c r="S1502" s="12">
        <f t="shared" si="55"/>
        <v>8383298</v>
      </c>
    </row>
    <row r="1503" spans="1:19" x14ac:dyDescent="0.3">
      <c r="A1503" s="2" t="s">
        <v>2659</v>
      </c>
      <c r="B1503" s="2">
        <v>96</v>
      </c>
      <c r="C1503" s="3">
        <v>38966057</v>
      </c>
      <c r="D1503" s="3" t="s">
        <v>6224</v>
      </c>
      <c r="E1503" s="2" t="s">
        <v>4367</v>
      </c>
      <c r="F1503" s="2" t="s">
        <v>10</v>
      </c>
      <c r="G1503" s="2" t="s">
        <v>11</v>
      </c>
      <c r="H1503" s="2">
        <v>7000000</v>
      </c>
      <c r="I1503" s="2">
        <v>5.2</v>
      </c>
      <c r="J1503" s="3">
        <v>14249005</v>
      </c>
      <c r="K1503">
        <f t="shared" si="54"/>
        <v>1.3775047412552699E-3</v>
      </c>
      <c r="R1503" s="12" t="str">
        <f ca="1">IFERROR(__xludf.DUMMYFUNCTION("""COMPUTED_VALUE"""),"Big Daddy ")</f>
        <v>Big Daddy </v>
      </c>
      <c r="S1503" s="12">
        <f t="shared" si="55"/>
        <v>-195439741</v>
      </c>
    </row>
    <row r="1504" spans="1:19" x14ac:dyDescent="0.3">
      <c r="A1504" s="2" t="s">
        <v>2373</v>
      </c>
      <c r="B1504" s="2">
        <v>83</v>
      </c>
      <c r="C1504" s="3">
        <v>26505000</v>
      </c>
      <c r="D1504" s="3" t="s">
        <v>5899</v>
      </c>
      <c r="E1504" s="2" t="s">
        <v>2374</v>
      </c>
      <c r="F1504" s="2" t="s">
        <v>10</v>
      </c>
      <c r="G1504" s="2" t="s">
        <v>11</v>
      </c>
      <c r="H1504" s="2">
        <v>24000000</v>
      </c>
      <c r="I1504" s="2">
        <v>5.9</v>
      </c>
      <c r="J1504" s="3">
        <v>14252830</v>
      </c>
      <c r="K1504">
        <f t="shared" si="54"/>
        <v>1.3775047412552699E-3</v>
      </c>
      <c r="R1504" s="12" t="str">
        <f ca="1">IFERROR(__xludf.DUMMYFUNCTION("""COMPUTED_VALUE"""),"American Pie 2 ")</f>
        <v>American Pie 2 </v>
      </c>
      <c r="S1504" s="12">
        <f t="shared" si="55"/>
        <v>-2090938265</v>
      </c>
    </row>
    <row r="1505" spans="1:19" x14ac:dyDescent="0.3">
      <c r="A1505" s="2" t="s">
        <v>3593</v>
      </c>
      <c r="B1505" s="2">
        <v>110</v>
      </c>
      <c r="C1505" s="3">
        <v>16235293</v>
      </c>
      <c r="D1505" s="3" t="s">
        <v>5767</v>
      </c>
      <c r="E1505" s="2" t="s">
        <v>4470</v>
      </c>
      <c r="F1505" s="2" t="s">
        <v>10</v>
      </c>
      <c r="G1505" s="2" t="s">
        <v>11</v>
      </c>
      <c r="H1505" s="2">
        <v>6000000</v>
      </c>
      <c r="I1505" s="2">
        <v>7.2</v>
      </c>
      <c r="J1505" s="3">
        <v>14268533</v>
      </c>
      <c r="K1505">
        <f t="shared" si="54"/>
        <v>1.3775047412552699E-3</v>
      </c>
      <c r="R1505" s="12" t="str">
        <f ca="1">IFERROR(__xludf.DUMMYFUNCTION("""COMPUTED_VALUE"""),"Toy Story ")</f>
        <v>Toy Story </v>
      </c>
      <c r="S1505" s="12">
        <f t="shared" si="55"/>
        <v>100320003</v>
      </c>
    </row>
    <row r="1506" spans="1:19" x14ac:dyDescent="0.3">
      <c r="A1506" s="2" t="s">
        <v>311</v>
      </c>
      <c r="B1506" s="2">
        <v>83</v>
      </c>
      <c r="C1506" s="3">
        <v>30500882</v>
      </c>
      <c r="D1506" s="3" t="s">
        <v>6205</v>
      </c>
      <c r="E1506" s="2" t="s">
        <v>669</v>
      </c>
      <c r="F1506" s="2" t="s">
        <v>10</v>
      </c>
      <c r="G1506" s="2" t="s">
        <v>11</v>
      </c>
      <c r="H1506" s="2">
        <v>80000000</v>
      </c>
      <c r="I1506" s="2">
        <v>6.8</v>
      </c>
      <c r="J1506" s="3">
        <v>14291570</v>
      </c>
      <c r="K1506">
        <f t="shared" si="54"/>
        <v>1.3775047412552699E-3</v>
      </c>
      <c r="R1506" s="12" t="str">
        <f ca="1">IFERROR(__xludf.DUMMYFUNCTION("""COMPUTED_VALUE"""),"Speed ")</f>
        <v>Speed </v>
      </c>
      <c r="S1506" s="12">
        <f t="shared" si="55"/>
        <v>41629186</v>
      </c>
    </row>
    <row r="1507" spans="1:19" x14ac:dyDescent="0.3">
      <c r="A1507" s="2" t="s">
        <v>689</v>
      </c>
      <c r="B1507" s="2">
        <v>109</v>
      </c>
      <c r="C1507" s="3">
        <v>1987287</v>
      </c>
      <c r="D1507" s="3" t="s">
        <v>5767</v>
      </c>
      <c r="E1507" s="2" t="s">
        <v>1371</v>
      </c>
      <c r="F1507" s="2" t="s">
        <v>10</v>
      </c>
      <c r="G1507" s="2" t="s">
        <v>11</v>
      </c>
      <c r="H1507" s="2">
        <v>60000000</v>
      </c>
      <c r="I1507" s="2">
        <v>6.1</v>
      </c>
      <c r="J1507" s="3">
        <v>14294842</v>
      </c>
      <c r="K1507">
        <f t="shared" si="54"/>
        <v>1.3775047412552699E-3</v>
      </c>
      <c r="R1507" s="12" t="str">
        <f ca="1">IFERROR(__xludf.DUMMYFUNCTION("""COMPUTED_VALUE"""),"The Vow ")</f>
        <v>The Vow </v>
      </c>
      <c r="S1507" s="12">
        <f t="shared" si="55"/>
        <v>34976367</v>
      </c>
    </row>
    <row r="1508" spans="1:19" x14ac:dyDescent="0.3">
      <c r="A1508" s="2" t="s">
        <v>27</v>
      </c>
      <c r="B1508" s="2">
        <v>153</v>
      </c>
      <c r="C1508" s="3">
        <v>18573791</v>
      </c>
      <c r="D1508" s="3" t="s">
        <v>5940</v>
      </c>
      <c r="E1508" s="2" t="s">
        <v>28</v>
      </c>
      <c r="F1508" s="2" t="s">
        <v>10</v>
      </c>
      <c r="G1508" s="2" t="s">
        <v>16</v>
      </c>
      <c r="H1508" s="2">
        <v>250000000</v>
      </c>
      <c r="I1508" s="2">
        <v>7.5</v>
      </c>
      <c r="J1508" s="3">
        <v>14334645</v>
      </c>
      <c r="K1508">
        <f t="shared" si="54"/>
        <v>1.3775047412552699E-3</v>
      </c>
      <c r="R1508" s="12" t="str">
        <f ca="1">IFERROR(__xludf.DUMMYFUNCTION("""COMPUTED_VALUE"""),"Extraordinary Measures ")</f>
        <v>Extraordinary Measures </v>
      </c>
      <c r="S1508" s="12">
        <f t="shared" si="55"/>
        <v>4042490</v>
      </c>
    </row>
    <row r="1509" spans="1:19" x14ac:dyDescent="0.3">
      <c r="A1509" s="2" t="s">
        <v>177</v>
      </c>
      <c r="B1509" s="2">
        <v>132</v>
      </c>
      <c r="C1509" s="3">
        <v>20627372</v>
      </c>
      <c r="D1509" s="3" t="s">
        <v>6225</v>
      </c>
      <c r="E1509" s="2" t="s">
        <v>178</v>
      </c>
      <c r="F1509" s="2" t="s">
        <v>10</v>
      </c>
      <c r="G1509" s="2" t="s">
        <v>11</v>
      </c>
      <c r="H1509" s="2">
        <v>160000000</v>
      </c>
      <c r="I1509" s="2">
        <v>7.8</v>
      </c>
      <c r="J1509" s="3">
        <v>14337579</v>
      </c>
      <c r="K1509">
        <f t="shared" si="54"/>
        <v>1.3775047412552699E-3</v>
      </c>
      <c r="R1509" s="12" t="str">
        <f ca="1">IFERROR(__xludf.DUMMYFUNCTION("""COMPUTED_VALUE"""),"Remember the Titans ")</f>
        <v>Remember the Titans </v>
      </c>
      <c r="S1509" s="12">
        <f t="shared" si="55"/>
        <v>-4000000</v>
      </c>
    </row>
    <row r="1510" spans="1:19" x14ac:dyDescent="0.3">
      <c r="A1510" s="2" t="s">
        <v>3959</v>
      </c>
      <c r="B1510" s="2">
        <v>121</v>
      </c>
      <c r="C1510" s="3">
        <v>77862546</v>
      </c>
      <c r="D1510" s="3" t="s">
        <v>6110</v>
      </c>
      <c r="E1510" s="2" t="s">
        <v>3960</v>
      </c>
      <c r="F1510" s="2" t="s">
        <v>10</v>
      </c>
      <c r="G1510" s="2" t="s">
        <v>11</v>
      </c>
      <c r="H1510" s="2">
        <v>10000000</v>
      </c>
      <c r="I1510" s="2">
        <v>6.2</v>
      </c>
      <c r="J1510" s="3">
        <v>14343976</v>
      </c>
      <c r="K1510">
        <f t="shared" si="54"/>
        <v>1.3775047412552699E-3</v>
      </c>
      <c r="R1510" s="12" t="str">
        <f ca="1">IFERROR(__xludf.DUMMYFUNCTION("""COMPUTED_VALUE"""),"The Hunt for Red October ")</f>
        <v>The Hunt for Red October </v>
      </c>
      <c r="S1510" s="12">
        <f t="shared" si="55"/>
        <v>-47114435</v>
      </c>
    </row>
    <row r="1511" spans="1:19" x14ac:dyDescent="0.3">
      <c r="A1511" s="2" t="s">
        <v>511</v>
      </c>
      <c r="B1511" s="2">
        <v>119</v>
      </c>
      <c r="C1511" s="2">
        <v>11041228</v>
      </c>
      <c r="D1511" s="3" t="s">
        <v>5958</v>
      </c>
      <c r="E1511" s="2" t="s">
        <v>3825</v>
      </c>
      <c r="F1511" s="2" t="s">
        <v>513</v>
      </c>
      <c r="G1511" s="2" t="s">
        <v>233</v>
      </c>
      <c r="H1511" s="2">
        <v>100000000</v>
      </c>
      <c r="I1511" s="2">
        <v>7.6</v>
      </c>
      <c r="J1511" s="3">
        <v>14348123</v>
      </c>
      <c r="K1511">
        <f t="shared" si="54"/>
        <v>1.3775047412552699E-3</v>
      </c>
      <c r="R1511" s="12" t="str">
        <f ca="1">IFERROR(__xludf.DUMMYFUNCTION("""COMPUTED_VALUE"""),"Lee Daniels' The Butler ")</f>
        <v>Lee Daniels' The Butler </v>
      </c>
      <c r="S1511" s="12">
        <f t="shared" si="55"/>
        <v>41439400</v>
      </c>
    </row>
    <row r="1512" spans="1:19" x14ac:dyDescent="0.3">
      <c r="A1512" s="2" t="s">
        <v>1506</v>
      </c>
      <c r="B1512" s="2">
        <v>89</v>
      </c>
      <c r="C1512" s="3">
        <v>11466088</v>
      </c>
      <c r="D1512" s="3" t="s">
        <v>6036</v>
      </c>
      <c r="E1512" s="2" t="s">
        <v>1676</v>
      </c>
      <c r="F1512" s="2" t="s">
        <v>10</v>
      </c>
      <c r="G1512" s="2" t="s">
        <v>11</v>
      </c>
      <c r="H1512" s="2">
        <v>45000000</v>
      </c>
      <c r="I1512" s="2">
        <v>5.0999999999999996</v>
      </c>
      <c r="J1512" s="3">
        <v>14358033</v>
      </c>
      <c r="K1512">
        <f t="shared" si="54"/>
        <v>1.3775047412552699E-3</v>
      </c>
      <c r="R1512" s="12" t="str">
        <f ca="1">IFERROR(__xludf.DUMMYFUNCTION("""COMPUTED_VALUE"""),"Dodgeball: A True Underdog Story ")</f>
        <v>Dodgeball: A True Underdog Story </v>
      </c>
      <c r="S1512" s="12">
        <f t="shared" si="55"/>
        <v>9623128</v>
      </c>
    </row>
    <row r="1513" spans="1:19" x14ac:dyDescent="0.3">
      <c r="A1513" s="2" t="s">
        <v>1643</v>
      </c>
      <c r="B1513" s="2">
        <v>112</v>
      </c>
      <c r="C1513" s="3">
        <v>58918501</v>
      </c>
      <c r="D1513" s="3" t="s">
        <v>5849</v>
      </c>
      <c r="E1513" s="2" t="s">
        <v>1644</v>
      </c>
      <c r="F1513" s="2" t="s">
        <v>10</v>
      </c>
      <c r="G1513" s="2" t="s">
        <v>11</v>
      </c>
      <c r="H1513" s="2">
        <v>44000000</v>
      </c>
      <c r="I1513" s="2">
        <v>6.6</v>
      </c>
      <c r="J1513" s="3">
        <v>14373825</v>
      </c>
      <c r="K1513">
        <f t="shared" si="54"/>
        <v>1.3775047412552699E-3</v>
      </c>
      <c r="R1513" s="12" t="str">
        <f ca="1">IFERROR(__xludf.DUMMYFUNCTION("""COMPUTED_VALUE"""),"The Addams Family ")</f>
        <v>The Addams Family </v>
      </c>
      <c r="S1513" s="12">
        <f t="shared" si="55"/>
        <v>50786269</v>
      </c>
    </row>
    <row r="1514" spans="1:19" x14ac:dyDescent="0.3">
      <c r="A1514" s="2" t="s">
        <v>5265</v>
      </c>
      <c r="B1514" s="2">
        <v>85</v>
      </c>
      <c r="C1514" s="3">
        <v>11405825</v>
      </c>
      <c r="D1514" s="3" t="s">
        <v>5849</v>
      </c>
      <c r="E1514" s="2" t="s">
        <v>5266</v>
      </c>
      <c r="F1514" s="2" t="s">
        <v>10</v>
      </c>
      <c r="G1514" s="2" t="s">
        <v>11</v>
      </c>
      <c r="H1514" s="2">
        <v>1200000</v>
      </c>
      <c r="I1514" s="2">
        <v>6.2</v>
      </c>
      <c r="J1514" s="3">
        <v>14375181</v>
      </c>
      <c r="K1514">
        <f t="shared" si="54"/>
        <v>1.3775047412552699E-3</v>
      </c>
      <c r="R1514" s="12" t="str">
        <f ca="1">IFERROR(__xludf.DUMMYFUNCTION("""COMPUTED_VALUE"""),"Ace Ventura: When Nature Calls ")</f>
        <v>Ace Ventura: When Nature Calls </v>
      </c>
      <c r="S1514" s="12">
        <f t="shared" si="55"/>
        <v>-491577</v>
      </c>
    </row>
    <row r="1515" spans="1:19" x14ac:dyDescent="0.3">
      <c r="A1515" s="2" t="s">
        <v>613</v>
      </c>
      <c r="B1515" s="2">
        <v>96</v>
      </c>
      <c r="C1515" s="3">
        <v>13214255</v>
      </c>
      <c r="D1515" s="3" t="s">
        <v>5930</v>
      </c>
      <c r="E1515" s="2" t="s">
        <v>984</v>
      </c>
      <c r="F1515" s="2" t="s">
        <v>10</v>
      </c>
      <c r="G1515" s="2" t="s">
        <v>199</v>
      </c>
      <c r="H1515" s="2">
        <v>65000000</v>
      </c>
      <c r="I1515" s="2">
        <v>5.4</v>
      </c>
      <c r="J1515" s="3">
        <v>14378353</v>
      </c>
      <c r="K1515">
        <f t="shared" si="54"/>
        <v>1.3775047412552699E-3</v>
      </c>
      <c r="R1515" s="12" t="str">
        <f ca="1">IFERROR(__xludf.DUMMYFUNCTION("""COMPUTED_VALUE"""),"The Princess Diaries ")</f>
        <v>The Princess Diaries </v>
      </c>
      <c r="S1515" s="12">
        <f t="shared" si="55"/>
        <v>14566004</v>
      </c>
    </row>
    <row r="1516" spans="1:19" x14ac:dyDescent="0.3">
      <c r="A1516" s="2" t="s">
        <v>1356</v>
      </c>
      <c r="B1516" s="2">
        <v>94</v>
      </c>
      <c r="C1516" s="3">
        <v>103400692</v>
      </c>
      <c r="D1516" s="3" t="s">
        <v>5869</v>
      </c>
      <c r="E1516" s="2" t="s">
        <v>1869</v>
      </c>
      <c r="F1516" s="2" t="s">
        <v>10</v>
      </c>
      <c r="G1516" s="2" t="s">
        <v>11</v>
      </c>
      <c r="H1516" s="2">
        <v>30000000</v>
      </c>
      <c r="I1516" s="2">
        <v>4.4000000000000004</v>
      </c>
      <c r="J1516" s="3">
        <v>14400000</v>
      </c>
      <c r="K1516">
        <f t="shared" si="54"/>
        <v>1.3775047412552699E-3</v>
      </c>
      <c r="R1516" s="12" t="str">
        <f ca="1">IFERROR(__xludf.DUMMYFUNCTION("""COMPUTED_VALUE"""),"The First Wives Club ")</f>
        <v>The First Wives Club </v>
      </c>
      <c r="S1516" s="12">
        <f t="shared" si="55"/>
        <v>20687587</v>
      </c>
    </row>
    <row r="1517" spans="1:19" x14ac:dyDescent="0.3">
      <c r="A1517" s="2" t="s">
        <v>1288</v>
      </c>
      <c r="B1517" s="2">
        <v>107</v>
      </c>
      <c r="C1517" s="3">
        <v>11434867</v>
      </c>
      <c r="D1517" s="3" t="s">
        <v>5767</v>
      </c>
      <c r="E1517" s="2" t="s">
        <v>3035</v>
      </c>
      <c r="F1517" s="2" t="s">
        <v>10</v>
      </c>
      <c r="G1517" s="2" t="s">
        <v>3036</v>
      </c>
      <c r="H1517" s="2">
        <v>20000000</v>
      </c>
      <c r="I1517" s="2">
        <v>5.6</v>
      </c>
      <c r="J1517" s="3">
        <v>14448589</v>
      </c>
      <c r="K1517">
        <f t="shared" si="54"/>
        <v>1.3775047412552699E-3</v>
      </c>
      <c r="R1517" s="12" t="str">
        <f ca="1">IFERROR(__xludf.DUMMYFUNCTION("""COMPUTED_VALUE"""),"Se7en ")</f>
        <v>Se7en </v>
      </c>
      <c r="S1517" s="12">
        <f t="shared" si="55"/>
        <v>62845130</v>
      </c>
    </row>
    <row r="1518" spans="1:19" x14ac:dyDescent="0.3">
      <c r="A1518" s="2" t="s">
        <v>19</v>
      </c>
      <c r="B1518" s="2">
        <v>98</v>
      </c>
      <c r="C1518" s="3">
        <v>21379315</v>
      </c>
      <c r="D1518" s="3" t="s">
        <v>5869</v>
      </c>
      <c r="E1518" s="2" t="s">
        <v>110</v>
      </c>
      <c r="F1518" s="2" t="s">
        <v>10</v>
      </c>
      <c r="G1518" s="2" t="s">
        <v>11</v>
      </c>
      <c r="H1518" s="2">
        <v>180000000</v>
      </c>
      <c r="I1518" s="2">
        <v>8.4</v>
      </c>
      <c r="J1518" s="3">
        <v>14469428</v>
      </c>
      <c r="K1518">
        <f t="shared" si="54"/>
        <v>1.3775047412552699E-3</v>
      </c>
      <c r="R1518" s="12" t="str">
        <f ca="1">IFERROR(__xludf.DUMMYFUNCTION("""COMPUTED_VALUE"""),"District 9 ")</f>
        <v>District 9 </v>
      </c>
      <c r="S1518" s="12">
        <f t="shared" si="55"/>
        <v>7713577</v>
      </c>
    </row>
    <row r="1519" spans="1:19" x14ac:dyDescent="0.3">
      <c r="A1519" s="2" t="s">
        <v>404</v>
      </c>
      <c r="B1519" s="2">
        <v>93</v>
      </c>
      <c r="C1519" s="3">
        <v>53991137</v>
      </c>
      <c r="D1519" s="3" t="s">
        <v>5935</v>
      </c>
      <c r="E1519" s="2" t="s">
        <v>2747</v>
      </c>
      <c r="F1519" s="2" t="s">
        <v>10</v>
      </c>
      <c r="G1519" s="2" t="s">
        <v>2131</v>
      </c>
      <c r="H1519" s="2">
        <v>23000000</v>
      </c>
      <c r="I1519" s="2">
        <v>5.8</v>
      </c>
      <c r="J1519" s="3">
        <v>14479776</v>
      </c>
      <c r="K1519">
        <f t="shared" si="54"/>
        <v>1.3775047412552699E-3</v>
      </c>
      <c r="R1519" s="12" t="str">
        <f ca="1">IFERROR(__xludf.DUMMYFUNCTION("""COMPUTED_VALUE"""),"The SpongeBob SquarePants Movie ")</f>
        <v>The SpongeBob SquarePants Movie </v>
      </c>
      <c r="S1519" s="12">
        <f t="shared" si="55"/>
        <v>-8067695</v>
      </c>
    </row>
    <row r="1520" spans="1:19" x14ac:dyDescent="0.3">
      <c r="A1520" s="2" t="s">
        <v>4627</v>
      </c>
      <c r="B1520" s="2">
        <v>94</v>
      </c>
      <c r="C1520" s="3">
        <v>23070045</v>
      </c>
      <c r="D1520" s="3" t="s">
        <v>6019</v>
      </c>
      <c r="E1520" s="2" t="s">
        <v>5582</v>
      </c>
      <c r="F1520" s="2" t="s">
        <v>10</v>
      </c>
      <c r="G1520" s="2" t="s">
        <v>11</v>
      </c>
      <c r="H1520" s="2">
        <v>300000</v>
      </c>
      <c r="I1520" s="2">
        <v>5.5</v>
      </c>
      <c r="J1520" s="3">
        <v>14500000</v>
      </c>
      <c r="K1520">
        <f t="shared" si="54"/>
        <v>1.3775047412552699E-3</v>
      </c>
      <c r="R1520" s="12" t="str">
        <f ca="1">IFERROR(__xludf.DUMMYFUNCTION("""COMPUTED_VALUE"""),"Mystic River ")</f>
        <v>Mystic River </v>
      </c>
      <c r="S1520" s="12">
        <f t="shared" si="55"/>
        <v>32031620</v>
      </c>
    </row>
    <row r="1521" spans="1:19" x14ac:dyDescent="0.3">
      <c r="A1521" s="2" t="s">
        <v>810</v>
      </c>
      <c r="B1521" s="2">
        <v>103</v>
      </c>
      <c r="C1521" s="3">
        <v>71017784</v>
      </c>
      <c r="D1521" s="3" t="s">
        <v>6019</v>
      </c>
      <c r="E1521" s="2" t="s">
        <v>4824</v>
      </c>
      <c r="F1521" s="2" t="s">
        <v>10</v>
      </c>
      <c r="G1521" s="2" t="s">
        <v>11</v>
      </c>
      <c r="H1521" s="2">
        <v>14000000</v>
      </c>
      <c r="I1521" s="2">
        <v>6.3</v>
      </c>
      <c r="J1521" s="3">
        <v>14545844</v>
      </c>
      <c r="K1521">
        <f t="shared" si="54"/>
        <v>1.3775047412552699E-3</v>
      </c>
      <c r="R1521" s="12" t="str">
        <f ca="1">IFERROR(__xludf.DUMMYFUNCTION("""COMPUTED_VALUE"""),"Million Dollar Baby ")</f>
        <v>Million Dollar Baby </v>
      </c>
      <c r="S1521" s="12">
        <f t="shared" si="55"/>
        <v>-15474238</v>
      </c>
    </row>
    <row r="1522" spans="1:19" x14ac:dyDescent="0.3">
      <c r="A1522" s="2" t="s">
        <v>240</v>
      </c>
      <c r="B1522" s="2">
        <v>106</v>
      </c>
      <c r="C1522" s="3">
        <v>128505958</v>
      </c>
      <c r="D1522" s="3" t="s">
        <v>5779</v>
      </c>
      <c r="E1522" s="2" t="s">
        <v>854</v>
      </c>
      <c r="F1522" s="2" t="s">
        <v>10</v>
      </c>
      <c r="G1522" s="2" t="s">
        <v>11</v>
      </c>
      <c r="H1522" s="2">
        <v>72000000</v>
      </c>
      <c r="I1522" s="2">
        <v>6.7</v>
      </c>
      <c r="J1522" s="3">
        <v>14564027</v>
      </c>
      <c r="K1522">
        <f t="shared" si="54"/>
        <v>1.3775047412552699E-3</v>
      </c>
      <c r="R1522" s="12" t="str">
        <f ca="1">IFERROR(__xludf.DUMMYFUNCTION("""COMPUTED_VALUE"""),"Analyze This ")</f>
        <v>Analyze This </v>
      </c>
      <c r="S1522" s="12">
        <f t="shared" si="55"/>
        <v>-23675054</v>
      </c>
    </row>
    <row r="1523" spans="1:19" x14ac:dyDescent="0.3">
      <c r="A1523" s="2" t="s">
        <v>3604</v>
      </c>
      <c r="B1523" s="2">
        <v>109</v>
      </c>
      <c r="C1523" s="3">
        <v>1330827</v>
      </c>
      <c r="D1523" s="3" t="s">
        <v>5872</v>
      </c>
      <c r="E1523" s="2" t="s">
        <v>4247</v>
      </c>
      <c r="F1523" s="2" t="s">
        <v>10</v>
      </c>
      <c r="G1523" s="2" t="s">
        <v>11</v>
      </c>
      <c r="H1523" s="2">
        <v>8000000</v>
      </c>
      <c r="I1523" s="2">
        <v>6.5</v>
      </c>
      <c r="J1523" s="3">
        <v>14567883</v>
      </c>
      <c r="K1523">
        <f t="shared" si="54"/>
        <v>1.3775047412552699E-3</v>
      </c>
      <c r="R1523" s="12" t="str">
        <f ca="1">IFERROR(__xludf.DUMMYFUNCTION("""COMPUTED_VALUE"""),"The Notebook ")</f>
        <v>The Notebook </v>
      </c>
      <c r="S1523" s="12">
        <f t="shared" si="55"/>
        <v>3381787</v>
      </c>
    </row>
    <row r="1524" spans="1:19" x14ac:dyDescent="0.3">
      <c r="A1524" s="2" t="s">
        <v>8</v>
      </c>
      <c r="B1524" s="2">
        <v>107</v>
      </c>
      <c r="C1524" s="3">
        <v>14587732</v>
      </c>
      <c r="D1524" s="3" t="s">
        <v>5767</v>
      </c>
      <c r="E1524" s="2" t="s">
        <v>4465</v>
      </c>
      <c r="F1524" s="2" t="s">
        <v>10</v>
      </c>
      <c r="G1524" s="2" t="s">
        <v>16</v>
      </c>
      <c r="H1524" s="2">
        <v>6500000</v>
      </c>
      <c r="I1524" s="2">
        <v>8.1</v>
      </c>
      <c r="J1524" s="3">
        <v>14587732</v>
      </c>
      <c r="K1524">
        <f t="shared" si="54"/>
        <v>1.3775047412552699E-3</v>
      </c>
      <c r="R1524" s="12" t="str">
        <f ca="1">IFERROR(__xludf.DUMMYFUNCTION("""COMPUTED_VALUE"""),"27 Dresses ")</f>
        <v>27 Dresses </v>
      </c>
      <c r="S1524" s="12">
        <f t="shared" si="55"/>
        <v>799339</v>
      </c>
    </row>
    <row r="1525" spans="1:19" x14ac:dyDescent="0.3">
      <c r="A1525" s="2" t="s">
        <v>268</v>
      </c>
      <c r="B1525" s="2">
        <v>116</v>
      </c>
      <c r="C1525" s="3">
        <v>24006726</v>
      </c>
      <c r="D1525" s="3" t="s">
        <v>5768</v>
      </c>
      <c r="E1525" s="2" t="s">
        <v>889</v>
      </c>
      <c r="F1525" s="2" t="s">
        <v>10</v>
      </c>
      <c r="G1525" s="2" t="s">
        <v>11</v>
      </c>
      <c r="H1525" s="2">
        <v>70000000</v>
      </c>
      <c r="I1525" s="2">
        <v>6.3</v>
      </c>
      <c r="J1525" s="3">
        <v>14589444</v>
      </c>
      <c r="K1525">
        <f t="shared" si="54"/>
        <v>1.3775047412552699E-3</v>
      </c>
      <c r="R1525" s="12" t="str">
        <f ca="1">IFERROR(__xludf.DUMMYFUNCTION("""COMPUTED_VALUE"""),"Hannah Montana: The Movie ")</f>
        <v>Hannah Montana: The Movie </v>
      </c>
      <c r="S1525" s="12">
        <f t="shared" si="55"/>
        <v>31966057</v>
      </c>
    </row>
    <row r="1526" spans="1:19" x14ac:dyDescent="0.3">
      <c r="A1526" s="2" t="s">
        <v>4798</v>
      </c>
      <c r="B1526" s="2">
        <v>94</v>
      </c>
      <c r="C1526" s="3">
        <v>53680848</v>
      </c>
      <c r="D1526" s="3" t="s">
        <v>6226</v>
      </c>
      <c r="E1526" s="2" t="s">
        <v>4799</v>
      </c>
      <c r="F1526" s="2" t="s">
        <v>10</v>
      </c>
      <c r="G1526" s="2" t="s">
        <v>11</v>
      </c>
      <c r="H1526" s="2">
        <v>4000000</v>
      </c>
      <c r="I1526" s="2">
        <v>5.8</v>
      </c>
      <c r="J1526" s="3">
        <v>14597405</v>
      </c>
      <c r="K1526">
        <f t="shared" si="54"/>
        <v>1.3775047412552699E-3</v>
      </c>
      <c r="R1526" s="12" t="str">
        <f ca="1">IFERROR(__xludf.DUMMYFUNCTION("""COMPUTED_VALUE"""),"Rugrats in Paris: The Movie ")</f>
        <v>Rugrats in Paris: The Movie </v>
      </c>
      <c r="S1526" s="12">
        <f t="shared" si="55"/>
        <v>2505000</v>
      </c>
    </row>
    <row r="1527" spans="1:19" x14ac:dyDescent="0.3">
      <c r="A1527" s="2" t="s">
        <v>1117</v>
      </c>
      <c r="B1527" s="2">
        <v>98</v>
      </c>
      <c r="C1527" s="3">
        <v>66002004</v>
      </c>
      <c r="D1527" s="3" t="s">
        <v>5818</v>
      </c>
      <c r="E1527" s="2" t="s">
        <v>3272</v>
      </c>
      <c r="F1527" s="2" t="s">
        <v>10</v>
      </c>
      <c r="G1527" s="2" t="s">
        <v>11</v>
      </c>
      <c r="H1527" s="2">
        <v>17000000</v>
      </c>
      <c r="I1527" s="2">
        <v>5.9</v>
      </c>
      <c r="J1527" s="3">
        <v>14612840</v>
      </c>
      <c r="K1527">
        <f t="shared" si="54"/>
        <v>1.3775047412552699E-3</v>
      </c>
      <c r="R1527" s="12" t="str">
        <f ca="1">IFERROR(__xludf.DUMMYFUNCTION("""COMPUTED_VALUE"""),"The Prince of Tides ")</f>
        <v>The Prince of Tides </v>
      </c>
      <c r="S1527" s="12">
        <f t="shared" si="55"/>
        <v>10235293</v>
      </c>
    </row>
    <row r="1528" spans="1:19" x14ac:dyDescent="0.3">
      <c r="A1528" s="2" t="s">
        <v>43</v>
      </c>
      <c r="B1528" s="2">
        <v>98</v>
      </c>
      <c r="C1528" s="3">
        <v>24004159</v>
      </c>
      <c r="D1528" s="3" t="s">
        <v>5753</v>
      </c>
      <c r="E1528" s="2" t="s">
        <v>552</v>
      </c>
      <c r="F1528" s="2" t="s">
        <v>10</v>
      </c>
      <c r="G1528" s="2" t="s">
        <v>11</v>
      </c>
      <c r="H1528" s="2">
        <v>90000000</v>
      </c>
      <c r="I1528" s="2">
        <v>7.3</v>
      </c>
      <c r="J1528" s="3">
        <v>14637490</v>
      </c>
      <c r="K1528">
        <f t="shared" si="54"/>
        <v>1.3775047412552699E-3</v>
      </c>
      <c r="R1528" s="12" t="str">
        <f ca="1">IFERROR(__xludf.DUMMYFUNCTION("""COMPUTED_VALUE"""),"Legends of the Fall ")</f>
        <v>Legends of the Fall </v>
      </c>
      <c r="S1528" s="12">
        <f t="shared" si="55"/>
        <v>-49499118</v>
      </c>
    </row>
    <row r="1529" spans="1:19" x14ac:dyDescent="0.3">
      <c r="A1529" s="2" t="s">
        <v>266</v>
      </c>
      <c r="B1529" s="2">
        <v>102</v>
      </c>
      <c r="C1529" s="3">
        <v>108200000</v>
      </c>
      <c r="D1529" s="3" t="s">
        <v>6227</v>
      </c>
      <c r="E1529" s="2" t="s">
        <v>1519</v>
      </c>
      <c r="F1529" s="2" t="s">
        <v>10</v>
      </c>
      <c r="G1529" s="2" t="s">
        <v>11</v>
      </c>
      <c r="H1529" s="2">
        <v>45000000</v>
      </c>
      <c r="I1529" s="2">
        <v>7.3</v>
      </c>
      <c r="J1529" s="3">
        <v>14673301</v>
      </c>
      <c r="K1529">
        <f t="shared" si="54"/>
        <v>1.3775047412552699E-3</v>
      </c>
      <c r="R1529" s="12" t="str">
        <f ca="1">IFERROR(__xludf.DUMMYFUNCTION("""COMPUTED_VALUE"""),"Up in the Air ")</f>
        <v>Up in the Air </v>
      </c>
      <c r="S1529" s="12">
        <f t="shared" si="55"/>
        <v>-58012713</v>
      </c>
    </row>
    <row r="1530" spans="1:19" x14ac:dyDescent="0.3">
      <c r="A1530" s="2" t="s">
        <v>965</v>
      </c>
      <c r="B1530" s="2">
        <v>141</v>
      </c>
      <c r="C1530" s="3">
        <v>43568507</v>
      </c>
      <c r="D1530" s="3" t="s">
        <v>5767</v>
      </c>
      <c r="E1530" s="2" t="s">
        <v>3689</v>
      </c>
      <c r="F1530" s="2" t="s">
        <v>2071</v>
      </c>
      <c r="G1530" s="2" t="s">
        <v>11</v>
      </c>
      <c r="H1530" s="2">
        <v>19000000</v>
      </c>
      <c r="I1530" s="2">
        <v>7.9</v>
      </c>
      <c r="J1530" s="3">
        <v>14677654</v>
      </c>
      <c r="K1530">
        <f t="shared" si="54"/>
        <v>1.3775047412552699E-3</v>
      </c>
      <c r="R1530" s="12" t="str">
        <f ca="1">IFERROR(__xludf.DUMMYFUNCTION("""COMPUTED_VALUE"""),"About Schmidt ")</f>
        <v>About Schmidt </v>
      </c>
      <c r="S1530" s="12">
        <f t="shared" si="55"/>
        <v>-231426209</v>
      </c>
    </row>
    <row r="1531" spans="1:19" x14ac:dyDescent="0.3">
      <c r="A1531" s="2" t="s">
        <v>762</v>
      </c>
      <c r="B1531" s="2">
        <v>109</v>
      </c>
      <c r="C1531" s="3">
        <v>36447959</v>
      </c>
      <c r="D1531" s="3" t="s">
        <v>6085</v>
      </c>
      <c r="E1531" s="2" t="s">
        <v>2207</v>
      </c>
      <c r="F1531" s="2" t="s">
        <v>10</v>
      </c>
      <c r="G1531" s="2" t="s">
        <v>11</v>
      </c>
      <c r="H1531" s="2">
        <v>45000000</v>
      </c>
      <c r="I1531" s="2">
        <v>6.9</v>
      </c>
      <c r="J1531" s="3">
        <v>14792779</v>
      </c>
      <c r="K1531">
        <f t="shared" si="54"/>
        <v>1.3775047412552699E-3</v>
      </c>
      <c r="R1531" s="12" t="str">
        <f ca="1">IFERROR(__xludf.DUMMYFUNCTION("""COMPUTED_VALUE"""),"Warm Bodies ")</f>
        <v>Warm Bodies </v>
      </c>
      <c r="S1531" s="12">
        <f t="shared" si="55"/>
        <v>-139372628</v>
      </c>
    </row>
    <row r="1532" spans="1:19" x14ac:dyDescent="0.3">
      <c r="A1532" s="2" t="s">
        <v>4506</v>
      </c>
      <c r="B1532" s="2">
        <v>122</v>
      </c>
      <c r="C1532" s="3">
        <v>33643461</v>
      </c>
      <c r="D1532" s="3" t="s">
        <v>5849</v>
      </c>
      <c r="E1532" s="2" t="s">
        <v>4507</v>
      </c>
      <c r="F1532" s="2" t="s">
        <v>10</v>
      </c>
      <c r="G1532" s="2" t="s">
        <v>11</v>
      </c>
      <c r="H1532" s="2">
        <v>6000000</v>
      </c>
      <c r="I1532" s="2">
        <v>7</v>
      </c>
      <c r="J1532" s="3">
        <v>14793904</v>
      </c>
      <c r="K1532">
        <f t="shared" si="54"/>
        <v>1.3775047412552699E-3</v>
      </c>
      <c r="R1532" s="12" t="str">
        <f ca="1">IFERROR(__xludf.DUMMYFUNCTION("""COMPUTED_VALUE"""),"Looper ")</f>
        <v>Looper </v>
      </c>
      <c r="S1532" s="12">
        <f t="shared" si="55"/>
        <v>67862546</v>
      </c>
    </row>
    <row r="1533" spans="1:19" x14ac:dyDescent="0.3">
      <c r="A1533" s="2" t="s">
        <v>2756</v>
      </c>
      <c r="B1533" s="2">
        <v>112</v>
      </c>
      <c r="C1533" s="3">
        <v>77564037</v>
      </c>
      <c r="D1533" s="3" t="s">
        <v>5773</v>
      </c>
      <c r="E1533" s="2" t="s">
        <v>4826</v>
      </c>
      <c r="F1533" s="2" t="s">
        <v>10</v>
      </c>
      <c r="G1533" s="2" t="s">
        <v>98</v>
      </c>
      <c r="H1533" s="2">
        <v>16000000</v>
      </c>
      <c r="I1533" s="2">
        <v>6.2</v>
      </c>
      <c r="J1533" s="3">
        <v>14821531</v>
      </c>
      <c r="K1533">
        <f t="shared" si="54"/>
        <v>1.3775047412552699E-3</v>
      </c>
      <c r="R1533" s="12" t="str">
        <f ca="1">IFERROR(__xludf.DUMMYFUNCTION("""COMPUTED_VALUE"""),"Down to Earth ")</f>
        <v>Down to Earth </v>
      </c>
      <c r="S1533" s="12">
        <f t="shared" si="55"/>
        <v>-88958772</v>
      </c>
    </row>
    <row r="1534" spans="1:19" x14ac:dyDescent="0.3">
      <c r="A1534" s="2" t="s">
        <v>4984</v>
      </c>
      <c r="B1534" s="2">
        <v>120</v>
      </c>
      <c r="C1534" s="3">
        <v>59475623</v>
      </c>
      <c r="D1534" s="3" t="s">
        <v>6228</v>
      </c>
      <c r="E1534" s="2" t="s">
        <v>4985</v>
      </c>
      <c r="F1534" s="2" t="s">
        <v>10</v>
      </c>
      <c r="G1534" s="2" t="s">
        <v>11</v>
      </c>
      <c r="H1534" s="2">
        <v>2883848</v>
      </c>
      <c r="I1534" s="2">
        <v>8.3000000000000007</v>
      </c>
      <c r="J1534" s="3">
        <v>14879556</v>
      </c>
      <c r="K1534">
        <f t="shared" si="54"/>
        <v>1.3775047412552699E-3</v>
      </c>
      <c r="R1534" s="12" t="str">
        <f ca="1">IFERROR(__xludf.DUMMYFUNCTION("""COMPUTED_VALUE"""),"Babe ")</f>
        <v>Babe </v>
      </c>
      <c r="S1534" s="12">
        <f t="shared" si="55"/>
        <v>-33533912</v>
      </c>
    </row>
    <row r="1535" spans="1:19" x14ac:dyDescent="0.3">
      <c r="A1535" s="2" t="s">
        <v>4182</v>
      </c>
      <c r="B1535" s="2">
        <v>91</v>
      </c>
      <c r="C1535" s="3">
        <v>18352454</v>
      </c>
      <c r="D1535" s="3" t="s">
        <v>5930</v>
      </c>
      <c r="E1535" s="2" t="s">
        <v>4183</v>
      </c>
      <c r="F1535" s="2" t="s">
        <v>10</v>
      </c>
      <c r="G1535" s="2" t="s">
        <v>11</v>
      </c>
      <c r="H1535" s="2">
        <v>9000000</v>
      </c>
      <c r="I1535" s="2">
        <v>4.9000000000000004</v>
      </c>
      <c r="J1535" s="3">
        <v>14888028</v>
      </c>
      <c r="K1535">
        <f t="shared" si="54"/>
        <v>1.3775047412552699E-3</v>
      </c>
      <c r="R1535" s="12" t="str">
        <f ca="1">IFERROR(__xludf.DUMMYFUNCTION("""COMPUTED_VALUE"""),"Hope Springs ")</f>
        <v>Hope Springs </v>
      </c>
      <c r="S1535" s="12">
        <f t="shared" si="55"/>
        <v>14918501</v>
      </c>
    </row>
    <row r="1536" spans="1:19" x14ac:dyDescent="0.3">
      <c r="A1536" s="2" t="s">
        <v>4313</v>
      </c>
      <c r="B1536" s="2">
        <v>90</v>
      </c>
      <c r="C1536" s="3">
        <v>65500000</v>
      </c>
      <c r="D1536" s="3" t="s">
        <v>6026</v>
      </c>
      <c r="E1536" s="2" t="s">
        <v>4314</v>
      </c>
      <c r="F1536" s="2" t="s">
        <v>10</v>
      </c>
      <c r="G1536" s="2" t="s">
        <v>16</v>
      </c>
      <c r="H1536" s="2">
        <v>7900000</v>
      </c>
      <c r="I1536" s="2">
        <v>6.9</v>
      </c>
      <c r="J1536" s="3">
        <v>14891000</v>
      </c>
      <c r="K1536">
        <f t="shared" si="54"/>
        <v>1.3775047412552699E-3</v>
      </c>
      <c r="R1536" s="12" t="str">
        <f ca="1">IFERROR(__xludf.DUMMYFUNCTION("""COMPUTED_VALUE"""),"Forgetting Sarah Marshall ")</f>
        <v>Forgetting Sarah Marshall </v>
      </c>
      <c r="S1536" s="12">
        <f t="shared" si="55"/>
        <v>10205825</v>
      </c>
    </row>
    <row r="1537" spans="1:19" x14ac:dyDescent="0.3">
      <c r="A1537" s="2" t="s">
        <v>2704</v>
      </c>
      <c r="B1537" s="2">
        <v>97</v>
      </c>
      <c r="C1537" s="3">
        <v>38916903</v>
      </c>
      <c r="D1537" s="3" t="s">
        <v>6163</v>
      </c>
      <c r="E1537" s="2" t="s">
        <v>5713</v>
      </c>
      <c r="F1537" s="2" t="s">
        <v>10</v>
      </c>
      <c r="G1537" s="2" t="s">
        <v>71</v>
      </c>
      <c r="H1537" s="3">
        <v>474544677</v>
      </c>
      <c r="I1537" s="2">
        <v>7.3</v>
      </c>
      <c r="J1537" s="3">
        <v>14938570</v>
      </c>
      <c r="K1537">
        <f t="shared" si="54"/>
        <v>1.3775047412552699E-3</v>
      </c>
      <c r="R1537" s="12" t="str">
        <f ca="1">IFERROR(__xludf.DUMMYFUNCTION("""COMPUTED_VALUE"""),"Four Brothers ")</f>
        <v>Four Brothers </v>
      </c>
      <c r="S1537" s="12">
        <f t="shared" si="55"/>
        <v>-51785745</v>
      </c>
    </row>
    <row r="1538" spans="1:19" x14ac:dyDescent="0.3">
      <c r="A1538" s="2" t="s">
        <v>374</v>
      </c>
      <c r="B1538" s="2">
        <v>121</v>
      </c>
      <c r="C1538" s="3">
        <v>11227940</v>
      </c>
      <c r="D1538" s="3" t="s">
        <v>5797</v>
      </c>
      <c r="E1538" s="2" t="s">
        <v>375</v>
      </c>
      <c r="F1538" s="2" t="s">
        <v>10</v>
      </c>
      <c r="G1538" s="2" t="s">
        <v>11</v>
      </c>
      <c r="H1538" s="2">
        <v>120000000</v>
      </c>
      <c r="I1538" s="2">
        <v>5.3</v>
      </c>
      <c r="J1538" s="3">
        <v>14942422</v>
      </c>
      <c r="K1538">
        <f t="shared" ref="K1538:K1601" si="56">CORREL(H$2:H$3941,J$2:J$3941)</f>
        <v>1.3775047412552699E-3</v>
      </c>
      <c r="R1538" s="12" t="str">
        <f ca="1">IFERROR(__xludf.DUMMYFUNCTION("""COMPUTED_VALUE"""),"Baby Mama ")</f>
        <v>Baby Mama </v>
      </c>
      <c r="S1538" s="12">
        <f t="shared" si="55"/>
        <v>73400692</v>
      </c>
    </row>
    <row r="1539" spans="1:19" x14ac:dyDescent="0.3">
      <c r="A1539" s="2" t="s">
        <v>3956</v>
      </c>
      <c r="B1539" s="2">
        <v>145</v>
      </c>
      <c r="C1539" s="3">
        <v>7221458</v>
      </c>
      <c r="D1539" s="3" t="s">
        <v>6036</v>
      </c>
      <c r="E1539" s="2" t="s">
        <v>3957</v>
      </c>
      <c r="F1539" s="2" t="s">
        <v>723</v>
      </c>
      <c r="G1539" s="2" t="s">
        <v>3044</v>
      </c>
      <c r="H1539" s="2">
        <v>10818775</v>
      </c>
      <c r="I1539" s="2">
        <v>6.6</v>
      </c>
      <c r="J1539" s="3">
        <v>14946229</v>
      </c>
      <c r="K1539">
        <f t="shared" si="56"/>
        <v>1.3775047412552699E-3</v>
      </c>
      <c r="R1539" s="12" t="str">
        <f ca="1">IFERROR(__xludf.DUMMYFUNCTION("""COMPUTED_VALUE"""),"Hope Floats ")</f>
        <v>Hope Floats </v>
      </c>
      <c r="S1539" s="12">
        <f t="shared" si="55"/>
        <v>-8565133</v>
      </c>
    </row>
    <row r="1540" spans="1:19" x14ac:dyDescent="0.3">
      <c r="A1540" s="2" t="s">
        <v>772</v>
      </c>
      <c r="B1540" s="2">
        <v>110</v>
      </c>
      <c r="C1540" s="3">
        <v>11284657</v>
      </c>
      <c r="D1540" s="3" t="s">
        <v>6207</v>
      </c>
      <c r="E1540" s="2" t="s">
        <v>1522</v>
      </c>
      <c r="F1540" s="2" t="s">
        <v>10</v>
      </c>
      <c r="G1540" s="2" t="s">
        <v>11</v>
      </c>
      <c r="H1540" s="2">
        <v>45000000</v>
      </c>
      <c r="I1540" s="2">
        <v>7.1</v>
      </c>
      <c r="J1540" s="3">
        <v>14967182</v>
      </c>
      <c r="K1540">
        <f t="shared" si="56"/>
        <v>1.3775047412552699E-3</v>
      </c>
      <c r="R1540" s="12" t="str">
        <f ca="1">IFERROR(__xludf.DUMMYFUNCTION("""COMPUTED_VALUE"""),"Bride Wars ")</f>
        <v>Bride Wars </v>
      </c>
      <c r="S1540" s="12">
        <f t="shared" si="55"/>
        <v>-158620685</v>
      </c>
    </row>
    <row r="1541" spans="1:19" x14ac:dyDescent="0.3">
      <c r="A1541" s="2" t="s">
        <v>33</v>
      </c>
      <c r="B1541" s="2">
        <v>112</v>
      </c>
      <c r="C1541" s="3">
        <v>23993605</v>
      </c>
      <c r="D1541" s="3" t="s">
        <v>6090</v>
      </c>
      <c r="E1541" s="2" t="s">
        <v>4768</v>
      </c>
      <c r="F1541" s="2" t="s">
        <v>10</v>
      </c>
      <c r="G1541" s="2" t="s">
        <v>11</v>
      </c>
      <c r="H1541" s="2">
        <v>4000000</v>
      </c>
      <c r="I1541" s="2">
        <v>7.1</v>
      </c>
      <c r="J1541" s="3">
        <v>14983572</v>
      </c>
      <c r="K1541">
        <f t="shared" si="56"/>
        <v>1.3775047412552699E-3</v>
      </c>
      <c r="R1541" s="12" t="str">
        <f ca="1">IFERROR(__xludf.DUMMYFUNCTION("""COMPUTED_VALUE"""),"Without a Paddle ")</f>
        <v>Without a Paddle </v>
      </c>
      <c r="S1541" s="12">
        <f t="shared" si="55"/>
        <v>30991137</v>
      </c>
    </row>
    <row r="1542" spans="1:19" x14ac:dyDescent="0.3">
      <c r="A1542" s="2" t="s">
        <v>4521</v>
      </c>
      <c r="B1542" s="2">
        <v>90</v>
      </c>
      <c r="C1542" s="2">
        <v>4542775</v>
      </c>
      <c r="D1542" s="3" t="s">
        <v>5936</v>
      </c>
      <c r="E1542" s="2" t="s">
        <v>4522</v>
      </c>
      <c r="F1542" s="2" t="s">
        <v>10</v>
      </c>
      <c r="G1542" s="2" t="s">
        <v>11</v>
      </c>
      <c r="H1542" s="2">
        <v>6000000</v>
      </c>
      <c r="I1542" s="2">
        <v>5.0999999999999996</v>
      </c>
      <c r="J1542" s="3">
        <v>14989761</v>
      </c>
      <c r="K1542">
        <f t="shared" si="56"/>
        <v>1.3775047412552699E-3</v>
      </c>
      <c r="R1542" s="12" t="str">
        <f ca="1">IFERROR(__xludf.DUMMYFUNCTION("""COMPUTED_VALUE"""),"13 Going on 30 ")</f>
        <v>13 Going on 30 </v>
      </c>
      <c r="S1542" s="12">
        <f t="shared" si="55"/>
        <v>22770045</v>
      </c>
    </row>
    <row r="1543" spans="1:19" x14ac:dyDescent="0.3">
      <c r="A1543" s="2" t="s">
        <v>2563</v>
      </c>
      <c r="B1543" s="2">
        <v>98</v>
      </c>
      <c r="C1543" s="3">
        <v>14567883</v>
      </c>
      <c r="D1543" s="3" t="s">
        <v>1703</v>
      </c>
      <c r="E1543" s="2" t="s">
        <v>2564</v>
      </c>
      <c r="F1543" s="2" t="s">
        <v>10</v>
      </c>
      <c r="G1543" s="2" t="s">
        <v>504</v>
      </c>
      <c r="H1543" s="2">
        <v>25000000</v>
      </c>
      <c r="I1543" s="2">
        <v>6.6</v>
      </c>
      <c r="J1543" s="3">
        <v>14998070</v>
      </c>
      <c r="K1543">
        <f t="shared" si="56"/>
        <v>1.3775047412552699E-3</v>
      </c>
      <c r="R1543" s="12" t="str">
        <f ca="1">IFERROR(__xludf.DUMMYFUNCTION("""COMPUTED_VALUE"""),"Midnight in Paris ")</f>
        <v>Midnight in Paris </v>
      </c>
      <c r="S1543" s="12">
        <f t="shared" si="55"/>
        <v>57017784</v>
      </c>
    </row>
    <row r="1544" spans="1:19" x14ac:dyDescent="0.3">
      <c r="A1544" s="2" t="s">
        <v>1428</v>
      </c>
      <c r="B1544" s="2">
        <v>91</v>
      </c>
      <c r="C1544" s="2">
        <v>1040879</v>
      </c>
      <c r="D1544" s="3" t="s">
        <v>5947</v>
      </c>
      <c r="E1544" s="2" t="s">
        <v>4701</v>
      </c>
      <c r="F1544" s="2" t="s">
        <v>10</v>
      </c>
      <c r="G1544" s="2" t="s">
        <v>11</v>
      </c>
      <c r="H1544" s="2">
        <v>7000000</v>
      </c>
      <c r="I1544" s="2">
        <v>7.1</v>
      </c>
      <c r="J1544" s="3">
        <v>15045676</v>
      </c>
      <c r="K1544">
        <f t="shared" si="56"/>
        <v>1.3775047412552699E-3</v>
      </c>
      <c r="R1544" s="12" t="str">
        <f ca="1">IFERROR(__xludf.DUMMYFUNCTION("""COMPUTED_VALUE"""),"The Nut Job ")</f>
        <v>The Nut Job </v>
      </c>
      <c r="S1544" s="12">
        <f t="shared" si="55"/>
        <v>56505958</v>
      </c>
    </row>
    <row r="1545" spans="1:19" x14ac:dyDescent="0.3">
      <c r="A1545" s="2" t="s">
        <v>5400</v>
      </c>
      <c r="B1545" s="2">
        <v>100</v>
      </c>
      <c r="C1545" s="3">
        <v>60655503</v>
      </c>
      <c r="D1545" s="3" t="s">
        <v>520</v>
      </c>
      <c r="E1545" s="2" t="s">
        <v>5401</v>
      </c>
      <c r="F1545" s="2" t="s">
        <v>10</v>
      </c>
      <c r="G1545" s="2" t="s">
        <v>11</v>
      </c>
      <c r="H1545" s="2">
        <v>950000</v>
      </c>
      <c r="I1545" s="2">
        <v>6</v>
      </c>
      <c r="J1545" s="3">
        <v>15047419</v>
      </c>
      <c r="K1545">
        <f t="shared" si="56"/>
        <v>1.3775047412552699E-3</v>
      </c>
      <c r="R1545" s="12" t="str">
        <f ca="1">IFERROR(__xludf.DUMMYFUNCTION("""COMPUTED_VALUE"""),"Blow ")</f>
        <v>Blow </v>
      </c>
      <c r="S1545" s="12">
        <f t="shared" si="55"/>
        <v>-6669173</v>
      </c>
    </row>
    <row r="1546" spans="1:19" x14ac:dyDescent="0.3">
      <c r="A1546" s="2" t="s">
        <v>2861</v>
      </c>
      <c r="B1546" s="2">
        <v>102</v>
      </c>
      <c r="C1546" s="3">
        <v>41407470</v>
      </c>
      <c r="D1546" s="3" t="s">
        <v>5776</v>
      </c>
      <c r="E1546" s="2" t="s">
        <v>3395</v>
      </c>
      <c r="F1546" s="2" t="s">
        <v>10</v>
      </c>
      <c r="G1546" s="2" t="s">
        <v>11</v>
      </c>
      <c r="H1546" s="2">
        <v>15000000</v>
      </c>
      <c r="I1546" s="2">
        <v>6.6</v>
      </c>
      <c r="J1546" s="3">
        <v>15062898</v>
      </c>
      <c r="K1546">
        <f t="shared" si="56"/>
        <v>1.3775047412552699E-3</v>
      </c>
      <c r="R1546" s="12" t="str">
        <f ca="1">IFERROR(__xludf.DUMMYFUNCTION("""COMPUTED_VALUE"""),"Message in a Bottle ")</f>
        <v>Message in a Bottle </v>
      </c>
      <c r="S1546" s="12">
        <f t="shared" si="55"/>
        <v>8087732</v>
      </c>
    </row>
    <row r="1547" spans="1:19" x14ac:dyDescent="0.3">
      <c r="A1547" s="2" t="s">
        <v>4097</v>
      </c>
      <c r="B1547" s="2">
        <v>88</v>
      </c>
      <c r="C1547" s="3">
        <v>1110186</v>
      </c>
      <c r="D1547" s="3" t="s">
        <v>5847</v>
      </c>
      <c r="E1547" s="2" t="s">
        <v>5187</v>
      </c>
      <c r="F1547" s="2" t="s">
        <v>10</v>
      </c>
      <c r="G1547" s="2" t="s">
        <v>11</v>
      </c>
      <c r="H1547" s="2">
        <v>1500000</v>
      </c>
      <c r="I1547" s="2">
        <v>7.4</v>
      </c>
      <c r="J1547" s="3">
        <v>15071514</v>
      </c>
      <c r="K1547">
        <f t="shared" si="56"/>
        <v>1.3775047412552699E-3</v>
      </c>
      <c r="R1547" s="12" t="str">
        <f ca="1">IFERROR(__xludf.DUMMYFUNCTION("""COMPUTED_VALUE"""),"Star Trek V: The Final Frontier ")</f>
        <v>Star Trek V: The Final Frontier </v>
      </c>
      <c r="S1547" s="12">
        <f t="shared" si="55"/>
        <v>-45993274</v>
      </c>
    </row>
    <row r="1548" spans="1:19" x14ac:dyDescent="0.3">
      <c r="A1548" s="2" t="s">
        <v>2521</v>
      </c>
      <c r="B1548" s="2">
        <v>88</v>
      </c>
      <c r="C1548" s="3">
        <v>15100000</v>
      </c>
      <c r="D1548" s="3" t="s">
        <v>6229</v>
      </c>
      <c r="E1548" s="2" t="s">
        <v>2522</v>
      </c>
      <c r="F1548" s="2" t="s">
        <v>10</v>
      </c>
      <c r="G1548" s="2" t="s">
        <v>11</v>
      </c>
      <c r="H1548" s="2">
        <v>25000000</v>
      </c>
      <c r="I1548" s="2">
        <v>6</v>
      </c>
      <c r="J1548" s="3">
        <v>15081783</v>
      </c>
      <c r="K1548">
        <f t="shared" si="56"/>
        <v>1.3775047412552699E-3</v>
      </c>
      <c r="R1548" s="12" t="str">
        <f ca="1">IFERROR(__xludf.DUMMYFUNCTION("""COMPUTED_VALUE"""),"Like Mike ")</f>
        <v>Like Mike </v>
      </c>
      <c r="S1548" s="12">
        <f t="shared" si="55"/>
        <v>49680848</v>
      </c>
    </row>
    <row r="1549" spans="1:19" x14ac:dyDescent="0.3">
      <c r="A1549" s="2" t="s">
        <v>712</v>
      </c>
      <c r="B1549" s="2">
        <v>110</v>
      </c>
      <c r="C1549" s="3">
        <v>23650000</v>
      </c>
      <c r="D1549" s="3" t="s">
        <v>5813</v>
      </c>
      <c r="E1549" s="2" t="s">
        <v>1237</v>
      </c>
      <c r="F1549" s="2" t="s">
        <v>10</v>
      </c>
      <c r="G1549" s="2" t="s">
        <v>11</v>
      </c>
      <c r="H1549" s="2">
        <v>55000000</v>
      </c>
      <c r="I1549" s="2">
        <v>6.8</v>
      </c>
      <c r="J1549" s="3">
        <v>15091542</v>
      </c>
      <c r="K1549">
        <f t="shared" si="56"/>
        <v>1.3775047412552699E-3</v>
      </c>
      <c r="R1549" s="12" t="str">
        <f ca="1">IFERROR(__xludf.DUMMYFUNCTION("""COMPUTED_VALUE"""),"Naked Gun 33 1/3: The Final Insult ")</f>
        <v>Naked Gun 33 1/3: The Final Insult </v>
      </c>
      <c r="S1549" s="12">
        <f t="shared" si="55"/>
        <v>49002004</v>
      </c>
    </row>
    <row r="1550" spans="1:19" x14ac:dyDescent="0.3">
      <c r="A1550" s="2" t="s">
        <v>1898</v>
      </c>
      <c r="B1550" s="2">
        <v>96</v>
      </c>
      <c r="C1550" s="3">
        <v>38747385</v>
      </c>
      <c r="D1550" s="3" t="s">
        <v>5770</v>
      </c>
      <c r="E1550" s="2" t="s">
        <v>1899</v>
      </c>
      <c r="F1550" s="2" t="s">
        <v>10</v>
      </c>
      <c r="G1550" s="2" t="s">
        <v>11</v>
      </c>
      <c r="H1550" s="2">
        <v>37000000</v>
      </c>
      <c r="I1550" s="2">
        <v>6</v>
      </c>
      <c r="J1550" s="3">
        <v>15100000</v>
      </c>
      <c r="K1550">
        <f t="shared" si="56"/>
        <v>1.3775047412552699E-3</v>
      </c>
      <c r="R1550" s="12" t="str">
        <f ca="1">IFERROR(__xludf.DUMMYFUNCTION("""COMPUTED_VALUE"""),"A View to a Kill ")</f>
        <v>A View to a Kill </v>
      </c>
      <c r="S1550" s="12">
        <f t="shared" si="55"/>
        <v>-65995841</v>
      </c>
    </row>
    <row r="1551" spans="1:19" x14ac:dyDescent="0.3">
      <c r="A1551" s="2" t="s">
        <v>231</v>
      </c>
      <c r="B1551" s="2">
        <v>119</v>
      </c>
      <c r="C1551" s="3">
        <v>78120196</v>
      </c>
      <c r="D1551" s="3" t="s">
        <v>5849</v>
      </c>
      <c r="E1551" s="2" t="s">
        <v>4190</v>
      </c>
      <c r="F1551" s="2" t="s">
        <v>10</v>
      </c>
      <c r="G1551" s="2" t="s">
        <v>11</v>
      </c>
      <c r="H1551" s="2">
        <v>8500000</v>
      </c>
      <c r="I1551" s="2">
        <v>6.7</v>
      </c>
      <c r="J1551" s="3">
        <v>15126948</v>
      </c>
      <c r="K1551">
        <f t="shared" si="56"/>
        <v>1.3775047412552699E-3</v>
      </c>
      <c r="R1551" s="12" t="str">
        <f ca="1">IFERROR(__xludf.DUMMYFUNCTION("""COMPUTED_VALUE"""),"The Curse of the Were-Rabbit ")</f>
        <v>The Curse of the Were-Rabbit </v>
      </c>
      <c r="S1551" s="12">
        <f t="shared" si="55"/>
        <v>63200000</v>
      </c>
    </row>
    <row r="1552" spans="1:19" x14ac:dyDescent="0.3">
      <c r="A1552" s="2" t="s">
        <v>2570</v>
      </c>
      <c r="B1552" s="2">
        <v>120</v>
      </c>
      <c r="C1552" s="2">
        <v>1055654</v>
      </c>
      <c r="D1552" s="3" t="s">
        <v>6095</v>
      </c>
      <c r="E1552" s="2" t="s">
        <v>4089</v>
      </c>
      <c r="F1552" s="2" t="s">
        <v>10</v>
      </c>
      <c r="G1552" s="2" t="s">
        <v>199</v>
      </c>
      <c r="H1552" s="2">
        <v>10000000</v>
      </c>
      <c r="I1552" s="2">
        <v>7.3</v>
      </c>
      <c r="J1552" s="3">
        <v>15131330</v>
      </c>
      <c r="K1552">
        <f t="shared" si="56"/>
        <v>1.3775047412552699E-3</v>
      </c>
      <c r="R1552" s="12" t="str">
        <f ca="1">IFERROR(__xludf.DUMMYFUNCTION("""COMPUTED_VALUE"""),"P.S. I Love You ")</f>
        <v>P.S. I Love You </v>
      </c>
      <c r="S1552" s="12">
        <f t="shared" si="55"/>
        <v>24568507</v>
      </c>
    </row>
    <row r="1553" spans="1:19" x14ac:dyDescent="0.3">
      <c r="A1553" s="2" t="s">
        <v>810</v>
      </c>
      <c r="B1553" s="2">
        <v>110</v>
      </c>
      <c r="C1553" s="3">
        <v>85463309</v>
      </c>
      <c r="D1553" s="3" t="s">
        <v>6144</v>
      </c>
      <c r="E1553" s="2" t="s">
        <v>4651</v>
      </c>
      <c r="F1553" s="2" t="s">
        <v>10</v>
      </c>
      <c r="G1553" s="2" t="s">
        <v>11</v>
      </c>
      <c r="H1553" s="2">
        <v>5000000</v>
      </c>
      <c r="I1553" s="2">
        <v>7.2</v>
      </c>
      <c r="J1553" s="3">
        <v>15152879</v>
      </c>
      <c r="K1553">
        <f t="shared" si="56"/>
        <v>1.3775047412552699E-3</v>
      </c>
      <c r="R1553" s="12" t="str">
        <f ca="1">IFERROR(__xludf.DUMMYFUNCTION("""COMPUTED_VALUE"""),"Atonement ")</f>
        <v>Atonement </v>
      </c>
      <c r="S1553" s="12">
        <f t="shared" si="55"/>
        <v>-8552041</v>
      </c>
    </row>
    <row r="1554" spans="1:19" x14ac:dyDescent="0.3">
      <c r="A1554" s="2" t="s">
        <v>183</v>
      </c>
      <c r="B1554" s="2">
        <v>124</v>
      </c>
      <c r="C1554" s="2">
        <v>172620724</v>
      </c>
      <c r="D1554" s="3" t="s">
        <v>6230</v>
      </c>
      <c r="E1554" s="2" t="s">
        <v>611</v>
      </c>
      <c r="F1554" s="2" t="s">
        <v>10</v>
      </c>
      <c r="G1554" s="2" t="s">
        <v>11</v>
      </c>
      <c r="H1554" s="2">
        <v>85000000</v>
      </c>
      <c r="I1554" s="2">
        <v>6.4</v>
      </c>
      <c r="J1554" s="3">
        <v>15155772</v>
      </c>
      <c r="K1554">
        <f t="shared" si="56"/>
        <v>1.3775047412552699E-3</v>
      </c>
      <c r="R1554" s="12" t="str">
        <f ca="1">IFERROR(__xludf.DUMMYFUNCTION("""COMPUTED_VALUE"""),"Letters to Juliet ")</f>
        <v>Letters to Juliet </v>
      </c>
      <c r="S1554" s="12">
        <f t="shared" si="55"/>
        <v>27643461</v>
      </c>
    </row>
    <row r="1555" spans="1:19" x14ac:dyDescent="0.3">
      <c r="A1555" s="2" t="s">
        <v>3786</v>
      </c>
      <c r="B1555" s="2">
        <v>93</v>
      </c>
      <c r="C1555" s="3">
        <v>53245055</v>
      </c>
      <c r="D1555" s="3" t="s">
        <v>5818</v>
      </c>
      <c r="E1555" s="2" t="s">
        <v>3787</v>
      </c>
      <c r="F1555" s="2" t="s">
        <v>10</v>
      </c>
      <c r="G1555" s="2" t="s">
        <v>11</v>
      </c>
      <c r="H1555" s="2">
        <v>12000000</v>
      </c>
      <c r="I1555" s="2">
        <v>3.3</v>
      </c>
      <c r="J1555" s="3">
        <v>15156200</v>
      </c>
      <c r="K1555">
        <f t="shared" si="56"/>
        <v>1.3775047412552699E-3</v>
      </c>
      <c r="R1555" s="12" t="str">
        <f ca="1">IFERROR(__xludf.DUMMYFUNCTION("""COMPUTED_VALUE"""),"Black Rain ")</f>
        <v>Black Rain </v>
      </c>
      <c r="S1555" s="12">
        <f t="shared" si="55"/>
        <v>61564037</v>
      </c>
    </row>
    <row r="1556" spans="1:19" x14ac:dyDescent="0.3">
      <c r="A1556" s="2" t="s">
        <v>4276</v>
      </c>
      <c r="B1556" s="2">
        <v>90</v>
      </c>
      <c r="C1556" s="3">
        <v>41482207</v>
      </c>
      <c r="D1556" s="3" t="s">
        <v>6231</v>
      </c>
      <c r="E1556" s="2" t="s">
        <v>4277</v>
      </c>
      <c r="F1556" s="2" t="s">
        <v>10</v>
      </c>
      <c r="G1556" s="2" t="s">
        <v>11</v>
      </c>
      <c r="H1556" s="2">
        <v>8000000</v>
      </c>
      <c r="I1556" s="2">
        <v>7.3</v>
      </c>
      <c r="J1556" s="3">
        <v>15171475</v>
      </c>
      <c r="K1556">
        <f t="shared" si="56"/>
        <v>1.3775047412552699E-3</v>
      </c>
      <c r="R1556" s="12" t="str">
        <f ca="1">IFERROR(__xludf.DUMMYFUNCTION("""COMPUTED_VALUE"""),"Corpse Bride ")</f>
        <v>Corpse Bride </v>
      </c>
      <c r="S1556" s="12">
        <f t="shared" si="55"/>
        <v>56591775</v>
      </c>
    </row>
    <row r="1557" spans="1:19" x14ac:dyDescent="0.3">
      <c r="A1557" s="2" t="s">
        <v>3263</v>
      </c>
      <c r="B1557" s="2">
        <v>94</v>
      </c>
      <c r="C1557" s="3">
        <v>181360000</v>
      </c>
      <c r="D1557" s="3" t="s">
        <v>5910</v>
      </c>
      <c r="E1557" s="2" t="s">
        <v>3457</v>
      </c>
      <c r="F1557" s="2" t="s">
        <v>10</v>
      </c>
      <c r="G1557" s="2" t="s">
        <v>11</v>
      </c>
      <c r="H1557" s="2">
        <v>15000000</v>
      </c>
      <c r="I1557" s="2">
        <v>5.5</v>
      </c>
      <c r="J1557" s="3">
        <v>15180000</v>
      </c>
      <c r="K1557">
        <f t="shared" si="56"/>
        <v>1.3775047412552699E-3</v>
      </c>
      <c r="R1557" s="12" t="str">
        <f ca="1">IFERROR(__xludf.DUMMYFUNCTION("""COMPUTED_VALUE"""),"Sicario ")</f>
        <v>Sicario </v>
      </c>
      <c r="S1557" s="12">
        <f t="shared" si="55"/>
        <v>9352454</v>
      </c>
    </row>
    <row r="1558" spans="1:19" x14ac:dyDescent="0.3">
      <c r="A1558" s="2" t="s">
        <v>4933</v>
      </c>
      <c r="B1558" s="2">
        <v>90</v>
      </c>
      <c r="C1558" s="3">
        <v>8134217</v>
      </c>
      <c r="D1558" s="3" t="s">
        <v>5839</v>
      </c>
      <c r="E1558" s="2" t="s">
        <v>4934</v>
      </c>
      <c r="F1558" s="2" t="s">
        <v>10</v>
      </c>
      <c r="G1558" s="2" t="s">
        <v>11</v>
      </c>
      <c r="H1558" s="2">
        <v>3000000</v>
      </c>
      <c r="I1558" s="2">
        <v>7</v>
      </c>
      <c r="J1558" s="3">
        <v>15279680</v>
      </c>
      <c r="K1558">
        <f t="shared" si="56"/>
        <v>1.3775047412552699E-3</v>
      </c>
      <c r="R1558" s="12" t="str">
        <f ca="1">IFERROR(__xludf.DUMMYFUNCTION("""COMPUTED_VALUE"""),"Southpaw ")</f>
        <v>Southpaw </v>
      </c>
      <c r="S1558" s="12">
        <f t="shared" si="55"/>
        <v>57600000</v>
      </c>
    </row>
    <row r="1559" spans="1:19" x14ac:dyDescent="0.3">
      <c r="A1559" s="2" t="s">
        <v>1358</v>
      </c>
      <c r="B1559" s="2">
        <v>99</v>
      </c>
      <c r="C1559" s="3">
        <v>33682273</v>
      </c>
      <c r="D1559" s="3" t="s">
        <v>520</v>
      </c>
      <c r="E1559" s="2" t="s">
        <v>1408</v>
      </c>
      <c r="F1559" s="2" t="s">
        <v>10</v>
      </c>
      <c r="G1559" s="2" t="s">
        <v>11</v>
      </c>
      <c r="H1559" s="2">
        <v>40000000</v>
      </c>
      <c r="I1559" s="2">
        <v>6.4</v>
      </c>
      <c r="J1559" s="3">
        <v>15281286</v>
      </c>
      <c r="K1559">
        <f t="shared" si="56"/>
        <v>1.3775047412552699E-3</v>
      </c>
      <c r="R1559" s="12" t="str">
        <f ca="1">IFERROR(__xludf.DUMMYFUNCTION("""COMPUTED_VALUE"""),"Drag Me to Hell ")</f>
        <v>Drag Me to Hell </v>
      </c>
      <c r="S1559" s="12">
        <f t="shared" si="55"/>
        <v>-435627774</v>
      </c>
    </row>
    <row r="1560" spans="1:19" x14ac:dyDescent="0.3">
      <c r="A1560" s="2" t="s">
        <v>2255</v>
      </c>
      <c r="B1560" s="2">
        <v>95</v>
      </c>
      <c r="C1560" s="3">
        <v>47285499</v>
      </c>
      <c r="D1560" s="3" t="s">
        <v>5849</v>
      </c>
      <c r="E1560" s="2" t="s">
        <v>2256</v>
      </c>
      <c r="F1560" s="2" t="s">
        <v>10</v>
      </c>
      <c r="G1560" s="2" t="s">
        <v>11</v>
      </c>
      <c r="H1560" s="2">
        <v>30000000</v>
      </c>
      <c r="I1560" s="2">
        <v>3.7</v>
      </c>
      <c r="J1560" s="3">
        <v>15294553</v>
      </c>
      <c r="K1560">
        <f t="shared" si="56"/>
        <v>1.3775047412552699E-3</v>
      </c>
      <c r="R1560" s="12" t="str">
        <f ca="1">IFERROR(__xludf.DUMMYFUNCTION("""COMPUTED_VALUE"""),"The Age of Adaline ")</f>
        <v>The Age of Adaline </v>
      </c>
      <c r="S1560" s="12">
        <f t="shared" si="55"/>
        <v>-108772060</v>
      </c>
    </row>
    <row r="1561" spans="1:19" x14ac:dyDescent="0.3">
      <c r="A1561" s="2" t="s">
        <v>648</v>
      </c>
      <c r="B1561" s="2">
        <v>123</v>
      </c>
      <c r="C1561" s="3">
        <v>23527955</v>
      </c>
      <c r="D1561" s="3" t="s">
        <v>6051</v>
      </c>
      <c r="E1561" s="2" t="s">
        <v>2919</v>
      </c>
      <c r="F1561" s="2" t="s">
        <v>10</v>
      </c>
      <c r="G1561" s="2" t="s">
        <v>11</v>
      </c>
      <c r="H1561" s="2">
        <v>20000000</v>
      </c>
      <c r="I1561" s="2">
        <v>6.6</v>
      </c>
      <c r="J1561" s="3">
        <v>15361537</v>
      </c>
      <c r="K1561">
        <f t="shared" si="56"/>
        <v>1.3775047412552699E-3</v>
      </c>
      <c r="R1561" s="12" t="str">
        <f ca="1">IFERROR(__xludf.DUMMYFUNCTION("""COMPUTED_VALUE"""),"Secondhand Lions ")</f>
        <v>Secondhand Lions </v>
      </c>
      <c r="S1561" s="12">
        <f t="shared" ref="S1561:S1624" si="57">C1539-H1539</f>
        <v>-3597317</v>
      </c>
    </row>
    <row r="1562" spans="1:19" x14ac:dyDescent="0.3">
      <c r="A1562" s="2" t="s">
        <v>443</v>
      </c>
      <c r="B1562" s="2">
        <v>127</v>
      </c>
      <c r="C1562" s="3">
        <v>97680195</v>
      </c>
      <c r="D1562" s="3" t="s">
        <v>885</v>
      </c>
      <c r="E1562" s="2" t="s">
        <v>444</v>
      </c>
      <c r="F1562" s="2" t="s">
        <v>10</v>
      </c>
      <c r="G1562" s="2" t="s">
        <v>11</v>
      </c>
      <c r="H1562" s="2">
        <v>90000000</v>
      </c>
      <c r="I1562" s="2">
        <v>6.5</v>
      </c>
      <c r="J1562" s="3">
        <v>15369573</v>
      </c>
      <c r="K1562">
        <f t="shared" si="56"/>
        <v>1.3775047412552699E-3</v>
      </c>
      <c r="R1562" s="12" t="str">
        <f ca="1">IFERROR(__xludf.DUMMYFUNCTION("""COMPUTED_VALUE"""),"Step Up 3D ")</f>
        <v>Step Up 3D </v>
      </c>
      <c r="S1562" s="12">
        <f t="shared" si="57"/>
        <v>-33715343</v>
      </c>
    </row>
    <row r="1563" spans="1:19" x14ac:dyDescent="0.3">
      <c r="A1563" s="2" t="s">
        <v>646</v>
      </c>
      <c r="B1563" s="2">
        <v>109</v>
      </c>
      <c r="C1563" s="3">
        <v>30306268</v>
      </c>
      <c r="D1563" s="3" t="s">
        <v>5847</v>
      </c>
      <c r="E1563" s="2" t="s">
        <v>2938</v>
      </c>
      <c r="F1563" s="2" t="s">
        <v>10</v>
      </c>
      <c r="G1563" s="2" t="s">
        <v>16</v>
      </c>
      <c r="H1563" s="2">
        <v>20000000</v>
      </c>
      <c r="I1563" s="2">
        <v>7</v>
      </c>
      <c r="J1563" s="3">
        <v>15408822</v>
      </c>
      <c r="K1563">
        <f t="shared" si="56"/>
        <v>1.3775047412552699E-3</v>
      </c>
      <c r="R1563" s="12" t="str">
        <f ca="1">IFERROR(__xludf.DUMMYFUNCTION("""COMPUTED_VALUE"""),"Blue Crush ")</f>
        <v>Blue Crush </v>
      </c>
      <c r="S1563" s="12">
        <f t="shared" si="57"/>
        <v>19993605</v>
      </c>
    </row>
    <row r="1564" spans="1:19" x14ac:dyDescent="0.3">
      <c r="A1564" s="2" t="s">
        <v>2634</v>
      </c>
      <c r="B1564" s="2">
        <v>85</v>
      </c>
      <c r="C1564" s="3">
        <v>53215979</v>
      </c>
      <c r="D1564" s="3" t="s">
        <v>5934</v>
      </c>
      <c r="E1564" s="2" t="s">
        <v>2635</v>
      </c>
      <c r="F1564" s="2" t="s">
        <v>10</v>
      </c>
      <c r="G1564" s="2" t="s">
        <v>11</v>
      </c>
      <c r="H1564" s="2">
        <v>25000000</v>
      </c>
      <c r="I1564" s="2">
        <v>5.0999999999999996</v>
      </c>
      <c r="J1564" s="3">
        <v>15417771</v>
      </c>
      <c r="K1564">
        <f t="shared" si="56"/>
        <v>1.3775047412552699E-3</v>
      </c>
      <c r="R1564" s="12" t="str">
        <f ca="1">IFERROR(__xludf.DUMMYFUNCTION("""COMPUTED_VALUE"""),"Stranger Than Fiction ")</f>
        <v>Stranger Than Fiction </v>
      </c>
      <c r="S1564" s="12">
        <f t="shared" si="57"/>
        <v>-1457225</v>
      </c>
    </row>
    <row r="1565" spans="1:19" x14ac:dyDescent="0.3">
      <c r="A1565" s="2" t="s">
        <v>574</v>
      </c>
      <c r="B1565" s="2">
        <v>93</v>
      </c>
      <c r="C1565" s="3">
        <v>36385763</v>
      </c>
      <c r="D1565" s="3" t="s">
        <v>5973</v>
      </c>
      <c r="E1565" s="2" t="s">
        <v>2162</v>
      </c>
      <c r="F1565" s="2" t="s">
        <v>10</v>
      </c>
      <c r="G1565" s="2" t="s">
        <v>11</v>
      </c>
      <c r="H1565" s="2">
        <v>34200000</v>
      </c>
      <c r="I1565" s="2">
        <v>6.4</v>
      </c>
      <c r="J1565" s="3">
        <v>15427192</v>
      </c>
      <c r="K1565">
        <f t="shared" si="56"/>
        <v>1.3775047412552699E-3</v>
      </c>
      <c r="R1565" s="12" t="str">
        <f ca="1">IFERROR(__xludf.DUMMYFUNCTION("""COMPUTED_VALUE"""),"30 Days of Night ")</f>
        <v>30 Days of Night </v>
      </c>
      <c r="S1565" s="12">
        <f t="shared" si="57"/>
        <v>-10432117</v>
      </c>
    </row>
    <row r="1566" spans="1:19" x14ac:dyDescent="0.3">
      <c r="A1566" s="2" t="s">
        <v>440</v>
      </c>
      <c r="B1566" s="2">
        <v>106</v>
      </c>
      <c r="C1566" s="3">
        <v>30306281</v>
      </c>
      <c r="D1566" s="3" t="s">
        <v>5881</v>
      </c>
      <c r="E1566" s="2" t="s">
        <v>1707</v>
      </c>
      <c r="F1566" s="2" t="s">
        <v>10</v>
      </c>
      <c r="G1566" s="2" t="s">
        <v>11</v>
      </c>
      <c r="H1566" s="2">
        <v>50000000</v>
      </c>
      <c r="I1566" s="2">
        <v>6.1</v>
      </c>
      <c r="J1566" s="3">
        <v>15464026</v>
      </c>
      <c r="K1566">
        <f t="shared" si="56"/>
        <v>1.3775047412552699E-3</v>
      </c>
      <c r="R1566" s="12" t="str">
        <f ca="1">IFERROR(__xludf.DUMMYFUNCTION("""COMPUTED_VALUE"""),"The Cabin in the Woods ")</f>
        <v>The Cabin in the Woods </v>
      </c>
      <c r="S1566" s="12">
        <f t="shared" si="57"/>
        <v>-5959121</v>
      </c>
    </row>
    <row r="1567" spans="1:19" x14ac:dyDescent="0.3">
      <c r="A1567" s="2" t="s">
        <v>1824</v>
      </c>
      <c r="B1567" s="2">
        <v>94</v>
      </c>
      <c r="C1567" s="3">
        <v>41382841</v>
      </c>
      <c r="D1567" s="3" t="s">
        <v>5849</v>
      </c>
      <c r="E1567" s="2" t="s">
        <v>1825</v>
      </c>
      <c r="F1567" s="2" t="s">
        <v>10</v>
      </c>
      <c r="G1567" s="2" t="s">
        <v>11</v>
      </c>
      <c r="H1567" s="2">
        <v>40000000</v>
      </c>
      <c r="I1567" s="2">
        <v>4.4000000000000004</v>
      </c>
      <c r="J1567" s="3">
        <v>15483540</v>
      </c>
      <c r="K1567">
        <f t="shared" si="56"/>
        <v>1.3775047412552699E-3</v>
      </c>
      <c r="R1567" s="12" t="str">
        <f ca="1">IFERROR(__xludf.DUMMYFUNCTION("""COMPUTED_VALUE"""),"Meet the Spartans ")</f>
        <v>Meet the Spartans </v>
      </c>
      <c r="S1567" s="12">
        <f t="shared" si="57"/>
        <v>59705503</v>
      </c>
    </row>
    <row r="1568" spans="1:19" x14ac:dyDescent="0.3">
      <c r="A1568" s="2" t="s">
        <v>5333</v>
      </c>
      <c r="B1568" s="2">
        <v>88</v>
      </c>
      <c r="C1568" s="3">
        <v>36665854</v>
      </c>
      <c r="D1568" s="3" t="s">
        <v>5869</v>
      </c>
      <c r="E1568" s="2" t="s">
        <v>5334</v>
      </c>
      <c r="F1568" s="2" t="s">
        <v>10</v>
      </c>
      <c r="G1568" s="2" t="s">
        <v>11</v>
      </c>
      <c r="H1568" s="2">
        <v>1000000</v>
      </c>
      <c r="I1568" s="2">
        <v>7.4</v>
      </c>
      <c r="J1568" s="3">
        <v>15500000</v>
      </c>
      <c r="K1568">
        <f t="shared" si="56"/>
        <v>1.3775047412552699E-3</v>
      </c>
      <c r="R1568" s="12" t="str">
        <f ca="1">IFERROR(__xludf.DUMMYFUNCTION("""COMPUTED_VALUE"""),"Midnight Run ")</f>
        <v>Midnight Run </v>
      </c>
      <c r="S1568" s="12">
        <f t="shared" si="57"/>
        <v>26407470</v>
      </c>
    </row>
    <row r="1569" spans="1:19" x14ac:dyDescent="0.3">
      <c r="A1569" s="2" t="s">
        <v>4335</v>
      </c>
      <c r="B1569" s="2">
        <v>103</v>
      </c>
      <c r="C1569" s="3">
        <v>7097125</v>
      </c>
      <c r="D1569" s="3" t="s">
        <v>6069</v>
      </c>
      <c r="E1569" s="2" t="s">
        <v>4336</v>
      </c>
      <c r="F1569" s="2" t="s">
        <v>751</v>
      </c>
      <c r="G1569" s="2" t="s">
        <v>504</v>
      </c>
      <c r="H1569" s="2">
        <v>50000000</v>
      </c>
      <c r="I1569" s="2">
        <v>6.9</v>
      </c>
      <c r="J1569" s="3">
        <v>15519841</v>
      </c>
      <c r="K1569">
        <f t="shared" si="56"/>
        <v>1.3775047412552699E-3</v>
      </c>
      <c r="R1569" s="12" t="str">
        <f ca="1">IFERROR(__xludf.DUMMYFUNCTION("""COMPUTED_VALUE"""),"The Running Man ")</f>
        <v>The Running Man </v>
      </c>
      <c r="S1569" s="12">
        <f t="shared" si="57"/>
        <v>-389814</v>
      </c>
    </row>
    <row r="1570" spans="1:19" x14ac:dyDescent="0.3">
      <c r="A1570" s="2" t="s">
        <v>4937</v>
      </c>
      <c r="B1570" s="2">
        <v>82</v>
      </c>
      <c r="C1570" s="3">
        <v>8111360</v>
      </c>
      <c r="D1570" s="3" t="s">
        <v>6100</v>
      </c>
      <c r="E1570" s="2" t="s">
        <v>4938</v>
      </c>
      <c r="F1570" s="2" t="s">
        <v>10</v>
      </c>
      <c r="G1570" s="2" t="s">
        <v>11</v>
      </c>
      <c r="H1570" s="2">
        <v>3000000</v>
      </c>
      <c r="I1570" s="2">
        <v>4.4000000000000004</v>
      </c>
      <c r="J1570" s="3">
        <v>15523168</v>
      </c>
      <c r="K1570">
        <f t="shared" si="56"/>
        <v>1.3775047412552699E-3</v>
      </c>
      <c r="R1570" s="12" t="str">
        <f ca="1">IFERROR(__xludf.DUMMYFUNCTION("""COMPUTED_VALUE"""),"Little Shop of Horrors ")</f>
        <v>Little Shop of Horrors </v>
      </c>
      <c r="S1570" s="12">
        <f t="shared" si="57"/>
        <v>-9900000</v>
      </c>
    </row>
    <row r="1571" spans="1:19" x14ac:dyDescent="0.3">
      <c r="A1571" s="2" t="s">
        <v>949</v>
      </c>
      <c r="B1571" s="2">
        <v>133</v>
      </c>
      <c r="C1571" s="3">
        <v>8104069</v>
      </c>
      <c r="D1571" s="3" t="s">
        <v>5920</v>
      </c>
      <c r="E1571" s="2" t="s">
        <v>2485</v>
      </c>
      <c r="F1571" s="2" t="s">
        <v>10</v>
      </c>
      <c r="G1571" s="2" t="s">
        <v>11</v>
      </c>
      <c r="H1571" s="2">
        <v>26000000</v>
      </c>
      <c r="I1571" s="2">
        <v>7.2</v>
      </c>
      <c r="J1571" s="3">
        <v>15527125</v>
      </c>
      <c r="K1571">
        <f t="shared" si="56"/>
        <v>1.3775047412552699E-3</v>
      </c>
      <c r="R1571" s="12" t="str">
        <f ca="1">IFERROR(__xludf.DUMMYFUNCTION("""COMPUTED_VALUE"""),"Hanna ")</f>
        <v>Hanna </v>
      </c>
      <c r="S1571" s="12">
        <f t="shared" si="57"/>
        <v>-31350000</v>
      </c>
    </row>
    <row r="1572" spans="1:19" x14ac:dyDescent="0.3">
      <c r="A1572" s="2" t="s">
        <v>3054</v>
      </c>
      <c r="B1572" s="2">
        <v>119</v>
      </c>
      <c r="C1572" s="3">
        <v>41300105</v>
      </c>
      <c r="D1572" s="3" t="s">
        <v>5778</v>
      </c>
      <c r="E1572" s="2" t="s">
        <v>3055</v>
      </c>
      <c r="F1572" s="2" t="s">
        <v>10</v>
      </c>
      <c r="G1572" s="2" t="s">
        <v>11</v>
      </c>
      <c r="H1572" s="2">
        <v>20000000</v>
      </c>
      <c r="I1572" s="2">
        <v>7</v>
      </c>
      <c r="J1572" s="3">
        <v>15549702</v>
      </c>
      <c r="K1572">
        <f t="shared" si="56"/>
        <v>1.3775047412552699E-3</v>
      </c>
      <c r="R1572" s="12" t="str">
        <f ca="1">IFERROR(__xludf.DUMMYFUNCTION("""COMPUTED_VALUE"""),"Mortal Kombat: Annihilation ")</f>
        <v>Mortal Kombat: Annihilation </v>
      </c>
      <c r="S1572" s="12">
        <f t="shared" si="57"/>
        <v>1747385</v>
      </c>
    </row>
    <row r="1573" spans="1:19" x14ac:dyDescent="0.3">
      <c r="A1573" s="2" t="s">
        <v>183</v>
      </c>
      <c r="B1573" s="2">
        <v>130</v>
      </c>
      <c r="C1573" s="2">
        <v>182618434</v>
      </c>
      <c r="D1573" s="3" t="s">
        <v>5773</v>
      </c>
      <c r="E1573" s="2" t="s">
        <v>357</v>
      </c>
      <c r="F1573" s="2" t="s">
        <v>10</v>
      </c>
      <c r="G1573" s="2" t="s">
        <v>11</v>
      </c>
      <c r="H1573" s="2">
        <v>140000000</v>
      </c>
      <c r="I1573" s="2">
        <v>6.4</v>
      </c>
      <c r="J1573" s="3">
        <v>15561627</v>
      </c>
      <c r="K1573">
        <f t="shared" si="56"/>
        <v>1.3775047412552699E-3</v>
      </c>
      <c r="R1573" s="12" t="str">
        <f ca="1">IFERROR(__xludf.DUMMYFUNCTION("""COMPUTED_VALUE"""),"Larry Crowne ")</f>
        <v>Larry Crowne </v>
      </c>
      <c r="S1573" s="12">
        <f t="shared" si="57"/>
        <v>69620196</v>
      </c>
    </row>
    <row r="1574" spans="1:19" x14ac:dyDescent="0.3">
      <c r="A1574" s="2" t="s">
        <v>5066</v>
      </c>
      <c r="B1574" s="2">
        <v>79</v>
      </c>
      <c r="C1574" s="3">
        <v>39251128</v>
      </c>
      <c r="D1574" s="3" t="s">
        <v>6232</v>
      </c>
      <c r="E1574" s="2" t="s">
        <v>5474</v>
      </c>
      <c r="F1574" s="2" t="s">
        <v>10</v>
      </c>
      <c r="G1574" s="2" t="s">
        <v>11</v>
      </c>
      <c r="H1574" s="2">
        <v>500000</v>
      </c>
      <c r="I1574" s="2">
        <v>5.7</v>
      </c>
      <c r="J1574" s="3">
        <v>15608545</v>
      </c>
      <c r="K1574">
        <f t="shared" si="56"/>
        <v>1.3775047412552699E-3</v>
      </c>
      <c r="R1574" s="12" t="str">
        <f ca="1">IFERROR(__xludf.DUMMYFUNCTION("""COMPUTED_VALUE"""),"Carrie ")</f>
        <v>Carrie </v>
      </c>
      <c r="S1574" s="12">
        <f t="shared" si="57"/>
        <v>-8944346</v>
      </c>
    </row>
    <row r="1575" spans="1:19" x14ac:dyDescent="0.3">
      <c r="A1575" s="2" t="s">
        <v>1434</v>
      </c>
      <c r="B1575" s="2">
        <v>98</v>
      </c>
      <c r="C1575" s="3">
        <v>35096190</v>
      </c>
      <c r="D1575" s="3" t="s">
        <v>6233</v>
      </c>
      <c r="E1575" s="2" t="s">
        <v>4100</v>
      </c>
      <c r="F1575" s="2" t="s">
        <v>10</v>
      </c>
      <c r="G1575" s="2" t="s">
        <v>71</v>
      </c>
      <c r="H1575" s="2">
        <v>8000000</v>
      </c>
      <c r="I1575" s="2">
        <v>6.8</v>
      </c>
      <c r="J1575" s="3">
        <v>15655665</v>
      </c>
      <c r="K1575">
        <f t="shared" si="56"/>
        <v>1.3775047412552699E-3</v>
      </c>
      <c r="R1575" s="12" t="str">
        <f ca="1">IFERROR(__xludf.DUMMYFUNCTION("""COMPUTED_VALUE"""),"Take the Lead ")</f>
        <v>Take the Lead </v>
      </c>
      <c r="S1575" s="12">
        <f t="shared" si="57"/>
        <v>80463309</v>
      </c>
    </row>
    <row r="1576" spans="1:19" x14ac:dyDescent="0.3">
      <c r="A1576" s="2" t="s">
        <v>4842</v>
      </c>
      <c r="B1576" s="2">
        <v>107</v>
      </c>
      <c r="C1576" s="3">
        <v>35183792</v>
      </c>
      <c r="D1576" s="3" t="s">
        <v>5849</v>
      </c>
      <c r="E1576" s="2" t="s">
        <v>4843</v>
      </c>
      <c r="F1576" s="2" t="s">
        <v>10</v>
      </c>
      <c r="G1576" s="2" t="s">
        <v>11</v>
      </c>
      <c r="H1576" s="2">
        <v>3768785</v>
      </c>
      <c r="I1576" s="2">
        <v>7</v>
      </c>
      <c r="J1576" s="3">
        <v>15681020</v>
      </c>
      <c r="K1576">
        <f t="shared" si="56"/>
        <v>1.3775047412552699E-3</v>
      </c>
      <c r="R1576" s="12" t="str">
        <f ca="1">IFERROR(__xludf.DUMMYFUNCTION("""COMPUTED_VALUE"""),"Gridiron Gang ")</f>
        <v>Gridiron Gang </v>
      </c>
      <c r="S1576" s="12">
        <f t="shared" si="57"/>
        <v>87620724</v>
      </c>
    </row>
    <row r="1577" spans="1:19" x14ac:dyDescent="0.3">
      <c r="A1577" s="2" t="s">
        <v>2216</v>
      </c>
      <c r="B1577" s="2">
        <v>82</v>
      </c>
      <c r="C1577" s="2"/>
      <c r="D1577" s="3" t="s">
        <v>5913</v>
      </c>
      <c r="E1577" s="2" t="s">
        <v>5123</v>
      </c>
      <c r="F1577" s="2" t="s">
        <v>10</v>
      </c>
      <c r="G1577" s="2" t="s">
        <v>11</v>
      </c>
      <c r="H1577" s="2">
        <v>2000000</v>
      </c>
      <c r="I1577" s="2">
        <v>7.1</v>
      </c>
      <c r="J1577" s="3">
        <v>15700000</v>
      </c>
      <c r="K1577">
        <f t="shared" si="56"/>
        <v>1.3775047412552699E-3</v>
      </c>
      <c r="R1577" s="12" t="str">
        <f ca="1">IFERROR(__xludf.DUMMYFUNCTION("""COMPUTED_VALUE"""),"What's the Worst That Could Happen? ")</f>
        <v>What's the Worst That Could Happen? </v>
      </c>
      <c r="S1577" s="12">
        <f t="shared" si="57"/>
        <v>41245055</v>
      </c>
    </row>
    <row r="1578" spans="1:19" x14ac:dyDescent="0.3">
      <c r="A1578" s="2" t="s">
        <v>48</v>
      </c>
      <c r="B1578" s="2">
        <v>142</v>
      </c>
      <c r="C1578" s="3">
        <v>18329466</v>
      </c>
      <c r="D1578" s="3" t="s">
        <v>885</v>
      </c>
      <c r="E1578" s="2" t="s">
        <v>78</v>
      </c>
      <c r="F1578" s="2" t="s">
        <v>10</v>
      </c>
      <c r="G1578" s="2" t="s">
        <v>11</v>
      </c>
      <c r="H1578" s="2">
        <v>200000000</v>
      </c>
      <c r="I1578" s="2">
        <v>6.7</v>
      </c>
      <c r="J1578" s="3">
        <v>15709385</v>
      </c>
      <c r="K1578">
        <f t="shared" si="56"/>
        <v>1.3775047412552699E-3</v>
      </c>
      <c r="R1578" s="12" t="str">
        <f ca="1">IFERROR(__xludf.DUMMYFUNCTION("""COMPUTED_VALUE"""),"9 ")</f>
        <v>9 </v>
      </c>
      <c r="S1578" s="12">
        <f t="shared" si="57"/>
        <v>33482207</v>
      </c>
    </row>
    <row r="1579" spans="1:19" x14ac:dyDescent="0.3">
      <c r="A1579" s="2" t="s">
        <v>3761</v>
      </c>
      <c r="B1579" s="2">
        <v>118</v>
      </c>
      <c r="C1579" s="2">
        <v>1089445</v>
      </c>
      <c r="D1579" s="3" t="s">
        <v>6136</v>
      </c>
      <c r="E1579" s="2" t="s">
        <v>3762</v>
      </c>
      <c r="F1579" s="2" t="s">
        <v>10</v>
      </c>
      <c r="G1579" s="2" t="s">
        <v>71</v>
      </c>
      <c r="H1579" s="2">
        <v>12500000</v>
      </c>
      <c r="I1579" s="2">
        <v>7</v>
      </c>
      <c r="J1579" s="3">
        <v>15712072</v>
      </c>
      <c r="K1579">
        <f t="shared" si="56"/>
        <v>1.3775047412552699E-3</v>
      </c>
      <c r="R1579" s="12" t="str">
        <f ca="1">IFERROR(__xludf.DUMMYFUNCTION("""COMPUTED_VALUE"""),"Side Effects ")</f>
        <v>Side Effects </v>
      </c>
      <c r="S1579" s="12">
        <f t="shared" si="57"/>
        <v>166360000</v>
      </c>
    </row>
    <row r="1580" spans="1:19" x14ac:dyDescent="0.3">
      <c r="A1580" s="2" t="s">
        <v>2008</v>
      </c>
      <c r="B1580" s="2">
        <v>109</v>
      </c>
      <c r="C1580" s="3">
        <v>2850263</v>
      </c>
      <c r="D1580" s="3" t="s">
        <v>5803</v>
      </c>
      <c r="E1580" s="2" t="s">
        <v>2009</v>
      </c>
      <c r="F1580" s="2" t="s">
        <v>10</v>
      </c>
      <c r="G1580" s="2" t="s">
        <v>16</v>
      </c>
      <c r="H1580" s="2">
        <v>35000000</v>
      </c>
      <c r="I1580" s="2">
        <v>6.1</v>
      </c>
      <c r="J1580" s="3">
        <v>15738632</v>
      </c>
      <c r="K1580">
        <f t="shared" si="56"/>
        <v>1.3775047412552699E-3</v>
      </c>
      <c r="R1580" s="12" t="str">
        <f ca="1">IFERROR(__xludf.DUMMYFUNCTION("""COMPUTED_VALUE"""),"Winnie the Pooh ")</f>
        <v>Winnie the Pooh </v>
      </c>
      <c r="S1580" s="12">
        <f t="shared" si="57"/>
        <v>5134217</v>
      </c>
    </row>
    <row r="1581" spans="1:19" x14ac:dyDescent="0.3">
      <c r="A1581" s="2" t="s">
        <v>1391</v>
      </c>
      <c r="B1581" s="2">
        <v>109</v>
      </c>
      <c r="C1581" s="3">
        <v>23222861</v>
      </c>
      <c r="D1581" s="3" t="s">
        <v>6064</v>
      </c>
      <c r="E1581" s="2" t="s">
        <v>4902</v>
      </c>
      <c r="F1581" s="2" t="s">
        <v>10</v>
      </c>
      <c r="G1581" s="2" t="s">
        <v>11</v>
      </c>
      <c r="H1581" s="2">
        <v>3000000</v>
      </c>
      <c r="I1581" s="2">
        <v>7.6</v>
      </c>
      <c r="J1581" s="3">
        <v>15785632</v>
      </c>
      <c r="K1581">
        <f t="shared" si="56"/>
        <v>1.3775047412552699E-3</v>
      </c>
      <c r="R1581" s="12" t="str">
        <f ca="1">IFERROR(__xludf.DUMMYFUNCTION("""COMPUTED_VALUE"""),"Dumb and Dumberer: When Harry Met Lloyd ")</f>
        <v>Dumb and Dumberer: When Harry Met Lloyd </v>
      </c>
      <c r="S1581" s="12">
        <f t="shared" si="57"/>
        <v>-6317727</v>
      </c>
    </row>
    <row r="1582" spans="1:19" x14ac:dyDescent="0.3">
      <c r="A1582" s="2" t="s">
        <v>2972</v>
      </c>
      <c r="B1582" s="2">
        <v>95</v>
      </c>
      <c r="C1582" s="3">
        <v>30226144</v>
      </c>
      <c r="D1582" s="3" t="s">
        <v>5910</v>
      </c>
      <c r="E1582" s="2" t="s">
        <v>2973</v>
      </c>
      <c r="F1582" s="2" t="s">
        <v>10</v>
      </c>
      <c r="G1582" s="2" t="s">
        <v>504</v>
      </c>
      <c r="H1582" s="2">
        <v>20000000</v>
      </c>
      <c r="I1582" s="2">
        <v>5</v>
      </c>
      <c r="J1582" s="3">
        <v>15797907</v>
      </c>
      <c r="K1582">
        <f t="shared" si="56"/>
        <v>1.3775047412552699E-3</v>
      </c>
      <c r="R1582" s="12" t="str">
        <f ca="1">IFERROR(__xludf.DUMMYFUNCTION("""COMPUTED_VALUE"""),"Bulworth ")</f>
        <v>Bulworth </v>
      </c>
      <c r="S1582" s="12">
        <f t="shared" si="57"/>
        <v>17285499</v>
      </c>
    </row>
    <row r="1583" spans="1:19" x14ac:dyDescent="0.3">
      <c r="A1583" s="2" t="s">
        <v>560</v>
      </c>
      <c r="B1583" s="2">
        <v>102</v>
      </c>
      <c r="C1583" s="3">
        <v>65452312</v>
      </c>
      <c r="D1583" s="3" t="s">
        <v>6234</v>
      </c>
      <c r="E1583" s="2" t="s">
        <v>1457</v>
      </c>
      <c r="F1583" s="2" t="s">
        <v>10</v>
      </c>
      <c r="G1583" s="2" t="s">
        <v>11</v>
      </c>
      <c r="H1583" s="2">
        <v>50000000</v>
      </c>
      <c r="I1583" s="2">
        <v>4.8</v>
      </c>
      <c r="J1583" s="3">
        <v>15818967</v>
      </c>
      <c r="K1583">
        <f t="shared" si="56"/>
        <v>1.3775047412552699E-3</v>
      </c>
      <c r="R1583" s="12" t="str">
        <f ca="1">IFERROR(__xludf.DUMMYFUNCTION("""COMPUTED_VALUE"""),"Get on Up ")</f>
        <v>Get on Up </v>
      </c>
      <c r="S1583" s="12">
        <f t="shared" si="57"/>
        <v>3527955</v>
      </c>
    </row>
    <row r="1584" spans="1:19" x14ac:dyDescent="0.3">
      <c r="A1584" s="2" t="s">
        <v>1425</v>
      </c>
      <c r="B1584" s="2">
        <v>101</v>
      </c>
      <c r="C1584" s="3">
        <v>42168445</v>
      </c>
      <c r="D1584" s="3" t="s">
        <v>5869</v>
      </c>
      <c r="E1584" s="2" t="s">
        <v>3244</v>
      </c>
      <c r="F1584" s="2" t="s">
        <v>10</v>
      </c>
      <c r="G1584" s="2" t="s">
        <v>11</v>
      </c>
      <c r="H1584" s="2">
        <v>300000</v>
      </c>
      <c r="I1584" s="2">
        <v>7.9</v>
      </c>
      <c r="J1584" s="3">
        <v>15854988</v>
      </c>
      <c r="K1584">
        <f t="shared" si="56"/>
        <v>1.3775047412552699E-3</v>
      </c>
      <c r="R1584" s="12" t="str">
        <f ca="1">IFERROR(__xludf.DUMMYFUNCTION("""COMPUTED_VALUE"""),"One True Thing ")</f>
        <v>One True Thing </v>
      </c>
      <c r="S1584" s="12">
        <f t="shared" si="57"/>
        <v>7680195</v>
      </c>
    </row>
    <row r="1585" spans="1:19" x14ac:dyDescent="0.3">
      <c r="A1585" s="2" t="s">
        <v>3239</v>
      </c>
      <c r="B1585" s="2">
        <v>99</v>
      </c>
      <c r="C1585" s="3">
        <v>32357532</v>
      </c>
      <c r="D1585" s="3" t="s">
        <v>5996</v>
      </c>
      <c r="E1585" s="2" t="s">
        <v>3240</v>
      </c>
      <c r="F1585" s="2" t="s">
        <v>10</v>
      </c>
      <c r="G1585" s="2" t="s">
        <v>11</v>
      </c>
      <c r="H1585" s="2">
        <v>17000000</v>
      </c>
      <c r="I1585" s="2">
        <v>5.6</v>
      </c>
      <c r="J1585" s="3">
        <v>15911333</v>
      </c>
      <c r="K1585">
        <f t="shared" si="56"/>
        <v>1.3775047412552699E-3</v>
      </c>
      <c r="R1585" s="12" t="str">
        <f ca="1">IFERROR(__xludf.DUMMYFUNCTION("""COMPUTED_VALUE"""),"Virtuosity ")</f>
        <v>Virtuosity </v>
      </c>
      <c r="S1585" s="12">
        <f t="shared" si="57"/>
        <v>10306268</v>
      </c>
    </row>
    <row r="1586" spans="1:19" x14ac:dyDescent="0.3">
      <c r="A1586" s="2" t="s">
        <v>1096</v>
      </c>
      <c r="B1586" s="2">
        <v>107</v>
      </c>
      <c r="C1586" s="3">
        <v>98711404</v>
      </c>
      <c r="D1586" s="3" t="s">
        <v>6199</v>
      </c>
      <c r="E1586" s="2" t="s">
        <v>2798</v>
      </c>
      <c r="F1586" s="2" t="s">
        <v>10</v>
      </c>
      <c r="G1586" s="2" t="s">
        <v>11</v>
      </c>
      <c r="H1586" s="2">
        <v>22000000</v>
      </c>
      <c r="I1586" s="2">
        <v>6.7</v>
      </c>
      <c r="J1586" s="3">
        <v>15935068</v>
      </c>
      <c r="K1586">
        <f t="shared" si="56"/>
        <v>1.3775047412552699E-3</v>
      </c>
      <c r="R1586" s="12" t="str">
        <f ca="1">IFERROR(__xludf.DUMMYFUNCTION("""COMPUTED_VALUE"""),"My Super Ex-Girlfriend ")</f>
        <v>My Super Ex-Girlfriend </v>
      </c>
      <c r="S1586" s="12">
        <f t="shared" si="57"/>
        <v>28215979</v>
      </c>
    </row>
    <row r="1587" spans="1:19" x14ac:dyDescent="0.3">
      <c r="A1587" s="2" t="s">
        <v>1305</v>
      </c>
      <c r="B1587" s="2">
        <v>118</v>
      </c>
      <c r="C1587" s="3">
        <v>11204499</v>
      </c>
      <c r="D1587" s="3" t="s">
        <v>6141</v>
      </c>
      <c r="E1587" s="2" t="s">
        <v>1306</v>
      </c>
      <c r="F1587" s="2" t="s">
        <v>10</v>
      </c>
      <c r="G1587" s="2" t="s">
        <v>16</v>
      </c>
      <c r="H1587" s="2">
        <v>52000000</v>
      </c>
      <c r="I1587" s="2">
        <v>7.4</v>
      </c>
      <c r="J1587" s="3">
        <v>15962471</v>
      </c>
      <c r="K1587">
        <f t="shared" si="56"/>
        <v>1.3775047412552699E-3</v>
      </c>
      <c r="R1587" s="12" t="str">
        <f ca="1">IFERROR(__xludf.DUMMYFUNCTION("""COMPUTED_VALUE"""),"Deliver Us from Evil ")</f>
        <v>Deliver Us from Evil </v>
      </c>
      <c r="S1587" s="12">
        <f t="shared" si="57"/>
        <v>2185763</v>
      </c>
    </row>
    <row r="1588" spans="1:19" x14ac:dyDescent="0.3">
      <c r="A1588" s="2" t="s">
        <v>341</v>
      </c>
      <c r="B1588" s="2">
        <v>104</v>
      </c>
      <c r="C1588" s="3">
        <v>30400000</v>
      </c>
      <c r="D1588" s="3" t="s">
        <v>5755</v>
      </c>
      <c r="E1588" s="2" t="s">
        <v>3882</v>
      </c>
      <c r="F1588" s="2" t="s">
        <v>10</v>
      </c>
      <c r="G1588" s="2" t="s">
        <v>16</v>
      </c>
      <c r="H1588" s="2">
        <v>6000000</v>
      </c>
      <c r="I1588" s="2">
        <v>8.3000000000000007</v>
      </c>
      <c r="J1588" s="3">
        <v>15988876</v>
      </c>
      <c r="K1588">
        <f t="shared" si="56"/>
        <v>1.3775047412552699E-3</v>
      </c>
      <c r="R1588" s="12" t="str">
        <f ca="1">IFERROR(__xludf.DUMMYFUNCTION("""COMPUTED_VALUE"""),"Sanctum ")</f>
        <v>Sanctum </v>
      </c>
      <c r="S1588" s="12">
        <f t="shared" si="57"/>
        <v>-19693719</v>
      </c>
    </row>
    <row r="1589" spans="1:19" x14ac:dyDescent="0.3">
      <c r="A1589" s="2" t="s">
        <v>33</v>
      </c>
      <c r="B1589" s="2">
        <v>101</v>
      </c>
      <c r="C1589" s="3">
        <v>21378000</v>
      </c>
      <c r="D1589" s="3" t="s">
        <v>5901</v>
      </c>
      <c r="E1589" s="2" t="s">
        <v>2539</v>
      </c>
      <c r="F1589" s="2" t="s">
        <v>10</v>
      </c>
      <c r="G1589" s="2" t="s">
        <v>11</v>
      </c>
      <c r="H1589" s="2">
        <v>25000000</v>
      </c>
      <c r="I1589" s="2">
        <v>7.8</v>
      </c>
      <c r="J1589" s="3">
        <v>16005978</v>
      </c>
      <c r="K1589">
        <f t="shared" si="56"/>
        <v>1.3775047412552699E-3</v>
      </c>
      <c r="R1589" s="12" t="str">
        <f ca="1">IFERROR(__xludf.DUMMYFUNCTION("""COMPUTED_VALUE"""),"Little Black Book ")</f>
        <v>Little Black Book </v>
      </c>
      <c r="S1589" s="12">
        <f t="shared" si="57"/>
        <v>1382841</v>
      </c>
    </row>
    <row r="1590" spans="1:19" x14ac:dyDescent="0.3">
      <c r="A1590" s="2" t="s">
        <v>653</v>
      </c>
      <c r="B1590" s="2">
        <v>95</v>
      </c>
      <c r="C1590" s="3">
        <v>50752337</v>
      </c>
      <c r="D1590" s="3" t="s">
        <v>5770</v>
      </c>
      <c r="E1590" s="2" t="s">
        <v>654</v>
      </c>
      <c r="F1590" s="2" t="s">
        <v>10</v>
      </c>
      <c r="G1590" s="2" t="s">
        <v>16</v>
      </c>
      <c r="H1590" s="2">
        <v>35000000</v>
      </c>
      <c r="I1590" s="2">
        <v>7.1</v>
      </c>
      <c r="J1590" s="3">
        <v>16017403</v>
      </c>
      <c r="K1590">
        <f t="shared" si="56"/>
        <v>1.3775047412552699E-3</v>
      </c>
      <c r="R1590" s="12" t="str">
        <f ca="1">IFERROR(__xludf.DUMMYFUNCTION("""COMPUTED_VALUE"""),"The Five-Year Engagement ")</f>
        <v>The Five-Year Engagement </v>
      </c>
      <c r="S1590" s="12">
        <f t="shared" si="57"/>
        <v>35665854</v>
      </c>
    </row>
    <row r="1591" spans="1:19" x14ac:dyDescent="0.3">
      <c r="A1591" s="2" t="s">
        <v>2750</v>
      </c>
      <c r="B1591" s="2">
        <v>98</v>
      </c>
      <c r="C1591" s="3">
        <v>26687172</v>
      </c>
      <c r="D1591" s="3" t="s">
        <v>5773</v>
      </c>
      <c r="E1591" s="2" t="s">
        <v>2751</v>
      </c>
      <c r="F1591" s="2" t="s">
        <v>10</v>
      </c>
      <c r="G1591" s="2" t="s">
        <v>11</v>
      </c>
      <c r="H1591" s="2">
        <v>23000000</v>
      </c>
      <c r="I1591" s="2">
        <v>6.7</v>
      </c>
      <c r="J1591" s="3">
        <v>16027866</v>
      </c>
      <c r="K1591">
        <f t="shared" si="56"/>
        <v>1.3775047412552699E-3</v>
      </c>
      <c r="R1591" s="12" t="str">
        <f ca="1">IFERROR(__xludf.DUMMYFUNCTION("""COMPUTED_VALUE"""),"Mr 3000 ")</f>
        <v>Mr 3000 </v>
      </c>
      <c r="S1591" s="12">
        <f t="shared" si="57"/>
        <v>-42902875</v>
      </c>
    </row>
    <row r="1592" spans="1:19" x14ac:dyDescent="0.3">
      <c r="A1592" s="2" t="s">
        <v>2194</v>
      </c>
      <c r="B1592" s="2">
        <v>94</v>
      </c>
      <c r="C1592" s="3">
        <v>53133888</v>
      </c>
      <c r="D1592" s="3" t="s">
        <v>6020</v>
      </c>
      <c r="E1592" s="2" t="s">
        <v>3817</v>
      </c>
      <c r="F1592" s="2" t="s">
        <v>10</v>
      </c>
      <c r="G1592" s="2" t="s">
        <v>11</v>
      </c>
      <c r="H1592" s="2">
        <v>12000000</v>
      </c>
      <c r="I1592" s="2">
        <v>6.3</v>
      </c>
      <c r="J1592" s="3">
        <v>16033556</v>
      </c>
      <c r="K1592">
        <f t="shared" si="56"/>
        <v>1.3775047412552699E-3</v>
      </c>
      <c r="R1592" s="12" t="str">
        <f ca="1">IFERROR(__xludf.DUMMYFUNCTION("""COMPUTED_VALUE"""),"The Next Three Days ")</f>
        <v>The Next Three Days </v>
      </c>
      <c r="S1592" s="12">
        <f t="shared" si="57"/>
        <v>5111360</v>
      </c>
    </row>
    <row r="1593" spans="1:19" x14ac:dyDescent="0.3">
      <c r="A1593" s="2" t="s">
        <v>31</v>
      </c>
      <c r="B1593" s="2">
        <v>114</v>
      </c>
      <c r="C1593" s="3">
        <v>128200012</v>
      </c>
      <c r="D1593" s="3" t="s">
        <v>5869</v>
      </c>
      <c r="E1593" s="2" t="s">
        <v>95</v>
      </c>
      <c r="F1593" s="2" t="s">
        <v>10</v>
      </c>
      <c r="G1593" s="2" t="s">
        <v>11</v>
      </c>
      <c r="H1593" s="2">
        <v>195000000</v>
      </c>
      <c r="I1593" s="2">
        <v>6.3</v>
      </c>
      <c r="J1593" s="3">
        <v>16067035</v>
      </c>
      <c r="K1593">
        <f t="shared" si="56"/>
        <v>1.3775047412552699E-3</v>
      </c>
      <c r="R1593" s="12" t="str">
        <f ca="1">IFERROR(__xludf.DUMMYFUNCTION("""COMPUTED_VALUE"""),"Ultraviolet ")</f>
        <v>Ultraviolet </v>
      </c>
      <c r="S1593" s="12">
        <f t="shared" si="57"/>
        <v>-17895931</v>
      </c>
    </row>
    <row r="1594" spans="1:19" x14ac:dyDescent="0.3">
      <c r="A1594" s="2" t="s">
        <v>101</v>
      </c>
      <c r="B1594" s="2">
        <v>131</v>
      </c>
      <c r="C1594" s="3">
        <v>4777007</v>
      </c>
      <c r="D1594" s="3" t="s">
        <v>5970</v>
      </c>
      <c r="E1594" s="2" t="s">
        <v>102</v>
      </c>
      <c r="F1594" s="2" t="s">
        <v>10</v>
      </c>
      <c r="G1594" s="2" t="s">
        <v>11</v>
      </c>
      <c r="H1594" s="2">
        <v>190000000</v>
      </c>
      <c r="I1594" s="2">
        <v>7</v>
      </c>
      <c r="J1594" s="3">
        <v>16088610</v>
      </c>
      <c r="K1594">
        <f t="shared" si="56"/>
        <v>1.3775047412552699E-3</v>
      </c>
      <c r="R1594" s="12" t="str">
        <f ca="1">IFERROR(__xludf.DUMMYFUNCTION("""COMPUTED_VALUE"""),"Assault on Precinct 13 ")</f>
        <v>Assault on Precinct 13 </v>
      </c>
      <c r="S1594" s="12">
        <f t="shared" si="57"/>
        <v>21300105</v>
      </c>
    </row>
    <row r="1595" spans="1:19" x14ac:dyDescent="0.3">
      <c r="A1595" s="2" t="s">
        <v>74</v>
      </c>
      <c r="B1595" s="2">
        <v>154</v>
      </c>
      <c r="C1595" s="3">
        <v>138795342</v>
      </c>
      <c r="D1595" s="3" t="s">
        <v>885</v>
      </c>
      <c r="E1595" s="2" t="s">
        <v>103</v>
      </c>
      <c r="F1595" s="2" t="s">
        <v>10</v>
      </c>
      <c r="G1595" s="2" t="s">
        <v>11</v>
      </c>
      <c r="H1595" s="2">
        <v>195000000</v>
      </c>
      <c r="I1595" s="2">
        <v>6.3</v>
      </c>
      <c r="J1595" s="3">
        <v>16097842</v>
      </c>
      <c r="K1595">
        <f t="shared" si="56"/>
        <v>1.3775047412552699E-3</v>
      </c>
      <c r="R1595" s="12" t="str">
        <f ca="1">IFERROR(__xludf.DUMMYFUNCTION("""COMPUTED_VALUE"""),"The Replacement Killers ")</f>
        <v>The Replacement Killers </v>
      </c>
      <c r="S1595" s="12">
        <f t="shared" si="57"/>
        <v>42618434</v>
      </c>
    </row>
    <row r="1596" spans="1:19" x14ac:dyDescent="0.3">
      <c r="A1596" s="2" t="s">
        <v>4406</v>
      </c>
      <c r="B1596" s="2">
        <v>107</v>
      </c>
      <c r="C1596" s="3">
        <v>126975169</v>
      </c>
      <c r="D1596" s="3" t="s">
        <v>6235</v>
      </c>
      <c r="E1596" s="2" t="s">
        <v>4407</v>
      </c>
      <c r="F1596" s="2" t="s">
        <v>10</v>
      </c>
      <c r="G1596" s="2" t="s">
        <v>16</v>
      </c>
      <c r="H1596" s="2">
        <v>9000000</v>
      </c>
      <c r="I1596" s="2">
        <v>6.3</v>
      </c>
      <c r="J1596" s="3">
        <v>16101109</v>
      </c>
      <c r="K1596">
        <f t="shared" si="56"/>
        <v>1.3775047412552699E-3</v>
      </c>
      <c r="R1596" s="12" t="str">
        <f ca="1">IFERROR(__xludf.DUMMYFUNCTION("""COMPUTED_VALUE"""),"Fled ")</f>
        <v>Fled </v>
      </c>
      <c r="S1596" s="12">
        <f t="shared" si="57"/>
        <v>38751128</v>
      </c>
    </row>
    <row r="1597" spans="1:19" x14ac:dyDescent="0.3">
      <c r="A1597" s="2" t="s">
        <v>1589</v>
      </c>
      <c r="B1597" s="2">
        <v>150</v>
      </c>
      <c r="C1597" s="3">
        <v>167007184</v>
      </c>
      <c r="D1597" s="3" t="s">
        <v>5855</v>
      </c>
      <c r="E1597" s="2" t="s">
        <v>1893</v>
      </c>
      <c r="F1597" s="2" t="s">
        <v>10</v>
      </c>
      <c r="G1597" s="2" t="s">
        <v>11</v>
      </c>
      <c r="H1597" s="2">
        <v>37000000</v>
      </c>
      <c r="I1597" s="2">
        <v>7.6</v>
      </c>
      <c r="J1597" s="3">
        <v>16115878</v>
      </c>
      <c r="K1597">
        <f t="shared" si="56"/>
        <v>1.3775047412552699E-3</v>
      </c>
      <c r="R1597" s="12" t="str">
        <f ca="1">IFERROR(__xludf.DUMMYFUNCTION("""COMPUTED_VALUE"""),"Eight Legged Freaks ")</f>
        <v>Eight Legged Freaks </v>
      </c>
      <c r="S1597" s="12">
        <f t="shared" si="57"/>
        <v>27096190</v>
      </c>
    </row>
    <row r="1598" spans="1:19" x14ac:dyDescent="0.3">
      <c r="A1598" s="2" t="s">
        <v>3075</v>
      </c>
      <c r="B1598" s="2">
        <v>88</v>
      </c>
      <c r="C1598" s="3">
        <v>23618786</v>
      </c>
      <c r="D1598" s="3" t="s">
        <v>5778</v>
      </c>
      <c r="E1598" s="2" t="s">
        <v>3076</v>
      </c>
      <c r="F1598" s="2" t="s">
        <v>10</v>
      </c>
      <c r="G1598" s="2" t="s">
        <v>11</v>
      </c>
      <c r="H1598" s="2">
        <v>20000000</v>
      </c>
      <c r="I1598" s="2">
        <v>6.7</v>
      </c>
      <c r="J1598" s="3">
        <v>16118077</v>
      </c>
      <c r="K1598">
        <f t="shared" si="56"/>
        <v>1.3775047412552699E-3</v>
      </c>
      <c r="R1598" s="12" t="str">
        <f ca="1">IFERROR(__xludf.DUMMYFUNCTION("""COMPUTED_VALUE"""),"Love &amp; Other Drugs ")</f>
        <v>Love &amp; Other Drugs </v>
      </c>
      <c r="S1598" s="12">
        <f t="shared" si="57"/>
        <v>31415007</v>
      </c>
    </row>
    <row r="1599" spans="1:19" x14ac:dyDescent="0.3">
      <c r="A1599" s="2" t="s">
        <v>185</v>
      </c>
      <c r="B1599" s="2">
        <v>113</v>
      </c>
      <c r="C1599" s="3">
        <v>25871834</v>
      </c>
      <c r="D1599" s="3" t="s">
        <v>5898</v>
      </c>
      <c r="E1599" s="2" t="s">
        <v>186</v>
      </c>
      <c r="F1599" s="2" t="s">
        <v>10</v>
      </c>
      <c r="G1599" s="2" t="s">
        <v>11</v>
      </c>
      <c r="H1599" s="2">
        <v>170000000</v>
      </c>
      <c r="I1599" s="2">
        <v>6.4</v>
      </c>
      <c r="J1599" s="3">
        <v>16123851</v>
      </c>
      <c r="K1599">
        <f t="shared" si="56"/>
        <v>1.3775047412552699E-3</v>
      </c>
      <c r="R1599" s="12" t="str">
        <f ca="1">IFERROR(__xludf.DUMMYFUNCTION("""COMPUTED_VALUE"""),"88 Minutes ")</f>
        <v>88 Minutes </v>
      </c>
      <c r="S1599" s="12">
        <f t="shared" si="57"/>
        <v>-2000000</v>
      </c>
    </row>
    <row r="1600" spans="1:19" x14ac:dyDescent="0.3">
      <c r="A1600" s="2" t="s">
        <v>3237</v>
      </c>
      <c r="B1600" s="2">
        <v>170</v>
      </c>
      <c r="C1600" s="3">
        <v>53082743</v>
      </c>
      <c r="D1600" s="3" t="s">
        <v>5894</v>
      </c>
      <c r="E1600" s="2" t="s">
        <v>3238</v>
      </c>
      <c r="F1600" s="2" t="s">
        <v>10</v>
      </c>
      <c r="G1600" s="2" t="s">
        <v>11</v>
      </c>
      <c r="H1600" s="2">
        <v>17000000</v>
      </c>
      <c r="I1600" s="2">
        <v>7.9</v>
      </c>
      <c r="J1600" s="3">
        <v>16153600</v>
      </c>
      <c r="K1600">
        <f t="shared" si="56"/>
        <v>1.3775047412552699E-3</v>
      </c>
      <c r="R1600" s="12" t="str">
        <f ca="1">IFERROR(__xludf.DUMMYFUNCTION("""COMPUTED_VALUE"""),"North Country ")</f>
        <v>North Country </v>
      </c>
      <c r="S1600" s="12">
        <f t="shared" si="57"/>
        <v>-181670534</v>
      </c>
    </row>
    <row r="1601" spans="1:19" x14ac:dyDescent="0.3">
      <c r="A1601" s="2" t="s">
        <v>133</v>
      </c>
      <c r="B1601" s="2">
        <v>134</v>
      </c>
      <c r="C1601" s="3">
        <v>62401264</v>
      </c>
      <c r="D1601" s="3" t="s">
        <v>5778</v>
      </c>
      <c r="E1601" s="2" t="s">
        <v>704</v>
      </c>
      <c r="F1601" s="2" t="s">
        <v>10</v>
      </c>
      <c r="G1601" s="2" t="s">
        <v>11</v>
      </c>
      <c r="H1601" s="3">
        <v>80021740</v>
      </c>
      <c r="I1601" s="2">
        <v>7.6</v>
      </c>
      <c r="J1601" s="3">
        <v>16168741</v>
      </c>
      <c r="K1601">
        <f t="shared" si="56"/>
        <v>1.3775047412552699E-3</v>
      </c>
      <c r="R1601" s="12" t="str">
        <f ca="1">IFERROR(__xludf.DUMMYFUNCTION("""COMPUTED_VALUE"""),"The Whole Ten Yards ")</f>
        <v>The Whole Ten Yards </v>
      </c>
      <c r="S1601" s="12">
        <f t="shared" si="57"/>
        <v>-11410555</v>
      </c>
    </row>
    <row r="1602" spans="1:19" x14ac:dyDescent="0.3">
      <c r="A1602" s="2" t="s">
        <v>1928</v>
      </c>
      <c r="B1602" s="2">
        <v>95</v>
      </c>
      <c r="C1602" s="3">
        <v>36381716</v>
      </c>
      <c r="D1602" s="3" t="s">
        <v>5767</v>
      </c>
      <c r="E1602" s="2" t="s">
        <v>1929</v>
      </c>
      <c r="F1602" s="2" t="s">
        <v>10</v>
      </c>
      <c r="G1602" s="2" t="s">
        <v>11</v>
      </c>
      <c r="H1602" s="2">
        <v>35200000</v>
      </c>
      <c r="I1602" s="2">
        <v>5.4</v>
      </c>
      <c r="J1602" s="3">
        <v>16204793</v>
      </c>
      <c r="K1602">
        <f t="shared" ref="K1602:K1665" si="58">CORREL(H$2:H$3941,J$2:J$3941)</f>
        <v>1.3775047412552699E-3</v>
      </c>
      <c r="R1602" s="12" t="str">
        <f ca="1">IFERROR(__xludf.DUMMYFUNCTION("""COMPUTED_VALUE"""),"Splice ")</f>
        <v>Splice </v>
      </c>
      <c r="S1602" s="12">
        <f t="shared" si="57"/>
        <v>-32149737</v>
      </c>
    </row>
    <row r="1603" spans="1:19" x14ac:dyDescent="0.3">
      <c r="A1603" s="2" t="s">
        <v>43</v>
      </c>
      <c r="B1603" s="2">
        <v>74</v>
      </c>
      <c r="C1603" s="3">
        <v>58183966</v>
      </c>
      <c r="D1603" s="3" t="s">
        <v>6128</v>
      </c>
      <c r="E1603" s="2" t="s">
        <v>1583</v>
      </c>
      <c r="F1603" s="2" t="s">
        <v>10</v>
      </c>
      <c r="G1603" s="2" t="s">
        <v>11</v>
      </c>
      <c r="H1603" s="2">
        <v>40000000</v>
      </c>
      <c r="I1603" s="2">
        <v>6.5</v>
      </c>
      <c r="J1603" s="3">
        <v>16235293</v>
      </c>
      <c r="K1603">
        <f t="shared" si="58"/>
        <v>1.3775047412552699E-3</v>
      </c>
      <c r="R1603" s="12" t="str">
        <f ca="1">IFERROR(__xludf.DUMMYFUNCTION("""COMPUTED_VALUE"""),"Howard the Duck ")</f>
        <v>Howard the Duck </v>
      </c>
      <c r="S1603" s="12">
        <f t="shared" si="57"/>
        <v>20222861</v>
      </c>
    </row>
    <row r="1604" spans="1:19" x14ac:dyDescent="0.3">
      <c r="A1604" s="2" t="s">
        <v>3192</v>
      </c>
      <c r="B1604" s="2">
        <v>105</v>
      </c>
      <c r="C1604" s="3">
        <v>53021560</v>
      </c>
      <c r="D1604" s="3" t="s">
        <v>6151</v>
      </c>
      <c r="E1604" s="2" t="s">
        <v>3193</v>
      </c>
      <c r="F1604" s="2" t="s">
        <v>10</v>
      </c>
      <c r="G1604" s="2" t="s">
        <v>11</v>
      </c>
      <c r="H1604" s="2">
        <v>18000000</v>
      </c>
      <c r="I1604" s="2">
        <v>5.5</v>
      </c>
      <c r="J1604" s="3">
        <v>16247775</v>
      </c>
      <c r="K1604">
        <f t="shared" si="58"/>
        <v>1.3775047412552699E-3</v>
      </c>
      <c r="R1604" s="12" t="str">
        <f ca="1">IFERROR(__xludf.DUMMYFUNCTION("""COMPUTED_VALUE"""),"Pride and Glory ")</f>
        <v>Pride and Glory </v>
      </c>
      <c r="S1604" s="12">
        <f t="shared" si="57"/>
        <v>10226144</v>
      </c>
    </row>
    <row r="1605" spans="1:19" x14ac:dyDescent="0.3">
      <c r="A1605" s="2" t="s">
        <v>2511</v>
      </c>
      <c r="B1605" s="2">
        <v>109</v>
      </c>
      <c r="C1605" s="3">
        <v>30259652</v>
      </c>
      <c r="D1605" s="3" t="s">
        <v>6175</v>
      </c>
      <c r="E1605" s="2" t="s">
        <v>3738</v>
      </c>
      <c r="F1605" s="2" t="s">
        <v>10</v>
      </c>
      <c r="G1605" s="2" t="s">
        <v>11</v>
      </c>
      <c r="H1605" s="2">
        <v>12500000</v>
      </c>
      <c r="I1605" s="2">
        <v>6.9</v>
      </c>
      <c r="J1605" s="3">
        <v>16248701</v>
      </c>
      <c r="K1605">
        <f t="shared" si="58"/>
        <v>1.3775047412552699E-3</v>
      </c>
      <c r="R1605" s="12" t="str">
        <f ca="1">IFERROR(__xludf.DUMMYFUNCTION("""COMPUTED_VALUE"""),"The Cave ")</f>
        <v>The Cave </v>
      </c>
      <c r="S1605" s="12">
        <f t="shared" si="57"/>
        <v>15452312</v>
      </c>
    </row>
    <row r="1606" spans="1:19" x14ac:dyDescent="0.3">
      <c r="A1606" s="2" t="s">
        <v>1551</v>
      </c>
      <c r="B1606" s="2">
        <v>109</v>
      </c>
      <c r="C1606" s="3">
        <v>21371425</v>
      </c>
      <c r="D1606" s="3" t="s">
        <v>5759</v>
      </c>
      <c r="E1606" s="2" t="s">
        <v>2332</v>
      </c>
      <c r="F1606" s="2" t="s">
        <v>10</v>
      </c>
      <c r="G1606" s="2" t="s">
        <v>11</v>
      </c>
      <c r="H1606" s="2">
        <v>30000000</v>
      </c>
      <c r="I1606" s="2">
        <v>6.1</v>
      </c>
      <c r="J1606" s="3">
        <v>16252765</v>
      </c>
      <c r="K1606">
        <f t="shared" si="58"/>
        <v>1.3775047412552699E-3</v>
      </c>
      <c r="R1606" s="12" t="str">
        <f ca="1">IFERROR(__xludf.DUMMYFUNCTION("""COMPUTED_VALUE"""),"Alex &amp; Emma ")</f>
        <v>Alex &amp; Emma </v>
      </c>
      <c r="S1606" s="12">
        <f t="shared" si="57"/>
        <v>41868445</v>
      </c>
    </row>
    <row r="1607" spans="1:19" x14ac:dyDescent="0.3">
      <c r="A1607" s="2" t="s">
        <v>131</v>
      </c>
      <c r="B1607" s="2">
        <v>106</v>
      </c>
      <c r="C1607" s="3">
        <v>4720371</v>
      </c>
      <c r="D1607" s="3" t="s">
        <v>6236</v>
      </c>
      <c r="E1607" s="2" t="s">
        <v>174</v>
      </c>
      <c r="F1607" s="2" t="s">
        <v>10</v>
      </c>
      <c r="G1607" s="2" t="s">
        <v>11</v>
      </c>
      <c r="H1607" s="2">
        <v>38000000</v>
      </c>
      <c r="I1607" s="2">
        <v>6.7</v>
      </c>
      <c r="J1607" s="3">
        <v>16264475</v>
      </c>
      <c r="K1607">
        <f t="shared" si="58"/>
        <v>1.3775047412552699E-3</v>
      </c>
      <c r="R1607" s="12" t="str">
        <f ca="1">IFERROR(__xludf.DUMMYFUNCTION("""COMPUTED_VALUE"""),"Wicker Park ")</f>
        <v>Wicker Park </v>
      </c>
      <c r="S1607" s="12">
        <f t="shared" si="57"/>
        <v>15357532</v>
      </c>
    </row>
    <row r="1608" spans="1:19" x14ac:dyDescent="0.3">
      <c r="A1608" s="2" t="s">
        <v>220</v>
      </c>
      <c r="B1608" s="2">
        <v>111</v>
      </c>
      <c r="C1608" s="3">
        <v>27285953</v>
      </c>
      <c r="D1608" s="3" t="s">
        <v>5825</v>
      </c>
      <c r="E1608" s="2" t="s">
        <v>4238</v>
      </c>
      <c r="F1608" s="2" t="s">
        <v>10</v>
      </c>
      <c r="G1608" s="2" t="s">
        <v>11</v>
      </c>
      <c r="H1608" s="2">
        <v>8000000</v>
      </c>
      <c r="I1608" s="2">
        <v>6.2</v>
      </c>
      <c r="J1608" s="3">
        <v>16284360</v>
      </c>
      <c r="K1608">
        <f t="shared" si="58"/>
        <v>1.3775047412552699E-3</v>
      </c>
      <c r="R1608" s="12" t="str">
        <f ca="1">IFERROR(__xludf.DUMMYFUNCTION("""COMPUTED_VALUE"""),"Fright Night ")</f>
        <v>Fright Night </v>
      </c>
      <c r="S1608" s="12">
        <f t="shared" si="57"/>
        <v>76711404</v>
      </c>
    </row>
    <row r="1609" spans="1:19" x14ac:dyDescent="0.3">
      <c r="A1609" s="2" t="s">
        <v>197</v>
      </c>
      <c r="B1609" s="2">
        <v>145</v>
      </c>
      <c r="C1609" s="3">
        <v>25277561</v>
      </c>
      <c r="D1609" s="3" t="s">
        <v>6237</v>
      </c>
      <c r="E1609" s="2" t="s">
        <v>3586</v>
      </c>
      <c r="F1609" s="2" t="s">
        <v>10</v>
      </c>
      <c r="G1609" s="2" t="s">
        <v>11</v>
      </c>
      <c r="H1609" s="2">
        <v>14000000</v>
      </c>
      <c r="I1609" s="2">
        <v>7.2</v>
      </c>
      <c r="J1609" s="3">
        <v>16290976</v>
      </c>
      <c r="K1609">
        <f t="shared" si="58"/>
        <v>1.3775047412552699E-3</v>
      </c>
      <c r="R1609" s="12" t="str">
        <f ca="1">IFERROR(__xludf.DUMMYFUNCTION("""COMPUTED_VALUE"""),"The New World ")</f>
        <v>The New World </v>
      </c>
      <c r="S1609" s="12">
        <f t="shared" si="57"/>
        <v>-40795501</v>
      </c>
    </row>
    <row r="1610" spans="1:19" x14ac:dyDescent="0.3">
      <c r="A1610" s="2" t="s">
        <v>4039</v>
      </c>
      <c r="B1610" s="2">
        <v>108</v>
      </c>
      <c r="C1610" s="3">
        <v>18324242</v>
      </c>
      <c r="D1610" s="3" t="s">
        <v>6201</v>
      </c>
      <c r="E1610" s="2" t="s">
        <v>4040</v>
      </c>
      <c r="F1610" s="2" t="s">
        <v>10</v>
      </c>
      <c r="G1610" s="2" t="s">
        <v>11</v>
      </c>
      <c r="H1610" s="2">
        <v>10000000</v>
      </c>
      <c r="I1610" s="2">
        <v>7</v>
      </c>
      <c r="J1610" s="3">
        <v>16295774</v>
      </c>
      <c r="K1610">
        <f t="shared" si="58"/>
        <v>1.3775047412552699E-3</v>
      </c>
      <c r="R1610" s="12" t="str">
        <f ca="1">IFERROR(__xludf.DUMMYFUNCTION("""COMPUTED_VALUE"""),"Wing Commander ")</f>
        <v>Wing Commander </v>
      </c>
      <c r="S1610" s="12">
        <f t="shared" si="57"/>
        <v>24400000</v>
      </c>
    </row>
    <row r="1611" spans="1:19" x14ac:dyDescent="0.3">
      <c r="A1611" s="2" t="s">
        <v>189</v>
      </c>
      <c r="B1611" s="2">
        <v>93</v>
      </c>
      <c r="C1611" s="3">
        <v>41256277</v>
      </c>
      <c r="D1611" s="3" t="s">
        <v>6238</v>
      </c>
      <c r="E1611" s="2" t="s">
        <v>2121</v>
      </c>
      <c r="F1611" s="2" t="s">
        <v>10</v>
      </c>
      <c r="G1611" s="2" t="s">
        <v>11</v>
      </c>
      <c r="H1611" s="2">
        <v>32000000</v>
      </c>
      <c r="I1611" s="2">
        <v>7.5</v>
      </c>
      <c r="J1611" s="3">
        <v>16298046</v>
      </c>
      <c r="K1611">
        <f t="shared" si="58"/>
        <v>1.3775047412552699E-3</v>
      </c>
      <c r="R1611" s="12" t="str">
        <f ca="1">IFERROR(__xludf.DUMMYFUNCTION("""COMPUTED_VALUE"""),"In Dreams ")</f>
        <v>In Dreams </v>
      </c>
      <c r="S1611" s="12">
        <f t="shared" si="57"/>
        <v>-3622000</v>
      </c>
    </row>
    <row r="1612" spans="1:19" x14ac:dyDescent="0.3">
      <c r="A1612" s="2" t="s">
        <v>218</v>
      </c>
      <c r="B1612" s="2">
        <v>100</v>
      </c>
      <c r="C1612" s="3">
        <v>47034272</v>
      </c>
      <c r="D1612" s="3" t="s">
        <v>5849</v>
      </c>
      <c r="E1612" s="2" t="s">
        <v>294</v>
      </c>
      <c r="F1612" s="2" t="s">
        <v>10</v>
      </c>
      <c r="G1612" s="2" t="s">
        <v>98</v>
      </c>
      <c r="H1612" s="2">
        <v>135000000</v>
      </c>
      <c r="I1612" s="2">
        <v>5.9</v>
      </c>
      <c r="J1612" s="3">
        <v>16300302</v>
      </c>
      <c r="K1612">
        <f t="shared" si="58"/>
        <v>1.3775047412552699E-3</v>
      </c>
      <c r="R1612" s="12" t="str">
        <f ca="1">IFERROR(__xludf.DUMMYFUNCTION("""COMPUTED_VALUE"""),"Dragonball: Evolution ")</f>
        <v>Dragonball: Evolution </v>
      </c>
      <c r="S1612" s="12">
        <f t="shared" si="57"/>
        <v>15752337</v>
      </c>
    </row>
    <row r="1613" spans="1:19" x14ac:dyDescent="0.3">
      <c r="A1613" s="2" t="s">
        <v>3418</v>
      </c>
      <c r="B1613" s="2">
        <v>90</v>
      </c>
      <c r="C1613" s="3">
        <v>35057332</v>
      </c>
      <c r="D1613" s="3" t="s">
        <v>5804</v>
      </c>
      <c r="E1613" s="2" t="s">
        <v>5135</v>
      </c>
      <c r="F1613" s="2" t="s">
        <v>10</v>
      </c>
      <c r="G1613" s="2" t="s">
        <v>16</v>
      </c>
      <c r="H1613" s="2">
        <v>1000000</v>
      </c>
      <c r="I1613" s="2">
        <v>7.8</v>
      </c>
      <c r="J1613" s="3">
        <v>16311763</v>
      </c>
      <c r="K1613">
        <f t="shared" si="58"/>
        <v>1.3775047412552699E-3</v>
      </c>
      <c r="R1613" s="12" t="str">
        <f ca="1">IFERROR(__xludf.DUMMYFUNCTION("""COMPUTED_VALUE"""),"The Last Stand ")</f>
        <v>The Last Stand </v>
      </c>
      <c r="S1613" s="12">
        <f t="shared" si="57"/>
        <v>3687172</v>
      </c>
    </row>
    <row r="1614" spans="1:19" x14ac:dyDescent="0.3">
      <c r="A1614" s="2" t="s">
        <v>4572</v>
      </c>
      <c r="B1614" s="2">
        <v>104</v>
      </c>
      <c r="C1614" s="3">
        <v>18317151</v>
      </c>
      <c r="D1614" s="3" t="s">
        <v>885</v>
      </c>
      <c r="E1614" s="2" t="s">
        <v>4573</v>
      </c>
      <c r="F1614" s="2" t="s">
        <v>10</v>
      </c>
      <c r="G1614" s="2" t="s">
        <v>11</v>
      </c>
      <c r="H1614" s="2">
        <v>5000000</v>
      </c>
      <c r="I1614" s="2">
        <v>6.6</v>
      </c>
      <c r="J1614" s="3">
        <v>16323969</v>
      </c>
      <c r="K1614">
        <f t="shared" si="58"/>
        <v>1.3775047412552699E-3</v>
      </c>
      <c r="R1614" s="12" t="str">
        <f ca="1">IFERROR(__xludf.DUMMYFUNCTION("""COMPUTED_VALUE"""),"Godsend ")</f>
        <v>Godsend </v>
      </c>
      <c r="S1614" s="12">
        <f t="shared" si="57"/>
        <v>41133888</v>
      </c>
    </row>
    <row r="1615" spans="1:19" x14ac:dyDescent="0.3">
      <c r="A1615" s="2" t="s">
        <v>2216</v>
      </c>
      <c r="B1615" s="2">
        <v>108</v>
      </c>
      <c r="C1615" s="2">
        <v>3203044</v>
      </c>
      <c r="D1615" s="3" t="s">
        <v>5869</v>
      </c>
      <c r="E1615" s="2" t="s">
        <v>3211</v>
      </c>
      <c r="F1615" s="2" t="s">
        <v>10</v>
      </c>
      <c r="G1615" s="2" t="s">
        <v>11</v>
      </c>
      <c r="H1615" s="2">
        <v>18000000</v>
      </c>
      <c r="I1615" s="2">
        <v>6.4</v>
      </c>
      <c r="J1615" s="3">
        <v>16346122</v>
      </c>
      <c r="K1615">
        <f t="shared" si="58"/>
        <v>1.3775047412552699E-3</v>
      </c>
      <c r="R1615" s="12" t="str">
        <f ca="1">IFERROR(__xludf.DUMMYFUNCTION("""COMPUTED_VALUE"""),"Chasing Liberty ")</f>
        <v>Chasing Liberty </v>
      </c>
      <c r="S1615" s="12">
        <f t="shared" si="57"/>
        <v>-66799988</v>
      </c>
    </row>
    <row r="1616" spans="1:19" x14ac:dyDescent="0.3">
      <c r="A1616" s="2" t="s">
        <v>108</v>
      </c>
      <c r="B1616" s="2">
        <v>98</v>
      </c>
      <c r="C1616" s="3">
        <v>12784713</v>
      </c>
      <c r="D1616" s="3" t="s">
        <v>520</v>
      </c>
      <c r="E1616" s="2" t="s">
        <v>5591</v>
      </c>
      <c r="F1616" s="2" t="s">
        <v>10</v>
      </c>
      <c r="G1616" s="2" t="s">
        <v>11</v>
      </c>
      <c r="H1616" s="2">
        <v>250000</v>
      </c>
      <c r="I1616" s="2">
        <v>7.2</v>
      </c>
      <c r="J1616" s="3">
        <v>16377274</v>
      </c>
      <c r="K1616">
        <f t="shared" si="58"/>
        <v>1.3775047412552699E-3</v>
      </c>
      <c r="R1616" s="12" t="str">
        <f ca="1">IFERROR(__xludf.DUMMYFUNCTION("""COMPUTED_VALUE"""),"Hoodwinked Too! Hood vs. Evil ")</f>
        <v>Hoodwinked Too! Hood vs. Evil </v>
      </c>
      <c r="S1616" s="12">
        <f t="shared" si="57"/>
        <v>-185222993</v>
      </c>
    </row>
    <row r="1617" spans="1:19" x14ac:dyDescent="0.3">
      <c r="A1617" s="2" t="s">
        <v>3467</v>
      </c>
      <c r="B1617" s="2">
        <v>100</v>
      </c>
      <c r="C1617" s="3">
        <v>38624000</v>
      </c>
      <c r="D1617" s="3" t="s">
        <v>6134</v>
      </c>
      <c r="E1617" s="2" t="s">
        <v>3468</v>
      </c>
      <c r="F1617" s="2" t="s">
        <v>10</v>
      </c>
      <c r="G1617" s="2" t="s">
        <v>11</v>
      </c>
      <c r="H1617" s="2">
        <v>15000000</v>
      </c>
      <c r="I1617" s="2">
        <v>6.4</v>
      </c>
      <c r="J1617" s="3">
        <v>16459004</v>
      </c>
      <c r="K1617">
        <f t="shared" si="58"/>
        <v>1.3775047412552699E-3</v>
      </c>
      <c r="R1617" s="12" t="str">
        <f ca="1">IFERROR(__xludf.DUMMYFUNCTION("""COMPUTED_VALUE"""),"An Unfinished Life ")</f>
        <v>An Unfinished Life </v>
      </c>
      <c r="S1617" s="12">
        <f t="shared" si="57"/>
        <v>-56204658</v>
      </c>
    </row>
    <row r="1618" spans="1:19" x14ac:dyDescent="0.3">
      <c r="A1618" s="2" t="s">
        <v>3363</v>
      </c>
      <c r="B1618" s="2">
        <v>161</v>
      </c>
      <c r="C1618" s="3">
        <v>95001343</v>
      </c>
      <c r="D1618" s="3" t="s">
        <v>5940</v>
      </c>
      <c r="E1618" s="2" t="s">
        <v>3364</v>
      </c>
      <c r="F1618" s="2" t="s">
        <v>10</v>
      </c>
      <c r="G1618" s="2" t="s">
        <v>504</v>
      </c>
      <c r="H1618" s="2">
        <v>13000000</v>
      </c>
      <c r="I1618" s="2">
        <v>7.3</v>
      </c>
      <c r="J1618" s="3">
        <v>16501785</v>
      </c>
      <c r="K1618">
        <f t="shared" si="58"/>
        <v>1.3775047412552699E-3</v>
      </c>
      <c r="R1618" s="12" t="str">
        <f ca="1">IFERROR(__xludf.DUMMYFUNCTION("""COMPUTED_VALUE"""),"The Imaginarium of Doctor Parnassus ")</f>
        <v>The Imaginarium of Doctor Parnassus </v>
      </c>
      <c r="S1618" s="12">
        <f t="shared" si="57"/>
        <v>117975169</v>
      </c>
    </row>
    <row r="1619" spans="1:19" x14ac:dyDescent="0.3">
      <c r="A1619" s="2" t="s">
        <v>45</v>
      </c>
      <c r="B1619" s="2">
        <v>108</v>
      </c>
      <c r="C1619" s="3">
        <v>43771291</v>
      </c>
      <c r="D1619" s="3" t="s">
        <v>6221</v>
      </c>
      <c r="E1619" s="2" t="s">
        <v>4685</v>
      </c>
      <c r="F1619" s="2" t="s">
        <v>10</v>
      </c>
      <c r="G1619" s="2" t="s">
        <v>47</v>
      </c>
      <c r="H1619" s="2">
        <v>5000000</v>
      </c>
      <c r="I1619" s="2">
        <v>7.4</v>
      </c>
      <c r="J1619" s="3">
        <v>16574731</v>
      </c>
      <c r="K1619">
        <f t="shared" si="58"/>
        <v>1.3775047412552699E-3</v>
      </c>
      <c r="R1619" s="12" t="str">
        <f ca="1">IFERROR(__xludf.DUMMYFUNCTION("""COMPUTED_VALUE"""),"Runner Runner ")</f>
        <v>Runner Runner </v>
      </c>
      <c r="S1619" s="12">
        <f t="shared" si="57"/>
        <v>130007184</v>
      </c>
    </row>
    <row r="1620" spans="1:19" x14ac:dyDescent="0.3">
      <c r="A1620" s="2" t="s">
        <v>479</v>
      </c>
      <c r="B1620" s="2">
        <v>104</v>
      </c>
      <c r="C1620" s="3">
        <v>16033556</v>
      </c>
      <c r="D1620" s="3" t="s">
        <v>5919</v>
      </c>
      <c r="E1620" s="2" t="s">
        <v>1770</v>
      </c>
      <c r="F1620" s="2" t="s">
        <v>10</v>
      </c>
      <c r="G1620" s="2" t="s">
        <v>199</v>
      </c>
      <c r="H1620" s="2">
        <v>40000000</v>
      </c>
      <c r="I1620" s="2">
        <v>4.7</v>
      </c>
      <c r="J1620" s="3">
        <v>16640210</v>
      </c>
      <c r="K1620">
        <f t="shared" si="58"/>
        <v>1.3775047412552699E-3</v>
      </c>
      <c r="R1620" s="12" t="str">
        <f ca="1">IFERROR(__xludf.DUMMYFUNCTION("""COMPUTED_VALUE"""),"Antitrust ")</f>
        <v>Antitrust </v>
      </c>
      <c r="S1620" s="12">
        <f t="shared" si="57"/>
        <v>3618786</v>
      </c>
    </row>
    <row r="1621" spans="1:19" x14ac:dyDescent="0.3">
      <c r="A1621" s="2" t="s">
        <v>1428</v>
      </c>
      <c r="B1621" s="2">
        <v>93</v>
      </c>
      <c r="C1621" s="2">
        <v>17096053</v>
      </c>
      <c r="D1621" s="3" t="s">
        <v>5757</v>
      </c>
      <c r="E1621" s="2" t="s">
        <v>4014</v>
      </c>
      <c r="F1621" s="2" t="s">
        <v>10</v>
      </c>
      <c r="G1621" s="2" t="s">
        <v>11</v>
      </c>
      <c r="H1621" s="2">
        <v>9000000</v>
      </c>
      <c r="I1621" s="2">
        <v>7.7</v>
      </c>
      <c r="J1621" s="3">
        <v>16647384</v>
      </c>
      <c r="K1621">
        <f t="shared" si="58"/>
        <v>1.3775047412552699E-3</v>
      </c>
      <c r="R1621" s="12" t="str">
        <f ca="1">IFERROR(__xludf.DUMMYFUNCTION("""COMPUTED_VALUE"""),"Glory ")</f>
        <v>Glory </v>
      </c>
      <c r="S1621" s="12">
        <f t="shared" si="57"/>
        <v>-144128166</v>
      </c>
    </row>
    <row r="1622" spans="1:19" x14ac:dyDescent="0.3">
      <c r="A1622" s="2" t="s">
        <v>2720</v>
      </c>
      <c r="B1622" s="2">
        <v>118</v>
      </c>
      <c r="C1622" s="3">
        <v>53146000</v>
      </c>
      <c r="D1622" s="3" t="s">
        <v>6239</v>
      </c>
      <c r="E1622" s="2" t="s">
        <v>2721</v>
      </c>
      <c r="F1622" s="2" t="s">
        <v>10</v>
      </c>
      <c r="G1622" s="2" t="s">
        <v>11</v>
      </c>
      <c r="H1622" s="2">
        <v>23000000</v>
      </c>
      <c r="I1622" s="2">
        <v>6.7</v>
      </c>
      <c r="J1622" s="3">
        <v>16667084</v>
      </c>
      <c r="K1622">
        <f t="shared" si="58"/>
        <v>1.3775047412552699E-3</v>
      </c>
      <c r="R1622" s="12" t="str">
        <f ca="1">IFERROR(__xludf.DUMMYFUNCTION("""COMPUTED_VALUE"""),"Once Upon a Time in America ")</f>
        <v>Once Upon a Time in America </v>
      </c>
      <c r="S1622" s="12">
        <f t="shared" si="57"/>
        <v>36082743</v>
      </c>
    </row>
    <row r="1623" spans="1:19" x14ac:dyDescent="0.3">
      <c r="A1623" s="2" t="s">
        <v>847</v>
      </c>
      <c r="B1623" s="2">
        <v>189</v>
      </c>
      <c r="C1623" s="3">
        <v>6565495</v>
      </c>
      <c r="D1623" s="3" t="s">
        <v>5759</v>
      </c>
      <c r="E1623" s="2" t="s">
        <v>1032</v>
      </c>
      <c r="F1623" s="2" t="s">
        <v>10</v>
      </c>
      <c r="G1623" s="2" t="s">
        <v>11</v>
      </c>
      <c r="H1623" s="2">
        <v>60000000</v>
      </c>
      <c r="I1623" s="2">
        <v>8.5</v>
      </c>
      <c r="J1623" s="3">
        <v>16671505</v>
      </c>
      <c r="K1623">
        <f t="shared" si="58"/>
        <v>1.3775047412552699E-3</v>
      </c>
      <c r="R1623" s="12" t="str">
        <f ca="1">IFERROR(__xludf.DUMMYFUNCTION("""COMPUTED_VALUE"""),"Dead Man Down ")</f>
        <v>Dead Man Down </v>
      </c>
      <c r="S1623" s="12">
        <f t="shared" si="57"/>
        <v>-17620476</v>
      </c>
    </row>
    <row r="1624" spans="1:19" x14ac:dyDescent="0.3">
      <c r="A1624" s="2" t="s">
        <v>4541</v>
      </c>
      <c r="B1624" s="2">
        <v>97</v>
      </c>
      <c r="C1624" s="3">
        <v>27000000</v>
      </c>
      <c r="D1624" s="3" t="s">
        <v>6240</v>
      </c>
      <c r="E1624" s="2" t="s">
        <v>4542</v>
      </c>
      <c r="F1624" s="2" t="s">
        <v>10</v>
      </c>
      <c r="G1624" s="2" t="s">
        <v>11</v>
      </c>
      <c r="H1624" s="2">
        <v>6000000</v>
      </c>
      <c r="I1624" s="2">
        <v>6.2</v>
      </c>
      <c r="J1624" s="3">
        <v>16684352</v>
      </c>
      <c r="K1624">
        <f t="shared" si="58"/>
        <v>1.3775047412552699E-3</v>
      </c>
      <c r="R1624" s="12" t="str">
        <f ca="1">IFERROR(__xludf.DUMMYFUNCTION("""COMPUTED_VALUE"""),"The Merchant of Venice ")</f>
        <v>The Merchant of Venice </v>
      </c>
      <c r="S1624" s="12">
        <f t="shared" si="57"/>
        <v>1181716</v>
      </c>
    </row>
    <row r="1625" spans="1:19" x14ac:dyDescent="0.3">
      <c r="A1625" s="2" t="s">
        <v>207</v>
      </c>
      <c r="B1625" s="2">
        <v>83</v>
      </c>
      <c r="C1625" s="3">
        <v>60652036</v>
      </c>
      <c r="D1625" s="3" t="s">
        <v>5910</v>
      </c>
      <c r="E1625" s="2" t="s">
        <v>1047</v>
      </c>
      <c r="F1625" s="2" t="s">
        <v>10</v>
      </c>
      <c r="G1625" s="2" t="s">
        <v>11</v>
      </c>
      <c r="H1625" s="2">
        <v>105000000</v>
      </c>
      <c r="I1625" s="2">
        <v>6.6</v>
      </c>
      <c r="J1625" s="3">
        <v>16699684</v>
      </c>
      <c r="K1625">
        <f t="shared" si="58"/>
        <v>1.3775047412552699E-3</v>
      </c>
      <c r="R1625" s="12" t="str">
        <f ca="1">IFERROR(__xludf.DUMMYFUNCTION("""COMPUTED_VALUE"""),"The Good Thief ")</f>
        <v>The Good Thief </v>
      </c>
      <c r="S1625" s="12">
        <f t="shared" ref="S1625:S1688" si="59">C1603-H1603</f>
        <v>18183966</v>
      </c>
    </row>
    <row r="1626" spans="1:19" x14ac:dyDescent="0.3">
      <c r="A1626" s="2" t="s">
        <v>57</v>
      </c>
      <c r="B1626" s="2">
        <v>147</v>
      </c>
      <c r="C1626" s="3">
        <v>33592415</v>
      </c>
      <c r="D1626" s="3" t="s">
        <v>5773</v>
      </c>
      <c r="E1626" s="2" t="s">
        <v>58</v>
      </c>
      <c r="F1626" s="2" t="s">
        <v>10</v>
      </c>
      <c r="G1626" s="2" t="s">
        <v>11</v>
      </c>
      <c r="H1626" s="2">
        <v>250000000</v>
      </c>
      <c r="I1626" s="2">
        <v>8.1999999999999993</v>
      </c>
      <c r="J1626" s="3">
        <v>16702864</v>
      </c>
      <c r="K1626">
        <f t="shared" si="58"/>
        <v>1.3775047412552699E-3</v>
      </c>
      <c r="R1626" s="12" t="str">
        <f ca="1">IFERROR(__xludf.DUMMYFUNCTION("""COMPUTED_VALUE"""),"Miss Potter ")</f>
        <v>Miss Potter </v>
      </c>
      <c r="S1626" s="12">
        <f t="shared" si="59"/>
        <v>35021560</v>
      </c>
    </row>
    <row r="1627" spans="1:19" x14ac:dyDescent="0.3">
      <c r="A1627" s="2" t="s">
        <v>4944</v>
      </c>
      <c r="B1627" s="2">
        <v>104</v>
      </c>
      <c r="C1627" s="3">
        <v>19976073</v>
      </c>
      <c r="D1627" s="3" t="s">
        <v>5754</v>
      </c>
      <c r="E1627" s="2" t="s">
        <v>4945</v>
      </c>
      <c r="F1627" s="2" t="s">
        <v>10</v>
      </c>
      <c r="G1627" s="2" t="s">
        <v>11</v>
      </c>
      <c r="H1627" s="2">
        <v>4500000</v>
      </c>
      <c r="I1627" s="2">
        <v>7.1</v>
      </c>
      <c r="J1627" s="3">
        <v>16779636</v>
      </c>
      <c r="K1627">
        <f t="shared" si="58"/>
        <v>1.3775047412552699E-3</v>
      </c>
      <c r="R1627" s="12" t="str">
        <f ca="1">IFERROR(__xludf.DUMMYFUNCTION("""COMPUTED_VALUE"""),"The Promise ")</f>
        <v>The Promise </v>
      </c>
      <c r="S1627" s="12">
        <f t="shared" si="59"/>
        <v>17759652</v>
      </c>
    </row>
    <row r="1628" spans="1:19" x14ac:dyDescent="0.3">
      <c r="A1628" s="2" t="s">
        <v>376</v>
      </c>
      <c r="B1628" s="2">
        <v>91</v>
      </c>
      <c r="C1628" s="3">
        <v>51758599</v>
      </c>
      <c r="D1628" s="3" t="s">
        <v>520</v>
      </c>
      <c r="E1628" s="2" t="s">
        <v>2386</v>
      </c>
      <c r="F1628" s="2" t="s">
        <v>10</v>
      </c>
      <c r="G1628" s="2" t="s">
        <v>11</v>
      </c>
      <c r="H1628" s="2">
        <v>30000000</v>
      </c>
      <c r="I1628" s="2">
        <v>7.3</v>
      </c>
      <c r="J1628" s="3">
        <v>16800000</v>
      </c>
      <c r="K1628">
        <f t="shared" si="58"/>
        <v>1.3775047412552699E-3</v>
      </c>
      <c r="R1628" s="12" t="str">
        <f ca="1">IFERROR(__xludf.DUMMYFUNCTION("""COMPUTED_VALUE"""),"DOA: Dead or Alive ")</f>
        <v>DOA: Dead or Alive </v>
      </c>
      <c r="S1628" s="12">
        <f t="shared" si="59"/>
        <v>-8628575</v>
      </c>
    </row>
    <row r="1629" spans="1:19" x14ac:dyDescent="0.3">
      <c r="A1629" s="2" t="s">
        <v>1059</v>
      </c>
      <c r="B1629" s="2">
        <v>122</v>
      </c>
      <c r="C1629" s="3">
        <v>14545844</v>
      </c>
      <c r="D1629" s="3" t="s">
        <v>5976</v>
      </c>
      <c r="E1629" s="2" t="s">
        <v>2640</v>
      </c>
      <c r="F1629" s="2" t="s">
        <v>10</v>
      </c>
      <c r="G1629" s="2" t="s">
        <v>11</v>
      </c>
      <c r="H1629" s="2">
        <v>25000000</v>
      </c>
      <c r="I1629" s="2">
        <v>7</v>
      </c>
      <c r="J1629" s="3">
        <v>16831505</v>
      </c>
      <c r="K1629">
        <f t="shared" si="58"/>
        <v>1.3775047412552699E-3</v>
      </c>
      <c r="R1629" s="12" t="str">
        <f ca="1">IFERROR(__xludf.DUMMYFUNCTION("""COMPUTED_VALUE"""),"The Assassination of Jesse James by the Coward Robert Ford ")</f>
        <v>The Assassination of Jesse James by the Coward Robert Ford </v>
      </c>
      <c r="S1629" s="12">
        <f t="shared" si="59"/>
        <v>-33279629</v>
      </c>
    </row>
    <row r="1630" spans="1:19" x14ac:dyDescent="0.3">
      <c r="A1630" s="2" t="s">
        <v>4801</v>
      </c>
      <c r="B1630" s="2">
        <v>96</v>
      </c>
      <c r="C1630" s="3">
        <v>68856263</v>
      </c>
      <c r="D1630" s="3" t="s">
        <v>6241</v>
      </c>
      <c r="E1630" s="2" t="s">
        <v>4802</v>
      </c>
      <c r="F1630" s="2" t="s">
        <v>10</v>
      </c>
      <c r="G1630" s="2" t="s">
        <v>11</v>
      </c>
      <c r="H1630" s="2">
        <v>4000000</v>
      </c>
      <c r="I1630" s="2">
        <v>6.6</v>
      </c>
      <c r="J1630" s="3">
        <v>16842303</v>
      </c>
      <c r="K1630">
        <f t="shared" si="58"/>
        <v>1.3775047412552699E-3</v>
      </c>
      <c r="R1630" s="12" t="str">
        <f ca="1">IFERROR(__xludf.DUMMYFUNCTION("""COMPUTED_VALUE"""),"1911 ")</f>
        <v>1911 </v>
      </c>
      <c r="S1630" s="12">
        <f t="shared" si="59"/>
        <v>19285953</v>
      </c>
    </row>
    <row r="1631" spans="1:19" x14ac:dyDescent="0.3">
      <c r="A1631" s="2" t="s">
        <v>240</v>
      </c>
      <c r="B1631" s="2">
        <v>94</v>
      </c>
      <c r="C1631" s="3">
        <v>65535067</v>
      </c>
      <c r="D1631" s="3" t="s">
        <v>6047</v>
      </c>
      <c r="E1631" s="2" t="s">
        <v>4707</v>
      </c>
      <c r="F1631" s="2" t="s">
        <v>10</v>
      </c>
      <c r="G1631" s="2" t="s">
        <v>11</v>
      </c>
      <c r="H1631" s="2">
        <v>5000000</v>
      </c>
      <c r="I1631" s="2">
        <v>6.2</v>
      </c>
      <c r="J1631" s="3">
        <v>16901126</v>
      </c>
      <c r="K1631">
        <f t="shared" si="58"/>
        <v>1.3775047412552699E-3</v>
      </c>
      <c r="R1631" s="12" t="str">
        <f ca="1">IFERROR(__xludf.DUMMYFUNCTION("""COMPUTED_VALUE"""),"Machine Gun Preacher ")</f>
        <v>Machine Gun Preacher </v>
      </c>
      <c r="S1631" s="12">
        <f t="shared" si="59"/>
        <v>11277561</v>
      </c>
    </row>
    <row r="1632" spans="1:19" x14ac:dyDescent="0.3">
      <c r="A1632" s="2" t="s">
        <v>29</v>
      </c>
      <c r="B1632" s="2">
        <v>128</v>
      </c>
      <c r="C1632" s="2">
        <v>36381716</v>
      </c>
      <c r="D1632" s="3" t="s">
        <v>6088</v>
      </c>
      <c r="E1632" s="2" t="s">
        <v>830</v>
      </c>
      <c r="F1632" s="2" t="s">
        <v>10</v>
      </c>
      <c r="G1632" s="2" t="s">
        <v>11</v>
      </c>
      <c r="H1632" s="2">
        <v>82000000</v>
      </c>
      <c r="I1632" s="2">
        <v>6.1</v>
      </c>
      <c r="J1632" s="3">
        <v>16929123</v>
      </c>
      <c r="K1632">
        <f t="shared" si="58"/>
        <v>1.3775047412552699E-3</v>
      </c>
      <c r="R1632" s="12" t="str">
        <f ca="1">IFERROR(__xludf.DUMMYFUNCTION("""COMPUTED_VALUE"""),"Pitch Perfect 2 ")</f>
        <v>Pitch Perfect 2 </v>
      </c>
      <c r="S1632" s="12">
        <f t="shared" si="59"/>
        <v>8324242</v>
      </c>
    </row>
    <row r="1633" spans="1:19" x14ac:dyDescent="0.3">
      <c r="A1633" s="2" t="s">
        <v>689</v>
      </c>
      <c r="B1633" s="2">
        <v>118</v>
      </c>
      <c r="C1633" s="3">
        <v>19059018</v>
      </c>
      <c r="D1633" s="3" t="s">
        <v>5869</v>
      </c>
      <c r="E1633" s="2" t="s">
        <v>690</v>
      </c>
      <c r="F1633" s="2" t="s">
        <v>10</v>
      </c>
      <c r="G1633" s="2" t="s">
        <v>11</v>
      </c>
      <c r="H1633" s="2">
        <v>80000000</v>
      </c>
      <c r="I1633" s="2">
        <v>6.6</v>
      </c>
      <c r="J1633" s="3">
        <v>16930185</v>
      </c>
      <c r="K1633">
        <f t="shared" si="58"/>
        <v>1.3775047412552699E-3</v>
      </c>
      <c r="R1633" s="12" t="str">
        <f ca="1">IFERROR(__xludf.DUMMYFUNCTION("""COMPUTED_VALUE"""),"Walk the Line ")</f>
        <v>Walk the Line </v>
      </c>
      <c r="S1633" s="12">
        <f t="shared" si="59"/>
        <v>9256277</v>
      </c>
    </row>
    <row r="1634" spans="1:19" x14ac:dyDescent="0.3">
      <c r="A1634" s="2" t="s">
        <v>1230</v>
      </c>
      <c r="B1634" s="2">
        <v>81</v>
      </c>
      <c r="C1634" s="3">
        <v>18298649</v>
      </c>
      <c r="D1634" s="3" t="s">
        <v>5940</v>
      </c>
      <c r="E1634" s="2" t="s">
        <v>1499</v>
      </c>
      <c r="F1634" s="2" t="s">
        <v>10</v>
      </c>
      <c r="G1634" s="2" t="s">
        <v>11</v>
      </c>
      <c r="H1634" s="2">
        <v>47000000</v>
      </c>
      <c r="I1634" s="2">
        <v>4.7</v>
      </c>
      <c r="J1634" s="3">
        <v>16930884</v>
      </c>
      <c r="K1634">
        <f t="shared" si="58"/>
        <v>1.3775047412552699E-3</v>
      </c>
      <c r="R1634" s="12" t="str">
        <f ca="1">IFERROR(__xludf.DUMMYFUNCTION("""COMPUTED_VALUE"""),"Keeping the Faith ")</f>
        <v>Keeping the Faith </v>
      </c>
      <c r="S1634" s="12">
        <f t="shared" si="59"/>
        <v>-87965728</v>
      </c>
    </row>
    <row r="1635" spans="1:19" x14ac:dyDescent="0.3">
      <c r="A1635" s="2" t="s">
        <v>2863</v>
      </c>
      <c r="B1635" s="2">
        <v>131</v>
      </c>
      <c r="C1635" s="3">
        <v>58156435</v>
      </c>
      <c r="D1635" s="3" t="s">
        <v>5808</v>
      </c>
      <c r="E1635" s="2" t="s">
        <v>2864</v>
      </c>
      <c r="F1635" s="2" t="s">
        <v>10</v>
      </c>
      <c r="G1635" s="2" t="s">
        <v>11</v>
      </c>
      <c r="H1635" s="2">
        <v>20000000</v>
      </c>
      <c r="I1635" s="2">
        <v>5.7</v>
      </c>
      <c r="J1635" s="3">
        <v>16938179</v>
      </c>
      <c r="K1635">
        <f t="shared" si="58"/>
        <v>1.3775047412552699E-3</v>
      </c>
      <c r="R1635" s="12" t="str">
        <f ca="1">IFERROR(__xludf.DUMMYFUNCTION("""COMPUTED_VALUE"""),"The Borrowers ")</f>
        <v>The Borrowers </v>
      </c>
      <c r="S1635" s="12">
        <f t="shared" si="59"/>
        <v>34057332</v>
      </c>
    </row>
    <row r="1636" spans="1:19" x14ac:dyDescent="0.3">
      <c r="A1636" s="2" t="s">
        <v>1748</v>
      </c>
      <c r="B1636" s="2">
        <v>94</v>
      </c>
      <c r="C1636" s="3">
        <v>25266129</v>
      </c>
      <c r="D1636" s="3" t="s">
        <v>5869</v>
      </c>
      <c r="E1636" s="2" t="s">
        <v>1749</v>
      </c>
      <c r="F1636" s="2" t="s">
        <v>10</v>
      </c>
      <c r="G1636" s="2" t="s">
        <v>11</v>
      </c>
      <c r="H1636" s="2">
        <v>40000000</v>
      </c>
      <c r="I1636" s="2">
        <v>5.0999999999999996</v>
      </c>
      <c r="J1636" s="3">
        <v>16964743</v>
      </c>
      <c r="K1636">
        <f t="shared" si="58"/>
        <v>1.3775047412552699E-3</v>
      </c>
      <c r="R1636" s="12" t="str">
        <f ca="1">IFERROR(__xludf.DUMMYFUNCTION("""COMPUTED_VALUE"""),"Frost/Nixon ")</f>
        <v>Frost/Nixon </v>
      </c>
      <c r="S1636" s="12">
        <f t="shared" si="59"/>
        <v>13317151</v>
      </c>
    </row>
    <row r="1637" spans="1:19" x14ac:dyDescent="0.3">
      <c r="A1637" s="2" t="s">
        <v>3917</v>
      </c>
      <c r="B1637" s="2">
        <v>100</v>
      </c>
      <c r="C1637" s="3">
        <v>24985612</v>
      </c>
      <c r="D1637" s="3" t="s">
        <v>5753</v>
      </c>
      <c r="E1637" s="2" t="s">
        <v>3918</v>
      </c>
      <c r="F1637" s="2" t="s">
        <v>10</v>
      </c>
      <c r="G1637" s="2" t="s">
        <v>11</v>
      </c>
      <c r="H1637" s="2">
        <v>11000000</v>
      </c>
      <c r="I1637" s="2">
        <v>7.3</v>
      </c>
      <c r="J1637" s="3">
        <v>16969390</v>
      </c>
      <c r="K1637">
        <f t="shared" si="58"/>
        <v>1.3775047412552699E-3</v>
      </c>
      <c r="R1637" s="12" t="str">
        <f ca="1">IFERROR(__xludf.DUMMYFUNCTION("""COMPUTED_VALUE"""),"Serving Sara ")</f>
        <v>Serving Sara </v>
      </c>
      <c r="S1637" s="12">
        <f t="shared" si="59"/>
        <v>-14796956</v>
      </c>
    </row>
    <row r="1638" spans="1:19" x14ac:dyDescent="0.3">
      <c r="A1638" s="2" t="s">
        <v>33</v>
      </c>
      <c r="B1638" s="2">
        <v>113</v>
      </c>
      <c r="C1638" s="3">
        <v>30222640</v>
      </c>
      <c r="D1638" s="3" t="s">
        <v>5869</v>
      </c>
      <c r="E1638" s="2" t="s">
        <v>2244</v>
      </c>
      <c r="F1638" s="2" t="s">
        <v>10</v>
      </c>
      <c r="G1638" s="2" t="s">
        <v>11</v>
      </c>
      <c r="H1638" s="2">
        <v>38000000</v>
      </c>
      <c r="I1638" s="2">
        <v>7.6</v>
      </c>
      <c r="J1638" s="3">
        <v>16988996</v>
      </c>
      <c r="K1638">
        <f t="shared" si="58"/>
        <v>1.3775047412552699E-3</v>
      </c>
      <c r="R1638" s="12" t="str">
        <f ca="1">IFERROR(__xludf.DUMMYFUNCTION("""COMPUTED_VALUE"""),"The Boss ")</f>
        <v>The Boss </v>
      </c>
      <c r="S1638" s="12">
        <f t="shared" si="59"/>
        <v>12534713</v>
      </c>
    </row>
    <row r="1639" spans="1:19" x14ac:dyDescent="0.3">
      <c r="A1639" s="2" t="s">
        <v>3604</v>
      </c>
      <c r="B1639" s="2">
        <v>106</v>
      </c>
      <c r="C1639" s="3">
        <v>12610552</v>
      </c>
      <c r="D1639" s="3" t="s">
        <v>5847</v>
      </c>
      <c r="E1639" s="2" t="s">
        <v>4483</v>
      </c>
      <c r="F1639" s="2" t="s">
        <v>10</v>
      </c>
      <c r="G1639" s="2" t="s">
        <v>11</v>
      </c>
      <c r="H1639" s="2">
        <v>6000000</v>
      </c>
      <c r="I1639" s="2">
        <v>6.9</v>
      </c>
      <c r="J1639" s="3">
        <v>16991902</v>
      </c>
      <c r="K1639">
        <f t="shared" si="58"/>
        <v>1.3775047412552699E-3</v>
      </c>
      <c r="R1639" s="12" t="str">
        <f ca="1">IFERROR(__xludf.DUMMYFUNCTION("""COMPUTED_VALUE"""),"Cry Freedom ")</f>
        <v>Cry Freedom </v>
      </c>
      <c r="S1639" s="12">
        <f t="shared" si="59"/>
        <v>23624000</v>
      </c>
    </row>
    <row r="1640" spans="1:19" x14ac:dyDescent="0.3">
      <c r="A1640" s="2" t="s">
        <v>5526</v>
      </c>
      <c r="B1640" s="2">
        <v>82</v>
      </c>
      <c r="C1640" s="3">
        <v>18318000</v>
      </c>
      <c r="D1640" s="3" t="s">
        <v>520</v>
      </c>
      <c r="E1640" s="2" t="s">
        <v>5527</v>
      </c>
      <c r="F1640" s="2" t="s">
        <v>10</v>
      </c>
      <c r="G1640" s="2" t="s">
        <v>11</v>
      </c>
      <c r="H1640" s="2">
        <v>500000</v>
      </c>
      <c r="I1640" s="2">
        <v>6.8</v>
      </c>
      <c r="J1640" s="3">
        <v>16999046</v>
      </c>
      <c r="K1640">
        <f t="shared" si="58"/>
        <v>1.3775047412552699E-3</v>
      </c>
      <c r="R1640" s="12" t="str">
        <f ca="1">IFERROR(__xludf.DUMMYFUNCTION("""COMPUTED_VALUE"""),"Mumford ")</f>
        <v>Mumford </v>
      </c>
      <c r="S1640" s="12">
        <f t="shared" si="59"/>
        <v>82001343</v>
      </c>
    </row>
    <row r="1641" spans="1:19" x14ac:dyDescent="0.3">
      <c r="A1641" s="2" t="s">
        <v>560</v>
      </c>
      <c r="B1641" s="2">
        <v>96</v>
      </c>
      <c r="C1641" s="3">
        <v>148383780</v>
      </c>
      <c r="D1641" s="3" t="s">
        <v>6242</v>
      </c>
      <c r="E1641" s="2" t="s">
        <v>1484</v>
      </c>
      <c r="F1641" s="2" t="s">
        <v>10</v>
      </c>
      <c r="G1641" s="2" t="s">
        <v>11</v>
      </c>
      <c r="H1641" s="2">
        <v>47000000</v>
      </c>
      <c r="I1641" s="2">
        <v>6</v>
      </c>
      <c r="J1641" s="3">
        <v>17000000</v>
      </c>
      <c r="K1641">
        <f t="shared" si="58"/>
        <v>1.3775047412552699E-3</v>
      </c>
      <c r="R1641" s="12" t="str">
        <f ca="1">IFERROR(__xludf.DUMMYFUNCTION("""COMPUTED_VALUE"""),"Seed of Chucky ")</f>
        <v>Seed of Chucky </v>
      </c>
      <c r="S1641" s="12">
        <f t="shared" si="59"/>
        <v>38771291</v>
      </c>
    </row>
    <row r="1642" spans="1:19" x14ac:dyDescent="0.3">
      <c r="A1642" s="2" t="s">
        <v>5533</v>
      </c>
      <c r="B1642" s="2">
        <v>103</v>
      </c>
      <c r="C1642" s="3">
        <v>305070</v>
      </c>
      <c r="D1642" s="3" t="s">
        <v>5785</v>
      </c>
      <c r="E1642" s="2" t="s">
        <v>5534</v>
      </c>
      <c r="F1642" s="2" t="s">
        <v>10</v>
      </c>
      <c r="G1642" s="2" t="s">
        <v>11</v>
      </c>
      <c r="H1642" s="2">
        <v>500000</v>
      </c>
      <c r="I1642" s="2">
        <v>6.2</v>
      </c>
      <c r="J1642" s="3">
        <v>17010646</v>
      </c>
      <c r="K1642">
        <f t="shared" si="58"/>
        <v>1.3775047412552699E-3</v>
      </c>
      <c r="R1642" s="12" t="str">
        <f ca="1">IFERROR(__xludf.DUMMYFUNCTION("""COMPUTED_VALUE"""),"The Jacket ")</f>
        <v>The Jacket </v>
      </c>
      <c r="S1642" s="12">
        <f t="shared" si="59"/>
        <v>-23966444</v>
      </c>
    </row>
    <row r="1643" spans="1:19" x14ac:dyDescent="0.3">
      <c r="A1643" s="2" t="s">
        <v>1154</v>
      </c>
      <c r="B1643" s="2">
        <v>113</v>
      </c>
      <c r="C1643" s="2">
        <v>5595428</v>
      </c>
      <c r="D1643" s="3" t="s">
        <v>5849</v>
      </c>
      <c r="E1643" s="2" t="s">
        <v>4977</v>
      </c>
      <c r="F1643" s="2" t="s">
        <v>4437</v>
      </c>
      <c r="G1643" s="2" t="s">
        <v>4438</v>
      </c>
      <c r="H1643" s="2">
        <v>2900000</v>
      </c>
      <c r="I1643" s="2">
        <v>8</v>
      </c>
      <c r="J1643" s="3">
        <v>17016190</v>
      </c>
      <c r="K1643">
        <f t="shared" si="58"/>
        <v>1.3775047412552699E-3</v>
      </c>
      <c r="R1643" s="12" t="str">
        <f ca="1">IFERROR(__xludf.DUMMYFUNCTION("""COMPUTED_VALUE"""),"Aladdin ")</f>
        <v>Aladdin </v>
      </c>
      <c r="S1643" s="12">
        <f t="shared" si="59"/>
        <v>8096053</v>
      </c>
    </row>
    <row r="1644" spans="1:19" x14ac:dyDescent="0.3">
      <c r="A1644" s="2" t="s">
        <v>546</v>
      </c>
      <c r="B1644" s="2">
        <v>137</v>
      </c>
      <c r="C1644" s="3">
        <v>33565375</v>
      </c>
      <c r="D1644" s="3" t="s">
        <v>5912</v>
      </c>
      <c r="E1644" s="2" t="s">
        <v>547</v>
      </c>
      <c r="F1644" s="2" t="s">
        <v>10</v>
      </c>
      <c r="G1644" s="2" t="s">
        <v>11</v>
      </c>
      <c r="H1644" s="2">
        <v>107000000</v>
      </c>
      <c r="I1644" s="2">
        <v>6</v>
      </c>
      <c r="J1644" s="3">
        <v>17071230</v>
      </c>
      <c r="K1644">
        <f t="shared" si="58"/>
        <v>1.3775047412552699E-3</v>
      </c>
      <c r="R1644" s="12" t="str">
        <f ca="1">IFERROR(__xludf.DUMMYFUNCTION("""COMPUTED_VALUE"""),"Straight Outta Compton ")</f>
        <v>Straight Outta Compton </v>
      </c>
      <c r="S1644" s="12">
        <f t="shared" si="59"/>
        <v>30146000</v>
      </c>
    </row>
    <row r="1645" spans="1:19" x14ac:dyDescent="0.3">
      <c r="A1645" s="2" t="s">
        <v>137</v>
      </c>
      <c r="B1645" s="2">
        <v>119</v>
      </c>
      <c r="C1645" s="3">
        <v>52822418</v>
      </c>
      <c r="D1645" s="3" t="s">
        <v>5874</v>
      </c>
      <c r="E1645" s="2" t="s">
        <v>1035</v>
      </c>
      <c r="F1645" s="2" t="s">
        <v>10</v>
      </c>
      <c r="G1645" s="2" t="s">
        <v>11</v>
      </c>
      <c r="H1645" s="2">
        <v>60000000</v>
      </c>
      <c r="I1645" s="2">
        <v>7.9</v>
      </c>
      <c r="J1645" s="3">
        <v>17096053</v>
      </c>
      <c r="K1645">
        <f t="shared" si="58"/>
        <v>1.3775047412552699E-3</v>
      </c>
      <c r="R1645" s="12" t="str">
        <f ca="1">IFERROR(__xludf.DUMMYFUNCTION("""COMPUTED_VALUE"""),"Indiana Jones and the Temple of Doom ")</f>
        <v>Indiana Jones and the Temple of Doom </v>
      </c>
      <c r="S1645" s="12">
        <f t="shared" si="59"/>
        <v>-53434505</v>
      </c>
    </row>
    <row r="1646" spans="1:19" x14ac:dyDescent="0.3">
      <c r="A1646" s="2" t="s">
        <v>2074</v>
      </c>
      <c r="B1646" s="2">
        <v>109</v>
      </c>
      <c r="C1646" s="3">
        <v>18225165</v>
      </c>
      <c r="D1646" s="3" t="s">
        <v>6243</v>
      </c>
      <c r="E1646" s="2" t="s">
        <v>2075</v>
      </c>
      <c r="F1646" s="2" t="s">
        <v>10</v>
      </c>
      <c r="G1646" s="2" t="s">
        <v>11</v>
      </c>
      <c r="H1646" s="2">
        <v>34000000</v>
      </c>
      <c r="I1646" s="2">
        <v>5.3</v>
      </c>
      <c r="J1646" s="3">
        <v>17100000</v>
      </c>
      <c r="K1646">
        <f t="shared" si="58"/>
        <v>1.3775047412552699E-3</v>
      </c>
      <c r="R1646" s="12" t="str">
        <f ca="1">IFERROR(__xludf.DUMMYFUNCTION("""COMPUTED_VALUE"""),"The Rugrats Movie ")</f>
        <v>The Rugrats Movie </v>
      </c>
      <c r="S1646" s="12">
        <f t="shared" si="59"/>
        <v>21000000</v>
      </c>
    </row>
    <row r="1647" spans="1:19" x14ac:dyDescent="0.3">
      <c r="A1647" s="2" t="s">
        <v>514</v>
      </c>
      <c r="B1647" s="2">
        <v>85</v>
      </c>
      <c r="C1647" s="3">
        <v>30212620</v>
      </c>
      <c r="D1647" s="3" t="s">
        <v>5975</v>
      </c>
      <c r="E1647" s="2" t="s">
        <v>515</v>
      </c>
      <c r="F1647" s="2" t="s">
        <v>10</v>
      </c>
      <c r="G1647" s="2" t="s">
        <v>11</v>
      </c>
      <c r="H1647" s="2">
        <v>100000000</v>
      </c>
      <c r="I1647" s="2">
        <v>6.8</v>
      </c>
      <c r="J1647" s="3">
        <v>17104669</v>
      </c>
      <c r="K1647">
        <f t="shared" si="58"/>
        <v>1.3775047412552699E-3</v>
      </c>
      <c r="R1647" s="12" t="str">
        <f ca="1">IFERROR(__xludf.DUMMYFUNCTION("""COMPUTED_VALUE"""),"Along Came a Spider ")</f>
        <v>Along Came a Spider </v>
      </c>
      <c r="S1647" s="12">
        <f t="shared" si="59"/>
        <v>-44347964</v>
      </c>
    </row>
    <row r="1648" spans="1:19" x14ac:dyDescent="0.3">
      <c r="A1648" s="2" t="s">
        <v>4350</v>
      </c>
      <c r="B1648" s="2">
        <v>120</v>
      </c>
      <c r="C1648" s="3">
        <v>6498000</v>
      </c>
      <c r="D1648" s="3" t="s">
        <v>5767</v>
      </c>
      <c r="E1648" s="2" t="s">
        <v>4351</v>
      </c>
      <c r="F1648" s="2" t="s">
        <v>10</v>
      </c>
      <c r="G1648" s="2" t="s">
        <v>16</v>
      </c>
      <c r="H1648" s="2">
        <v>7200000</v>
      </c>
      <c r="I1648" s="2">
        <v>6.7</v>
      </c>
      <c r="J1648" s="3">
        <v>17114882</v>
      </c>
      <c r="K1648">
        <f t="shared" si="58"/>
        <v>1.3775047412552699E-3</v>
      </c>
      <c r="R1648" s="12" t="str">
        <f ca="1">IFERROR(__xludf.DUMMYFUNCTION("""COMPUTED_VALUE"""),"Once Upon a Time in Mexico ")</f>
        <v>Once Upon a Time in Mexico </v>
      </c>
      <c r="S1648" s="12">
        <f t="shared" si="59"/>
        <v>-216407585</v>
      </c>
    </row>
    <row r="1649" spans="1:19" x14ac:dyDescent="0.3">
      <c r="A1649" s="2" t="s">
        <v>116</v>
      </c>
      <c r="B1649" s="2">
        <v>138</v>
      </c>
      <c r="C1649" s="3">
        <v>15464026</v>
      </c>
      <c r="D1649" s="3" t="s">
        <v>5969</v>
      </c>
      <c r="E1649" s="2" t="s">
        <v>216</v>
      </c>
      <c r="F1649" s="2" t="s">
        <v>10</v>
      </c>
      <c r="G1649" s="2" t="s">
        <v>11</v>
      </c>
      <c r="H1649" s="2">
        <v>150000000</v>
      </c>
      <c r="I1649" s="2">
        <v>7.2</v>
      </c>
      <c r="J1649" s="3">
        <v>17120019</v>
      </c>
      <c r="K1649">
        <f t="shared" si="58"/>
        <v>1.3775047412552699E-3</v>
      </c>
      <c r="R1649" s="12" t="str">
        <f ca="1">IFERROR(__xludf.DUMMYFUNCTION("""COMPUTED_VALUE"""),"Die Hard ")</f>
        <v>Die Hard </v>
      </c>
      <c r="S1649" s="12">
        <f t="shared" si="59"/>
        <v>15476073</v>
      </c>
    </row>
    <row r="1650" spans="1:19" x14ac:dyDescent="0.3">
      <c r="A1650" s="2" t="s">
        <v>1516</v>
      </c>
      <c r="B1650" s="2">
        <v>121</v>
      </c>
      <c r="C1650" s="3">
        <v>33574332</v>
      </c>
      <c r="D1650" s="3" t="s">
        <v>6244</v>
      </c>
      <c r="E1650" s="2" t="s">
        <v>2235</v>
      </c>
      <c r="F1650" s="2" t="s">
        <v>10</v>
      </c>
      <c r="G1650" s="2" t="s">
        <v>11</v>
      </c>
      <c r="H1650" s="2">
        <v>30000000</v>
      </c>
      <c r="I1650" s="2">
        <v>7.6</v>
      </c>
      <c r="J1650" s="3">
        <v>17174870</v>
      </c>
      <c r="K1650">
        <f t="shared" si="58"/>
        <v>1.3775047412552699E-3</v>
      </c>
      <c r="R1650" s="12" t="str">
        <f ca="1">IFERROR(__xludf.DUMMYFUNCTION("""COMPUTED_VALUE"""),"Role Models ")</f>
        <v>Role Models </v>
      </c>
      <c r="S1650" s="12">
        <f t="shared" si="59"/>
        <v>21758599</v>
      </c>
    </row>
    <row r="1651" spans="1:19" x14ac:dyDescent="0.3">
      <c r="A1651" s="2" t="s">
        <v>4143</v>
      </c>
      <c r="B1651" s="2">
        <v>93</v>
      </c>
      <c r="C1651" s="3">
        <v>371897</v>
      </c>
      <c r="D1651" s="3" t="s">
        <v>5813</v>
      </c>
      <c r="E1651" s="2" t="s">
        <v>4144</v>
      </c>
      <c r="F1651" s="2" t="s">
        <v>10</v>
      </c>
      <c r="G1651" s="2" t="s">
        <v>11</v>
      </c>
      <c r="H1651" s="2">
        <v>10000000</v>
      </c>
      <c r="I1651" s="2">
        <v>3.9</v>
      </c>
      <c r="J1651" s="3">
        <v>17176900</v>
      </c>
      <c r="K1651">
        <f t="shared" si="58"/>
        <v>1.3775047412552699E-3</v>
      </c>
      <c r="R1651" s="12" t="str">
        <f ca="1">IFERROR(__xludf.DUMMYFUNCTION("""COMPUTED_VALUE"""),"The Big Short ")</f>
        <v>The Big Short </v>
      </c>
      <c r="S1651" s="12">
        <f t="shared" si="59"/>
        <v>-10454156</v>
      </c>
    </row>
    <row r="1652" spans="1:19" x14ac:dyDescent="0.3">
      <c r="A1652" s="2" t="s">
        <v>2228</v>
      </c>
      <c r="B1652" s="2">
        <v>85</v>
      </c>
      <c r="C1652" s="3">
        <v>2557668</v>
      </c>
      <c r="D1652" s="3" t="s">
        <v>5910</v>
      </c>
      <c r="E1652" s="2" t="s">
        <v>2229</v>
      </c>
      <c r="F1652" s="2" t="s">
        <v>10</v>
      </c>
      <c r="G1652" s="2" t="s">
        <v>16</v>
      </c>
      <c r="H1652" s="2">
        <v>30000000</v>
      </c>
      <c r="I1652" s="2">
        <v>7.5</v>
      </c>
      <c r="J1652" s="3">
        <v>17218080</v>
      </c>
      <c r="K1652">
        <f t="shared" si="58"/>
        <v>1.3775047412552699E-3</v>
      </c>
      <c r="R1652" s="12" t="str">
        <f ca="1">IFERROR(__xludf.DUMMYFUNCTION("""COMPUTED_VALUE"""),"Taking Woodstock ")</f>
        <v>Taking Woodstock </v>
      </c>
      <c r="S1652" s="12">
        <f t="shared" si="59"/>
        <v>64856263</v>
      </c>
    </row>
    <row r="1653" spans="1:19" x14ac:dyDescent="0.3">
      <c r="A1653" s="2" t="s">
        <v>905</v>
      </c>
      <c r="B1653" s="2">
        <v>91</v>
      </c>
      <c r="C1653" s="2">
        <v>14294842</v>
      </c>
      <c r="D1653" s="3" t="s">
        <v>6062</v>
      </c>
      <c r="E1653" s="2" t="s">
        <v>906</v>
      </c>
      <c r="F1653" s="2" t="s">
        <v>10</v>
      </c>
      <c r="G1653" s="2" t="s">
        <v>11</v>
      </c>
      <c r="H1653" s="2">
        <v>70000000</v>
      </c>
      <c r="I1653" s="2">
        <v>3.6</v>
      </c>
      <c r="J1653" s="3">
        <v>17237244</v>
      </c>
      <c r="K1653">
        <f t="shared" si="58"/>
        <v>1.3775047412552699E-3</v>
      </c>
      <c r="R1653" s="12" t="str">
        <f ca="1">IFERROR(__xludf.DUMMYFUNCTION("""COMPUTED_VALUE"""),"Miracle ")</f>
        <v>Miracle </v>
      </c>
      <c r="S1653" s="12">
        <f t="shared" si="59"/>
        <v>60535067</v>
      </c>
    </row>
    <row r="1654" spans="1:19" x14ac:dyDescent="0.3">
      <c r="A1654" s="2" t="s">
        <v>5725</v>
      </c>
      <c r="B1654" s="2">
        <v>111</v>
      </c>
      <c r="C1654" s="3">
        <v>18252684</v>
      </c>
      <c r="D1654" s="3" t="s">
        <v>6245</v>
      </c>
      <c r="E1654" s="2" t="s">
        <v>5726</v>
      </c>
      <c r="F1654" s="2" t="s">
        <v>2071</v>
      </c>
      <c r="G1654" s="2" t="s">
        <v>771</v>
      </c>
      <c r="H1654" s="2">
        <v>1000000</v>
      </c>
      <c r="I1654" s="2">
        <v>7.4</v>
      </c>
      <c r="J1654" s="3">
        <v>17266505</v>
      </c>
      <c r="K1654">
        <f t="shared" si="58"/>
        <v>1.3775047412552699E-3</v>
      </c>
      <c r="R1654" s="12" t="str">
        <f ca="1">IFERROR(__xludf.DUMMYFUNCTION("""COMPUTED_VALUE"""),"Dawn of the Dead ")</f>
        <v>Dawn of the Dead </v>
      </c>
      <c r="S1654" s="12">
        <f t="shared" si="59"/>
        <v>-45618284</v>
      </c>
    </row>
    <row r="1655" spans="1:19" x14ac:dyDescent="0.3">
      <c r="A1655" s="2" t="s">
        <v>3959</v>
      </c>
      <c r="B1655" s="2">
        <v>95</v>
      </c>
      <c r="C1655" s="3">
        <v>60573641</v>
      </c>
      <c r="D1655" s="3" t="s">
        <v>6019</v>
      </c>
      <c r="E1655" s="2" t="s">
        <v>4591</v>
      </c>
      <c r="F1655" s="2" t="s">
        <v>10</v>
      </c>
      <c r="G1655" s="2" t="s">
        <v>11</v>
      </c>
      <c r="H1655" s="2">
        <v>4000000</v>
      </c>
      <c r="I1655" s="2">
        <v>6.6</v>
      </c>
      <c r="J1655" s="3">
        <v>17278980</v>
      </c>
      <c r="K1655">
        <f t="shared" si="58"/>
        <v>1.3775047412552699E-3</v>
      </c>
      <c r="R1655" s="12" t="str">
        <f ca="1">IFERROR(__xludf.DUMMYFUNCTION("""COMPUTED_VALUE"""),"The Wedding Planner ")</f>
        <v>The Wedding Planner </v>
      </c>
      <c r="S1655" s="12">
        <f t="shared" si="59"/>
        <v>-60940982</v>
      </c>
    </row>
    <row r="1656" spans="1:19" x14ac:dyDescent="0.3">
      <c r="A1656" s="2" t="s">
        <v>5675</v>
      </c>
      <c r="B1656" s="2">
        <v>81</v>
      </c>
      <c r="C1656" s="3">
        <v>3950294</v>
      </c>
      <c r="D1656" s="3" t="s">
        <v>6147</v>
      </c>
      <c r="E1656" s="2" t="s">
        <v>5676</v>
      </c>
      <c r="F1656" s="2" t="s">
        <v>10</v>
      </c>
      <c r="G1656" s="2" t="s">
        <v>11</v>
      </c>
      <c r="H1656" s="3">
        <v>474544677</v>
      </c>
      <c r="I1656" s="2">
        <v>3.6</v>
      </c>
      <c r="J1656" s="3">
        <v>17281832</v>
      </c>
      <c r="K1656">
        <f t="shared" si="58"/>
        <v>1.3775047412552699E-3</v>
      </c>
      <c r="R1656" s="12" t="str">
        <f ca="1">IFERROR(__xludf.DUMMYFUNCTION("""COMPUTED_VALUE"""),"The Royal Tenenbaums ")</f>
        <v>The Royal Tenenbaums </v>
      </c>
      <c r="S1656" s="12">
        <f t="shared" si="59"/>
        <v>-28701351</v>
      </c>
    </row>
    <row r="1657" spans="1:19" x14ac:dyDescent="0.3">
      <c r="A1657" s="2" t="s">
        <v>330</v>
      </c>
      <c r="B1657" s="2">
        <v>120</v>
      </c>
      <c r="C1657" s="3">
        <v>47000485</v>
      </c>
      <c r="D1657" s="3" t="s">
        <v>6246</v>
      </c>
      <c r="E1657" s="2" t="s">
        <v>2852</v>
      </c>
      <c r="F1657" s="2" t="s">
        <v>10</v>
      </c>
      <c r="G1657" s="2" t="s">
        <v>11</v>
      </c>
      <c r="H1657" s="2">
        <v>18000000</v>
      </c>
      <c r="I1657" s="2">
        <v>6.6</v>
      </c>
      <c r="J1657" s="3">
        <v>17292381</v>
      </c>
      <c r="K1657">
        <f t="shared" si="58"/>
        <v>1.3775047412552699E-3</v>
      </c>
      <c r="R1657" s="12" t="str">
        <f ca="1">IFERROR(__xludf.DUMMYFUNCTION("""COMPUTED_VALUE"""),"Identity ")</f>
        <v>Identity </v>
      </c>
      <c r="S1657" s="12">
        <f t="shared" si="59"/>
        <v>38156435</v>
      </c>
    </row>
    <row r="1658" spans="1:19" x14ac:dyDescent="0.3">
      <c r="A1658" s="2" t="s">
        <v>1876</v>
      </c>
      <c r="B1658" s="2">
        <v>132</v>
      </c>
      <c r="C1658" s="3">
        <v>8093318</v>
      </c>
      <c r="D1658" s="3" t="s">
        <v>5785</v>
      </c>
      <c r="E1658" s="2" t="s">
        <v>2173</v>
      </c>
      <c r="F1658" s="2" t="s">
        <v>10</v>
      </c>
      <c r="G1658" s="2" t="s">
        <v>11</v>
      </c>
      <c r="H1658" s="2">
        <v>30000000</v>
      </c>
      <c r="I1658" s="2">
        <v>7.2</v>
      </c>
      <c r="J1658" s="3">
        <v>17300889</v>
      </c>
      <c r="K1658">
        <f t="shared" si="58"/>
        <v>1.3775047412552699E-3</v>
      </c>
      <c r="R1658" s="12" t="str">
        <f ca="1">IFERROR(__xludf.DUMMYFUNCTION("""COMPUTED_VALUE"""),"Last Vegas ")</f>
        <v>Last Vegas </v>
      </c>
      <c r="S1658" s="12">
        <f t="shared" si="59"/>
        <v>-14733871</v>
      </c>
    </row>
    <row r="1659" spans="1:19" x14ac:dyDescent="0.3">
      <c r="A1659" s="2" t="s">
        <v>5166</v>
      </c>
      <c r="B1659" s="2">
        <v>104</v>
      </c>
      <c r="C1659" s="3">
        <v>12583510</v>
      </c>
      <c r="D1659" s="3" t="s">
        <v>6045</v>
      </c>
      <c r="E1659" s="2" t="s">
        <v>5167</v>
      </c>
      <c r="F1659" s="2" t="s">
        <v>3944</v>
      </c>
      <c r="G1659" s="2" t="s">
        <v>1845</v>
      </c>
      <c r="H1659" s="2">
        <v>1000000</v>
      </c>
      <c r="I1659" s="2">
        <v>7.8</v>
      </c>
      <c r="J1659" s="3">
        <v>17305211</v>
      </c>
      <c r="K1659">
        <f t="shared" si="58"/>
        <v>1.3775047412552699E-3</v>
      </c>
      <c r="R1659" s="12" t="str">
        <f ca="1">IFERROR(__xludf.DUMMYFUNCTION("""COMPUTED_VALUE"""),"For Your Eyes Only ")</f>
        <v>For Your Eyes Only </v>
      </c>
      <c r="S1659" s="12">
        <f t="shared" si="59"/>
        <v>13985612</v>
      </c>
    </row>
    <row r="1660" spans="1:19" x14ac:dyDescent="0.3">
      <c r="A1660" s="2" t="s">
        <v>2803</v>
      </c>
      <c r="B1660" s="2">
        <v>143</v>
      </c>
      <c r="C1660" s="3">
        <v>86897182</v>
      </c>
      <c r="D1660" s="3" t="s">
        <v>5940</v>
      </c>
      <c r="E1660" s="2" t="s">
        <v>2804</v>
      </c>
      <c r="F1660" s="2" t="s">
        <v>10</v>
      </c>
      <c r="G1660" s="2" t="s">
        <v>11</v>
      </c>
      <c r="H1660" s="2">
        <v>25000000</v>
      </c>
      <c r="I1660" s="2">
        <v>6.2</v>
      </c>
      <c r="J1660" s="3">
        <v>17314483</v>
      </c>
      <c r="K1660">
        <f t="shared" si="58"/>
        <v>1.3775047412552699E-3</v>
      </c>
      <c r="R1660" s="12" t="str">
        <f ca="1">IFERROR(__xludf.DUMMYFUNCTION("""COMPUTED_VALUE"""),"Serendipity ")</f>
        <v>Serendipity </v>
      </c>
      <c r="S1660" s="12">
        <f t="shared" si="59"/>
        <v>-7777360</v>
      </c>
    </row>
    <row r="1661" spans="1:19" x14ac:dyDescent="0.3">
      <c r="A1661" s="2" t="s">
        <v>5416</v>
      </c>
      <c r="B1661" s="2">
        <v>101</v>
      </c>
      <c r="C1661" s="3">
        <v>20035310</v>
      </c>
      <c r="D1661" s="3" t="s">
        <v>6247</v>
      </c>
      <c r="E1661" s="2" t="s">
        <v>5417</v>
      </c>
      <c r="F1661" s="2" t="s">
        <v>10</v>
      </c>
      <c r="G1661" s="2" t="s">
        <v>11</v>
      </c>
      <c r="H1661" s="2">
        <v>900000</v>
      </c>
      <c r="I1661" s="2">
        <v>6.4</v>
      </c>
      <c r="J1661" s="3">
        <v>17324744</v>
      </c>
      <c r="K1661">
        <f t="shared" si="58"/>
        <v>1.3775047412552699E-3</v>
      </c>
      <c r="R1661" s="12" t="str">
        <f ca="1">IFERROR(__xludf.DUMMYFUNCTION("""COMPUTED_VALUE"""),"Timecop ")</f>
        <v>Timecop </v>
      </c>
      <c r="S1661" s="12">
        <f t="shared" si="59"/>
        <v>6610552</v>
      </c>
    </row>
    <row r="1662" spans="1:19" x14ac:dyDescent="0.3">
      <c r="A1662" s="2" t="s">
        <v>209</v>
      </c>
      <c r="B1662" s="2">
        <v>127</v>
      </c>
      <c r="C1662" s="3">
        <v>77413017</v>
      </c>
      <c r="D1662" s="3" t="s">
        <v>5992</v>
      </c>
      <c r="E1662" s="2" t="s">
        <v>419</v>
      </c>
      <c r="F1662" s="2" t="s">
        <v>10</v>
      </c>
      <c r="G1662" s="2" t="s">
        <v>11</v>
      </c>
      <c r="H1662" s="2">
        <v>110000000</v>
      </c>
      <c r="I1662" s="2">
        <v>7.1</v>
      </c>
      <c r="J1662" s="3">
        <v>17382982</v>
      </c>
      <c r="K1662">
        <f t="shared" si="58"/>
        <v>1.3775047412552699E-3</v>
      </c>
      <c r="R1662" s="12" t="str">
        <f ca="1">IFERROR(__xludf.DUMMYFUNCTION("""COMPUTED_VALUE"""),"Zoolander ")</f>
        <v>Zoolander </v>
      </c>
      <c r="S1662" s="12">
        <f t="shared" si="59"/>
        <v>17818000</v>
      </c>
    </row>
    <row r="1663" spans="1:19" x14ac:dyDescent="0.3">
      <c r="A1663" s="2" t="s">
        <v>2991</v>
      </c>
      <c r="B1663" s="2">
        <v>225</v>
      </c>
      <c r="C1663" s="3">
        <v>38543473</v>
      </c>
      <c r="D1663" s="3" t="s">
        <v>5849</v>
      </c>
      <c r="E1663" s="2" t="s">
        <v>2992</v>
      </c>
      <c r="F1663" s="2" t="s">
        <v>10</v>
      </c>
      <c r="G1663" s="2" t="s">
        <v>11</v>
      </c>
      <c r="H1663" s="2">
        <v>20000000</v>
      </c>
      <c r="I1663" s="2">
        <v>6.6</v>
      </c>
      <c r="J1663" s="3">
        <v>17411331</v>
      </c>
      <c r="K1663">
        <f t="shared" si="58"/>
        <v>1.3775047412552699E-3</v>
      </c>
      <c r="R1663" s="12" t="str">
        <f ca="1">IFERROR(__xludf.DUMMYFUNCTION("""COMPUTED_VALUE"""),"Safe Haven ")</f>
        <v>Safe Haven </v>
      </c>
      <c r="S1663" s="12">
        <f t="shared" si="59"/>
        <v>101383780</v>
      </c>
    </row>
    <row r="1664" spans="1:19" x14ac:dyDescent="0.3">
      <c r="A1664" s="2" t="s">
        <v>4398</v>
      </c>
      <c r="B1664" s="2">
        <v>99</v>
      </c>
      <c r="C1664" s="3">
        <v>23978402</v>
      </c>
      <c r="D1664" s="3" t="s">
        <v>5874</v>
      </c>
      <c r="E1664" s="2" t="s">
        <v>5606</v>
      </c>
      <c r="F1664" s="2" t="s">
        <v>10</v>
      </c>
      <c r="G1664" s="2" t="s">
        <v>11</v>
      </c>
      <c r="H1664" s="2">
        <v>250000</v>
      </c>
      <c r="I1664" s="2">
        <v>3.9</v>
      </c>
      <c r="J1664" s="3">
        <v>17427926</v>
      </c>
      <c r="K1664">
        <f t="shared" si="58"/>
        <v>1.3775047412552699E-3</v>
      </c>
      <c r="R1664" s="12" t="str">
        <f ca="1">IFERROR(__xludf.DUMMYFUNCTION("""COMPUTED_VALUE"""),"Hocus Pocus ")</f>
        <v>Hocus Pocus </v>
      </c>
      <c r="S1664" s="12">
        <f t="shared" si="59"/>
        <v>-194930</v>
      </c>
    </row>
    <row r="1665" spans="1:19" x14ac:dyDescent="0.3">
      <c r="A1665" s="2" t="s">
        <v>3229</v>
      </c>
      <c r="B1665" s="2">
        <v>94</v>
      </c>
      <c r="C1665" s="2">
        <v>39687528</v>
      </c>
      <c r="D1665" s="3" t="s">
        <v>5778</v>
      </c>
      <c r="E1665" s="2" t="s">
        <v>3230</v>
      </c>
      <c r="F1665" s="2" t="s">
        <v>10</v>
      </c>
      <c r="G1665" s="2" t="s">
        <v>504</v>
      </c>
      <c r="H1665" s="2">
        <v>24000000</v>
      </c>
      <c r="I1665" s="2">
        <v>6.3</v>
      </c>
      <c r="J1665" s="3">
        <v>17439163</v>
      </c>
      <c r="K1665">
        <f t="shared" si="58"/>
        <v>1.3775047412552699E-3</v>
      </c>
      <c r="R1665" s="12" t="str">
        <f ca="1">IFERROR(__xludf.DUMMYFUNCTION("""COMPUTED_VALUE"""),"No Reservations ")</f>
        <v>No Reservations </v>
      </c>
      <c r="S1665" s="12">
        <f t="shared" si="59"/>
        <v>2695428</v>
      </c>
    </row>
    <row r="1666" spans="1:19" x14ac:dyDescent="0.3">
      <c r="A1666" s="2" t="s">
        <v>308</v>
      </c>
      <c r="B1666" s="2">
        <v>106</v>
      </c>
      <c r="C1666" s="3">
        <v>1055654</v>
      </c>
      <c r="D1666" s="3" t="s">
        <v>5753</v>
      </c>
      <c r="E1666" s="2" t="s">
        <v>1295</v>
      </c>
      <c r="F1666" s="2" t="s">
        <v>10</v>
      </c>
      <c r="G1666" s="2" t="s">
        <v>11</v>
      </c>
      <c r="H1666" s="2">
        <v>52000000</v>
      </c>
      <c r="I1666" s="2">
        <v>5.8</v>
      </c>
      <c r="J1666" s="3">
        <v>17473245</v>
      </c>
      <c r="K1666">
        <f t="shared" ref="K1666:K1729" si="60">CORREL(H$2:H$3941,J$2:J$3941)</f>
        <v>1.3775047412552699E-3</v>
      </c>
      <c r="R1666" s="12" t="str">
        <f ca="1">IFERROR(__xludf.DUMMYFUNCTION("""COMPUTED_VALUE"""),"Kick-Ass ")</f>
        <v>Kick-Ass </v>
      </c>
      <c r="S1666" s="12">
        <f t="shared" si="59"/>
        <v>-73434625</v>
      </c>
    </row>
    <row r="1667" spans="1:19" x14ac:dyDescent="0.3">
      <c r="A1667" s="2" t="s">
        <v>817</v>
      </c>
      <c r="B1667" s="2">
        <v>113</v>
      </c>
      <c r="C1667" s="3">
        <v>65557989</v>
      </c>
      <c r="D1667" s="3" t="s">
        <v>5869</v>
      </c>
      <c r="E1667" s="2" t="s">
        <v>818</v>
      </c>
      <c r="F1667" s="2" t="s">
        <v>10</v>
      </c>
      <c r="G1667" s="2" t="s">
        <v>11</v>
      </c>
      <c r="H1667" s="2">
        <v>52000000</v>
      </c>
      <c r="I1667" s="2">
        <v>6.6</v>
      </c>
      <c r="J1667" s="3">
        <v>17474107</v>
      </c>
      <c r="K1667">
        <f t="shared" si="60"/>
        <v>1.3775047412552699E-3</v>
      </c>
      <c r="R1667" s="12" t="str">
        <f ca="1">IFERROR(__xludf.DUMMYFUNCTION("""COMPUTED_VALUE"""),"30 Minutes or Less ")</f>
        <v>30 Minutes or Less </v>
      </c>
      <c r="S1667" s="12">
        <f t="shared" si="59"/>
        <v>-7177582</v>
      </c>
    </row>
    <row r="1668" spans="1:19" x14ac:dyDescent="0.3">
      <c r="A1668" s="2" t="s">
        <v>1834</v>
      </c>
      <c r="B1668" s="2">
        <v>113</v>
      </c>
      <c r="C1668" s="3">
        <v>20338609</v>
      </c>
      <c r="D1668" s="3" t="s">
        <v>885</v>
      </c>
      <c r="E1668" s="2" t="s">
        <v>1835</v>
      </c>
      <c r="F1668" s="2" t="s">
        <v>513</v>
      </c>
      <c r="G1668" s="2" t="s">
        <v>1008</v>
      </c>
      <c r="H1668" s="2">
        <v>40000000</v>
      </c>
      <c r="I1668" s="2">
        <v>7.1</v>
      </c>
      <c r="J1668" s="3">
        <v>17508670</v>
      </c>
      <c r="K1668">
        <f t="shared" si="60"/>
        <v>1.3775047412552699E-3</v>
      </c>
      <c r="R1668" s="12" t="str">
        <f ca="1">IFERROR(__xludf.DUMMYFUNCTION("""COMPUTED_VALUE"""),"Dracula 2000 ")</f>
        <v>Dracula 2000 </v>
      </c>
      <c r="S1668" s="12">
        <f t="shared" si="59"/>
        <v>-15774835</v>
      </c>
    </row>
    <row r="1669" spans="1:19" x14ac:dyDescent="0.3">
      <c r="A1669" s="2" t="s">
        <v>3399</v>
      </c>
      <c r="B1669" s="2">
        <v>132</v>
      </c>
      <c r="C1669" s="3">
        <v>30199105</v>
      </c>
      <c r="D1669" s="3" t="s">
        <v>5849</v>
      </c>
      <c r="E1669" s="2" t="s">
        <v>3748</v>
      </c>
      <c r="F1669" s="2" t="s">
        <v>10</v>
      </c>
      <c r="G1669" s="2" t="s">
        <v>11</v>
      </c>
      <c r="H1669" s="2">
        <v>16000000</v>
      </c>
      <c r="I1669" s="2">
        <v>6.7</v>
      </c>
      <c r="J1669" s="3">
        <v>17518220</v>
      </c>
      <c r="K1669">
        <f t="shared" si="60"/>
        <v>1.3775047412552699E-3</v>
      </c>
      <c r="R1669" s="12" t="str">
        <f ca="1">IFERROR(__xludf.DUMMYFUNCTION("""COMPUTED_VALUE"""),"Alexander and the Terrible, Horrible, No Good, Very Bad Day ")</f>
        <v>Alexander and the Terrible, Horrible, No Good, Very Bad Day </v>
      </c>
      <c r="S1669" s="12">
        <f t="shared" si="59"/>
        <v>-69787380</v>
      </c>
    </row>
    <row r="1670" spans="1:19" x14ac:dyDescent="0.3">
      <c r="A1670" s="2" t="s">
        <v>1384</v>
      </c>
      <c r="B1670" s="2">
        <v>118</v>
      </c>
      <c r="C1670" s="3">
        <v>30105968</v>
      </c>
      <c r="D1670" s="3" t="s">
        <v>6021</v>
      </c>
      <c r="E1670" s="2" t="s">
        <v>1385</v>
      </c>
      <c r="F1670" s="2" t="s">
        <v>10</v>
      </c>
      <c r="G1670" s="2" t="s">
        <v>11</v>
      </c>
      <c r="H1670" s="2">
        <v>50000000</v>
      </c>
      <c r="I1670" s="2">
        <v>6.5</v>
      </c>
      <c r="J1670" s="3">
        <v>17529157</v>
      </c>
      <c r="K1670">
        <f t="shared" si="60"/>
        <v>1.3775047412552699E-3</v>
      </c>
      <c r="R1670" s="12" t="str">
        <f ca="1">IFERROR(__xludf.DUMMYFUNCTION("""COMPUTED_VALUE"""),"Pride &amp; Prejudice ")</f>
        <v>Pride &amp; Prejudice </v>
      </c>
      <c r="S1670" s="12">
        <f t="shared" si="59"/>
        <v>-702000</v>
      </c>
    </row>
    <row r="1671" spans="1:19" x14ac:dyDescent="0.3">
      <c r="A1671" s="2" t="s">
        <v>4695</v>
      </c>
      <c r="B1671" s="2">
        <v>98</v>
      </c>
      <c r="C1671" s="3">
        <v>60962878</v>
      </c>
      <c r="D1671" s="3" t="s">
        <v>6100</v>
      </c>
      <c r="E1671" s="2" t="s">
        <v>4696</v>
      </c>
      <c r="F1671" s="2" t="s">
        <v>10</v>
      </c>
      <c r="G1671" s="2" t="s">
        <v>11</v>
      </c>
      <c r="H1671" s="2">
        <v>5000000</v>
      </c>
      <c r="I1671" s="2">
        <v>6.3</v>
      </c>
      <c r="J1671" s="3">
        <v>17536788</v>
      </c>
      <c r="K1671">
        <f t="shared" si="60"/>
        <v>1.3775047412552699E-3</v>
      </c>
      <c r="R1671" s="12" t="str">
        <f ca="1">IFERROR(__xludf.DUMMYFUNCTION("""COMPUTED_VALUE"""),"Blade Runner ")</f>
        <v>Blade Runner </v>
      </c>
      <c r="S1671" s="12">
        <f t="shared" si="59"/>
        <v>-134535974</v>
      </c>
    </row>
    <row r="1672" spans="1:19" x14ac:dyDescent="0.3">
      <c r="A1672" s="2" t="s">
        <v>2038</v>
      </c>
      <c r="B1672" s="2">
        <v>100</v>
      </c>
      <c r="C1672" s="3">
        <v>63536011</v>
      </c>
      <c r="D1672" s="3" t="s">
        <v>6041</v>
      </c>
      <c r="E1672" s="2" t="s">
        <v>2039</v>
      </c>
      <c r="F1672" s="2" t="s">
        <v>10</v>
      </c>
      <c r="G1672" s="2" t="s">
        <v>16</v>
      </c>
      <c r="H1672" s="2">
        <v>35000000</v>
      </c>
      <c r="I1672" s="2">
        <v>7.3</v>
      </c>
      <c r="J1672" s="3">
        <v>17544812</v>
      </c>
      <c r="K1672">
        <f t="shared" si="60"/>
        <v>1.3775047412552699E-3</v>
      </c>
      <c r="R1672" s="12" t="str">
        <f ca="1">IFERROR(__xludf.DUMMYFUNCTION("""COMPUTED_VALUE"""),"Rob Roy ")</f>
        <v>Rob Roy </v>
      </c>
      <c r="S1672" s="12">
        <f t="shared" si="59"/>
        <v>3574332</v>
      </c>
    </row>
    <row r="1673" spans="1:19" x14ac:dyDescent="0.3">
      <c r="A1673" s="2" t="s">
        <v>5194</v>
      </c>
      <c r="B1673" s="2">
        <v>112</v>
      </c>
      <c r="C1673" s="3">
        <v>1046166</v>
      </c>
      <c r="D1673" s="3" t="s">
        <v>5768</v>
      </c>
      <c r="E1673" s="2" t="s">
        <v>5195</v>
      </c>
      <c r="F1673" s="2" t="s">
        <v>10</v>
      </c>
      <c r="G1673" s="2" t="s">
        <v>11</v>
      </c>
      <c r="H1673" s="2">
        <v>1500000</v>
      </c>
      <c r="I1673" s="2">
        <v>6.7</v>
      </c>
      <c r="J1673" s="3">
        <v>17593391</v>
      </c>
      <c r="K1673">
        <f t="shared" si="60"/>
        <v>1.3775047412552699E-3</v>
      </c>
      <c r="R1673" s="12" t="str">
        <f ca="1">IFERROR(__xludf.DUMMYFUNCTION("""COMPUTED_VALUE"""),"3 Days to Kill ")</f>
        <v>3 Days to Kill </v>
      </c>
      <c r="S1673" s="12">
        <f t="shared" si="59"/>
        <v>-9628103</v>
      </c>
    </row>
    <row r="1674" spans="1:19" x14ac:dyDescent="0.3">
      <c r="A1674" s="2" t="s">
        <v>4535</v>
      </c>
      <c r="B1674" s="2">
        <v>107</v>
      </c>
      <c r="C1674" s="3">
        <v>14564027</v>
      </c>
      <c r="D1674" s="3" t="s">
        <v>885</v>
      </c>
      <c r="E1674" s="2" t="s">
        <v>4536</v>
      </c>
      <c r="F1674" s="2" t="s">
        <v>10</v>
      </c>
      <c r="G1674" s="2" t="s">
        <v>11</v>
      </c>
      <c r="H1674" s="2">
        <v>6000000</v>
      </c>
      <c r="I1674" s="2">
        <v>3.8</v>
      </c>
      <c r="J1674" s="3">
        <v>17596256</v>
      </c>
      <c r="K1674">
        <f t="shared" si="60"/>
        <v>1.3775047412552699E-3</v>
      </c>
      <c r="R1674" s="12" t="str">
        <f ca="1">IFERROR(__xludf.DUMMYFUNCTION("""COMPUTED_VALUE"""),"We Own the Night ")</f>
        <v>We Own the Night </v>
      </c>
      <c r="S1674" s="12">
        <f t="shared" si="59"/>
        <v>-27442332</v>
      </c>
    </row>
    <row r="1675" spans="1:19" x14ac:dyDescent="0.3">
      <c r="A1675" s="2" t="s">
        <v>2502</v>
      </c>
      <c r="B1675" s="2">
        <v>129</v>
      </c>
      <c r="C1675" s="3">
        <v>71277420</v>
      </c>
      <c r="D1675" s="3" t="s">
        <v>5913</v>
      </c>
      <c r="E1675" s="2" t="s">
        <v>2503</v>
      </c>
      <c r="F1675" s="2" t="s">
        <v>10</v>
      </c>
      <c r="G1675" s="2" t="s">
        <v>16</v>
      </c>
      <c r="H1675" s="2">
        <v>15000000</v>
      </c>
      <c r="I1675" s="2">
        <v>7.5</v>
      </c>
      <c r="J1675" s="3">
        <v>17605861</v>
      </c>
      <c r="K1675">
        <f t="shared" si="60"/>
        <v>1.3775047412552699E-3</v>
      </c>
      <c r="R1675" s="12" t="str">
        <f ca="1">IFERROR(__xludf.DUMMYFUNCTION("""COMPUTED_VALUE"""),"Lost Souls ")</f>
        <v>Lost Souls </v>
      </c>
      <c r="S1675" s="12">
        <f t="shared" si="59"/>
        <v>-55705158</v>
      </c>
    </row>
    <row r="1676" spans="1:19" x14ac:dyDescent="0.3">
      <c r="A1676" s="2" t="s">
        <v>1697</v>
      </c>
      <c r="B1676" s="2">
        <v>113</v>
      </c>
      <c r="C1676" s="3">
        <v>14500000</v>
      </c>
      <c r="D1676" s="3" t="s">
        <v>6248</v>
      </c>
      <c r="E1676" s="2" t="s">
        <v>2120</v>
      </c>
      <c r="F1676" s="2" t="s">
        <v>10</v>
      </c>
      <c r="G1676" s="2" t="s">
        <v>11</v>
      </c>
      <c r="H1676" s="2">
        <v>32000000</v>
      </c>
      <c r="I1676" s="2">
        <v>4.4000000000000004</v>
      </c>
      <c r="J1676" s="3">
        <v>17609982</v>
      </c>
      <c r="K1676">
        <f t="shared" si="60"/>
        <v>1.3775047412552699E-3</v>
      </c>
      <c r="R1676" s="12" t="str">
        <f ca="1">IFERROR(__xludf.DUMMYFUNCTION("""COMPUTED_VALUE"""),"Winged Migration ")</f>
        <v>Winged Migration </v>
      </c>
      <c r="S1676" s="12">
        <f t="shared" si="59"/>
        <v>17252684</v>
      </c>
    </row>
    <row r="1677" spans="1:19" x14ac:dyDescent="0.3">
      <c r="A1677" s="2" t="s">
        <v>2717</v>
      </c>
      <c r="B1677" s="2">
        <v>118</v>
      </c>
      <c r="C1677" s="3">
        <v>46982632</v>
      </c>
      <c r="D1677" s="3" t="s">
        <v>6201</v>
      </c>
      <c r="E1677" s="2" t="s">
        <v>3724</v>
      </c>
      <c r="F1677" s="2" t="s">
        <v>10</v>
      </c>
      <c r="G1677" s="2" t="s">
        <v>11</v>
      </c>
      <c r="H1677" s="2">
        <v>13000000</v>
      </c>
      <c r="I1677" s="2">
        <v>7.1</v>
      </c>
      <c r="J1677" s="3">
        <v>17613460</v>
      </c>
      <c r="K1677">
        <f t="shared" si="60"/>
        <v>1.3775047412552699E-3</v>
      </c>
      <c r="R1677" s="12" t="str">
        <f ca="1">IFERROR(__xludf.DUMMYFUNCTION("""COMPUTED_VALUE"""),"Just My Luck ")</f>
        <v>Just My Luck </v>
      </c>
      <c r="S1677" s="12">
        <f t="shared" si="59"/>
        <v>56573641</v>
      </c>
    </row>
    <row r="1678" spans="1:19" x14ac:dyDescent="0.3">
      <c r="A1678" s="2" t="s">
        <v>1100</v>
      </c>
      <c r="B1678" s="2">
        <v>105</v>
      </c>
      <c r="C1678" s="3">
        <v>52937130</v>
      </c>
      <c r="D1678" s="3" t="s">
        <v>5849</v>
      </c>
      <c r="E1678" s="2" t="s">
        <v>1647</v>
      </c>
      <c r="F1678" s="2" t="s">
        <v>751</v>
      </c>
      <c r="G1678" s="2" t="s">
        <v>504</v>
      </c>
      <c r="H1678" s="2">
        <v>27000000</v>
      </c>
      <c r="I1678" s="2">
        <v>7.2</v>
      </c>
      <c r="J1678" s="3">
        <v>17655201</v>
      </c>
      <c r="K1678">
        <f t="shared" si="60"/>
        <v>1.3775047412552699E-3</v>
      </c>
      <c r="R1678" s="12" t="str">
        <f ca="1">IFERROR(__xludf.DUMMYFUNCTION("""COMPUTED_VALUE"""),"Mystery, Alaska ")</f>
        <v>Mystery, Alaska </v>
      </c>
      <c r="S1678" s="12">
        <f t="shared" si="59"/>
        <v>-470594383</v>
      </c>
    </row>
    <row r="1679" spans="1:19" x14ac:dyDescent="0.3">
      <c r="A1679" s="2" t="s">
        <v>2667</v>
      </c>
      <c r="B1679" s="2">
        <v>104</v>
      </c>
      <c r="C1679" s="3">
        <v>78900000</v>
      </c>
      <c r="D1679" s="3" t="s">
        <v>6233</v>
      </c>
      <c r="E1679" s="2" t="s">
        <v>2668</v>
      </c>
      <c r="F1679" s="2" t="s">
        <v>10</v>
      </c>
      <c r="G1679" s="2" t="s">
        <v>11</v>
      </c>
      <c r="H1679" s="2">
        <v>25000000</v>
      </c>
      <c r="I1679" s="2">
        <v>5.2</v>
      </c>
      <c r="J1679" s="3">
        <v>17683670</v>
      </c>
      <c r="K1679">
        <f t="shared" si="60"/>
        <v>1.3775047412552699E-3</v>
      </c>
      <c r="R1679" s="12" t="str">
        <f ca="1">IFERROR(__xludf.DUMMYFUNCTION("""COMPUTED_VALUE"""),"The Spy Next Door ")</f>
        <v>The Spy Next Door </v>
      </c>
      <c r="S1679" s="12">
        <f t="shared" si="59"/>
        <v>29000485</v>
      </c>
    </row>
    <row r="1680" spans="1:19" x14ac:dyDescent="0.3">
      <c r="A1680" s="2" t="s">
        <v>3543</v>
      </c>
      <c r="B1680" s="2">
        <v>96</v>
      </c>
      <c r="C1680" s="3">
        <v>23472900</v>
      </c>
      <c r="D1680" s="3" t="s">
        <v>5913</v>
      </c>
      <c r="E1680" s="2" t="s">
        <v>3790</v>
      </c>
      <c r="F1680" s="2" t="s">
        <v>10</v>
      </c>
      <c r="G1680" s="2" t="s">
        <v>11</v>
      </c>
      <c r="H1680" s="2">
        <v>12000000</v>
      </c>
      <c r="I1680" s="2">
        <v>6.8</v>
      </c>
      <c r="J1680" s="3">
        <v>17718223</v>
      </c>
      <c r="K1680">
        <f t="shared" si="60"/>
        <v>1.3775047412552699E-3</v>
      </c>
      <c r="R1680" s="12" t="str">
        <f ca="1">IFERROR(__xludf.DUMMYFUNCTION("""COMPUTED_VALUE"""),"A Simple Wish ")</f>
        <v>A Simple Wish </v>
      </c>
      <c r="S1680" s="12">
        <f t="shared" si="59"/>
        <v>-21906682</v>
      </c>
    </row>
    <row r="1681" spans="1:19" x14ac:dyDescent="0.3">
      <c r="A1681" s="2" t="s">
        <v>4230</v>
      </c>
      <c r="B1681" s="2">
        <v>135</v>
      </c>
      <c r="C1681" s="3">
        <v>43984230</v>
      </c>
      <c r="D1681" s="3" t="s">
        <v>6021</v>
      </c>
      <c r="E1681" s="2" t="s">
        <v>4647</v>
      </c>
      <c r="F1681" s="2" t="s">
        <v>10</v>
      </c>
      <c r="G1681" s="2" t="s">
        <v>11</v>
      </c>
      <c r="H1681" s="2">
        <v>5000000</v>
      </c>
      <c r="I1681" s="2">
        <v>7.6</v>
      </c>
      <c r="J1681" s="3">
        <v>17738570</v>
      </c>
      <c r="K1681">
        <f t="shared" si="60"/>
        <v>1.3775047412552699E-3</v>
      </c>
      <c r="R1681" s="12" t="str">
        <f ca="1">IFERROR(__xludf.DUMMYFUNCTION("""COMPUTED_VALUE"""),"Ghosts of Mars ")</f>
        <v>Ghosts of Mars </v>
      </c>
      <c r="S1681" s="12">
        <f t="shared" si="59"/>
        <v>11583510</v>
      </c>
    </row>
    <row r="1682" spans="1:19" x14ac:dyDescent="0.3">
      <c r="A1682" s="2" t="s">
        <v>355</v>
      </c>
      <c r="B1682" s="2">
        <v>108</v>
      </c>
      <c r="C1682" s="3">
        <v>33631221</v>
      </c>
      <c r="D1682" s="3" t="s">
        <v>5961</v>
      </c>
      <c r="E1682" s="2" t="s">
        <v>968</v>
      </c>
      <c r="F1682" s="2" t="s">
        <v>10</v>
      </c>
      <c r="G1682" s="2" t="s">
        <v>11</v>
      </c>
      <c r="H1682" s="2">
        <v>50000000</v>
      </c>
      <c r="I1682" s="2">
        <v>6</v>
      </c>
      <c r="J1682" s="3">
        <v>17750583</v>
      </c>
      <c r="K1682">
        <f t="shared" si="60"/>
        <v>1.3775047412552699E-3</v>
      </c>
      <c r="R1682" s="12" t="str">
        <f ca="1">IFERROR(__xludf.DUMMYFUNCTION("""COMPUTED_VALUE"""),"Our Brand Is Crisis ")</f>
        <v>Our Brand Is Crisis </v>
      </c>
      <c r="S1682" s="12">
        <f t="shared" si="59"/>
        <v>61897182</v>
      </c>
    </row>
    <row r="1683" spans="1:19" x14ac:dyDescent="0.3">
      <c r="A1683" s="2" t="s">
        <v>1902</v>
      </c>
      <c r="B1683" s="2">
        <v>113</v>
      </c>
      <c r="C1683" s="3">
        <v>27277055</v>
      </c>
      <c r="D1683" s="3" t="s">
        <v>6249</v>
      </c>
      <c r="E1683" s="2" t="s">
        <v>5589</v>
      </c>
      <c r="F1683" s="2" t="s">
        <v>10</v>
      </c>
      <c r="G1683" s="2" t="s">
        <v>11</v>
      </c>
      <c r="H1683" s="2">
        <v>250000</v>
      </c>
      <c r="I1683" s="2">
        <v>7.3</v>
      </c>
      <c r="J1683" s="3">
        <v>17757087</v>
      </c>
      <c r="K1683">
        <f t="shared" si="60"/>
        <v>1.3775047412552699E-3</v>
      </c>
      <c r="R1683" s="12" t="str">
        <f ca="1">IFERROR(__xludf.DUMMYFUNCTION("""COMPUTED_VALUE"""),"Pride and Prejudice and Zombies ")</f>
        <v>Pride and Prejudice and Zombies </v>
      </c>
      <c r="S1683" s="12">
        <f t="shared" si="59"/>
        <v>19135310</v>
      </c>
    </row>
    <row r="1684" spans="1:19" x14ac:dyDescent="0.3">
      <c r="A1684" s="2" t="s">
        <v>492</v>
      </c>
      <c r="B1684" s="2">
        <v>102</v>
      </c>
      <c r="C1684" s="3">
        <v>78747585</v>
      </c>
      <c r="D1684" s="3" t="s">
        <v>6141</v>
      </c>
      <c r="E1684" s="2" t="s">
        <v>493</v>
      </c>
      <c r="F1684" s="2" t="s">
        <v>10</v>
      </c>
      <c r="G1684" s="2" t="s">
        <v>11</v>
      </c>
      <c r="H1684" s="2">
        <v>100000000</v>
      </c>
      <c r="I1684" s="2">
        <v>5.4</v>
      </c>
      <c r="J1684" s="3">
        <v>17768000</v>
      </c>
      <c r="K1684">
        <f t="shared" si="60"/>
        <v>1.3775047412552699E-3</v>
      </c>
      <c r="R1684" s="12" t="str">
        <f ca="1">IFERROR(__xludf.DUMMYFUNCTION("""COMPUTED_VALUE"""),"Kundun ")</f>
        <v>Kundun </v>
      </c>
      <c r="S1684" s="12">
        <f t="shared" si="59"/>
        <v>-32586983</v>
      </c>
    </row>
    <row r="1685" spans="1:19" x14ac:dyDescent="0.3">
      <c r="A1685" s="2" t="s">
        <v>1894</v>
      </c>
      <c r="B1685" s="2">
        <v>91</v>
      </c>
      <c r="C1685" s="3">
        <v>23393765</v>
      </c>
      <c r="D1685" s="3" t="s">
        <v>6250</v>
      </c>
      <c r="E1685" s="2" t="s">
        <v>4908</v>
      </c>
      <c r="F1685" s="2" t="s">
        <v>10</v>
      </c>
      <c r="G1685" s="2" t="s">
        <v>16</v>
      </c>
      <c r="H1685" s="2">
        <v>3000000</v>
      </c>
      <c r="I1685" s="2">
        <v>7.4</v>
      </c>
      <c r="J1685" s="3">
        <v>17791031</v>
      </c>
      <c r="K1685">
        <f t="shared" si="60"/>
        <v>1.3775047412552699E-3</v>
      </c>
      <c r="R1685" s="12" t="str">
        <f ca="1">IFERROR(__xludf.DUMMYFUNCTION("""COMPUTED_VALUE"""),"How to Lose Friends &amp; Alienate People ")</f>
        <v>How to Lose Friends &amp; Alienate People </v>
      </c>
      <c r="S1685" s="12">
        <f t="shared" si="59"/>
        <v>18543473</v>
      </c>
    </row>
    <row r="1686" spans="1:19" x14ac:dyDescent="0.3">
      <c r="A1686" s="2" t="s">
        <v>4109</v>
      </c>
      <c r="B1686" s="2">
        <v>104</v>
      </c>
      <c r="C1686" s="3">
        <v>16168741</v>
      </c>
      <c r="D1686" s="3" t="s">
        <v>5973</v>
      </c>
      <c r="E1686" s="2" t="s">
        <v>4110</v>
      </c>
      <c r="F1686" s="2" t="s">
        <v>10</v>
      </c>
      <c r="G1686" s="2" t="s">
        <v>71</v>
      </c>
      <c r="H1686" s="2">
        <v>10000000</v>
      </c>
      <c r="I1686" s="2">
        <v>7.2</v>
      </c>
      <c r="J1686" s="3">
        <v>17797316</v>
      </c>
      <c r="K1686">
        <f t="shared" si="60"/>
        <v>1.3775047412552699E-3</v>
      </c>
      <c r="R1686" s="12" t="str">
        <f ca="1">IFERROR(__xludf.DUMMYFUNCTION("""COMPUTED_VALUE"""),"Kick-Ass 2 ")</f>
        <v>Kick-Ass 2 </v>
      </c>
      <c r="S1686" s="12">
        <f t="shared" si="59"/>
        <v>23728402</v>
      </c>
    </row>
    <row r="1687" spans="1:19" x14ac:dyDescent="0.3">
      <c r="A1687" s="2" t="s">
        <v>3421</v>
      </c>
      <c r="B1687" s="2">
        <v>120</v>
      </c>
      <c r="C1687" s="3">
        <v>30102717</v>
      </c>
      <c r="D1687" s="3" t="s">
        <v>5913</v>
      </c>
      <c r="E1687" s="2" t="s">
        <v>3422</v>
      </c>
      <c r="F1687" s="2" t="s">
        <v>10</v>
      </c>
      <c r="G1687" s="2" t="s">
        <v>11</v>
      </c>
      <c r="H1687" s="2">
        <v>15000000</v>
      </c>
      <c r="I1687" s="2">
        <v>6.8</v>
      </c>
      <c r="J1687" s="3">
        <v>17803796</v>
      </c>
      <c r="K1687">
        <f t="shared" si="60"/>
        <v>1.3775047412552699E-3</v>
      </c>
      <c r="R1687" s="12" t="str">
        <f ca="1">IFERROR(__xludf.DUMMYFUNCTION("""COMPUTED_VALUE"""),"Brick Mansions ")</f>
        <v>Brick Mansions </v>
      </c>
      <c r="S1687" s="12">
        <f t="shared" si="59"/>
        <v>15687528</v>
      </c>
    </row>
    <row r="1688" spans="1:19" x14ac:dyDescent="0.3">
      <c r="A1688" s="2" t="s">
        <v>3506</v>
      </c>
      <c r="B1688" s="2">
        <v>96</v>
      </c>
      <c r="C1688" s="3">
        <v>58006147</v>
      </c>
      <c r="D1688" s="3" t="s">
        <v>6036</v>
      </c>
      <c r="E1688" s="2" t="s">
        <v>3507</v>
      </c>
      <c r="F1688" s="2" t="s">
        <v>10</v>
      </c>
      <c r="G1688" s="2" t="s">
        <v>11</v>
      </c>
      <c r="H1688" s="2">
        <v>15000000</v>
      </c>
      <c r="I1688" s="2">
        <v>5.0999999999999996</v>
      </c>
      <c r="J1688" s="3">
        <v>17804273</v>
      </c>
      <c r="K1688">
        <f t="shared" si="60"/>
        <v>1.3775047412552699E-3</v>
      </c>
      <c r="R1688" s="12" t="str">
        <f ca="1">IFERROR(__xludf.DUMMYFUNCTION("""COMPUTED_VALUE"""),"Octopussy ")</f>
        <v>Octopussy </v>
      </c>
      <c r="S1688" s="12">
        <f t="shared" si="59"/>
        <v>-50944346</v>
      </c>
    </row>
    <row r="1689" spans="1:19" x14ac:dyDescent="0.3">
      <c r="A1689" s="2" t="s">
        <v>4940</v>
      </c>
      <c r="B1689" s="2">
        <v>98</v>
      </c>
      <c r="C1689" s="3">
        <v>60522097</v>
      </c>
      <c r="D1689" s="3" t="s">
        <v>5974</v>
      </c>
      <c r="E1689" s="2" t="s">
        <v>4941</v>
      </c>
      <c r="F1689" s="2" t="s">
        <v>10</v>
      </c>
      <c r="G1689" s="2" t="s">
        <v>11</v>
      </c>
      <c r="H1689" s="2">
        <v>3000000</v>
      </c>
      <c r="I1689" s="2">
        <v>5.3</v>
      </c>
      <c r="J1689" s="3">
        <v>17843379</v>
      </c>
      <c r="K1689">
        <f t="shared" si="60"/>
        <v>1.3775047412552699E-3</v>
      </c>
      <c r="R1689" s="12" t="str">
        <f ca="1">IFERROR(__xludf.DUMMYFUNCTION("""COMPUTED_VALUE"""),"Knocked Up ")</f>
        <v>Knocked Up </v>
      </c>
      <c r="S1689" s="12">
        <f t="shared" ref="S1689:S1752" si="61">C1667-H1667</f>
        <v>13557989</v>
      </c>
    </row>
    <row r="1690" spans="1:19" x14ac:dyDescent="0.3">
      <c r="A1690" s="2" t="s">
        <v>3942</v>
      </c>
      <c r="B1690" s="2">
        <v>128</v>
      </c>
      <c r="C1690" s="3">
        <v>16027866</v>
      </c>
      <c r="D1690" s="3" t="s">
        <v>5910</v>
      </c>
      <c r="E1690" s="2" t="s">
        <v>4228</v>
      </c>
      <c r="F1690" s="2" t="s">
        <v>3944</v>
      </c>
      <c r="G1690" s="2" t="s">
        <v>1845</v>
      </c>
      <c r="H1690" s="2">
        <v>12000000</v>
      </c>
      <c r="I1690" s="2">
        <v>8</v>
      </c>
      <c r="J1690" s="3">
        <v>17848322</v>
      </c>
      <c r="K1690">
        <f t="shared" si="60"/>
        <v>1.3775047412552699E-3</v>
      </c>
      <c r="R1690" s="12" t="str">
        <f ca="1">IFERROR(__xludf.DUMMYFUNCTION("""COMPUTED_VALUE"""),"My Sister's Keeper ")</f>
        <v>My Sister's Keeper </v>
      </c>
      <c r="S1690" s="12">
        <f t="shared" si="61"/>
        <v>-19661391</v>
      </c>
    </row>
    <row r="1691" spans="1:19" x14ac:dyDescent="0.3">
      <c r="A1691" s="2" t="s">
        <v>1677</v>
      </c>
      <c r="B1691" s="2">
        <v>107</v>
      </c>
      <c r="C1691" s="2">
        <v>18090181</v>
      </c>
      <c r="D1691" s="3" t="s">
        <v>5776</v>
      </c>
      <c r="E1691" s="2" t="s">
        <v>4258</v>
      </c>
      <c r="F1691" s="2" t="s">
        <v>10</v>
      </c>
      <c r="G1691" s="2" t="s">
        <v>11</v>
      </c>
      <c r="H1691" s="2">
        <v>8000000</v>
      </c>
      <c r="I1691" s="2">
        <v>6.4</v>
      </c>
      <c r="J1691" s="3">
        <v>17951431</v>
      </c>
      <c r="K1691">
        <f t="shared" si="60"/>
        <v>1.3775047412552699E-3</v>
      </c>
      <c r="R1691" s="12" t="str">
        <f ca="1">IFERROR(__xludf.DUMMYFUNCTION("""COMPUTED_VALUE"""),"Welcome Home, Roscoe Jenkins ")</f>
        <v>Welcome Home, Roscoe Jenkins </v>
      </c>
      <c r="S1691" s="12">
        <f t="shared" si="61"/>
        <v>14199105</v>
      </c>
    </row>
    <row r="1692" spans="1:19" x14ac:dyDescent="0.3">
      <c r="A1692" s="2" t="s">
        <v>74</v>
      </c>
      <c r="B1692" s="2">
        <v>150</v>
      </c>
      <c r="C1692" s="3">
        <v>128067808</v>
      </c>
      <c r="D1692" s="3" t="s">
        <v>6251</v>
      </c>
      <c r="E1692" s="2" t="s">
        <v>75</v>
      </c>
      <c r="F1692" s="2" t="s">
        <v>10</v>
      </c>
      <c r="G1692" s="2" t="s">
        <v>11</v>
      </c>
      <c r="H1692" s="2">
        <v>200000000</v>
      </c>
      <c r="I1692" s="2">
        <v>6</v>
      </c>
      <c r="J1692" s="3">
        <v>17986000</v>
      </c>
      <c r="K1692">
        <f t="shared" si="60"/>
        <v>1.3775047412552699E-3</v>
      </c>
      <c r="R1692" s="12" t="str">
        <f ca="1">IFERROR(__xludf.DUMMYFUNCTION("""COMPUTED_VALUE"""),"A Passage to India ")</f>
        <v>A Passage to India </v>
      </c>
      <c r="S1692" s="12">
        <f t="shared" si="61"/>
        <v>-19894032</v>
      </c>
    </row>
    <row r="1693" spans="1:19" x14ac:dyDescent="0.3">
      <c r="A1693" s="2" t="s">
        <v>29</v>
      </c>
      <c r="B1693" s="2">
        <v>110</v>
      </c>
      <c r="C1693" s="2">
        <v>58885635</v>
      </c>
      <c r="D1693" s="3" t="s">
        <v>6209</v>
      </c>
      <c r="E1693" s="2" t="s">
        <v>2383</v>
      </c>
      <c r="F1693" s="2" t="s">
        <v>10</v>
      </c>
      <c r="G1693" s="2" t="s">
        <v>11</v>
      </c>
      <c r="H1693" s="2">
        <v>26000000</v>
      </c>
      <c r="I1693" s="2">
        <v>7.4</v>
      </c>
      <c r="J1693" s="3">
        <v>18004225</v>
      </c>
      <c r="K1693">
        <f t="shared" si="60"/>
        <v>1.3775047412552699E-3</v>
      </c>
      <c r="R1693" s="12" t="str">
        <f ca="1">IFERROR(__xludf.DUMMYFUNCTION("""COMPUTED_VALUE"""),"Notes on a Scandal ")</f>
        <v>Notes on a Scandal </v>
      </c>
      <c r="S1693" s="12">
        <f t="shared" si="61"/>
        <v>55962878</v>
      </c>
    </row>
    <row r="1694" spans="1:19" x14ac:dyDescent="0.3">
      <c r="A1694" s="2" t="s">
        <v>460</v>
      </c>
      <c r="B1694" s="2">
        <v>100</v>
      </c>
      <c r="C1694" s="3">
        <v>30157016</v>
      </c>
      <c r="D1694" s="3" t="s">
        <v>5940</v>
      </c>
      <c r="E1694" s="2" t="s">
        <v>1062</v>
      </c>
      <c r="F1694" s="2" t="s">
        <v>10</v>
      </c>
      <c r="G1694" s="2" t="s">
        <v>11</v>
      </c>
      <c r="H1694" s="2">
        <v>60000000</v>
      </c>
      <c r="I1694" s="2">
        <v>5.5</v>
      </c>
      <c r="J1694" s="3">
        <v>18081626</v>
      </c>
      <c r="K1694">
        <f t="shared" si="60"/>
        <v>1.3775047412552699E-3</v>
      </c>
      <c r="R1694" s="12" t="str">
        <f ca="1">IFERROR(__xludf.DUMMYFUNCTION("""COMPUTED_VALUE"""),"Rendition ")</f>
        <v>Rendition </v>
      </c>
      <c r="S1694" s="12">
        <f t="shared" si="61"/>
        <v>28536011</v>
      </c>
    </row>
    <row r="1695" spans="1:19" x14ac:dyDescent="0.3">
      <c r="A1695" s="2" t="s">
        <v>868</v>
      </c>
      <c r="B1695" s="2">
        <v>105</v>
      </c>
      <c r="C1695" s="3">
        <v>60507228</v>
      </c>
      <c r="D1695" s="3" t="s">
        <v>6041</v>
      </c>
      <c r="E1695" s="2" t="s">
        <v>1920</v>
      </c>
      <c r="F1695" s="2" t="s">
        <v>10</v>
      </c>
      <c r="G1695" s="2" t="s">
        <v>11</v>
      </c>
      <c r="H1695" s="2">
        <v>37000000</v>
      </c>
      <c r="I1695" s="2">
        <v>5.4</v>
      </c>
      <c r="J1695" s="3">
        <v>18090181</v>
      </c>
      <c r="K1695">
        <f t="shared" si="60"/>
        <v>1.3775047412552699E-3</v>
      </c>
      <c r="R1695" s="12" t="str">
        <f ca="1">IFERROR(__xludf.DUMMYFUNCTION("""COMPUTED_VALUE"""),"Star Trek VI: The Undiscovered Country ")</f>
        <v>Star Trek VI: The Undiscovered Country </v>
      </c>
      <c r="S1695" s="12">
        <f t="shared" si="61"/>
        <v>-453834</v>
      </c>
    </row>
    <row r="1696" spans="1:19" x14ac:dyDescent="0.3">
      <c r="A1696" s="2" t="s">
        <v>1674</v>
      </c>
      <c r="B1696" s="2">
        <v>107</v>
      </c>
      <c r="C1696" s="3">
        <v>128300000</v>
      </c>
      <c r="D1696" s="3" t="s">
        <v>5874</v>
      </c>
      <c r="E1696" s="2" t="s">
        <v>1805</v>
      </c>
      <c r="F1696" s="2" t="s">
        <v>10</v>
      </c>
      <c r="G1696" s="2" t="s">
        <v>11</v>
      </c>
      <c r="H1696" s="2">
        <v>40000000</v>
      </c>
      <c r="I1696" s="2">
        <v>6.5</v>
      </c>
      <c r="J1696" s="3">
        <v>18112929</v>
      </c>
      <c r="K1696">
        <f t="shared" si="60"/>
        <v>1.3775047412552699E-3</v>
      </c>
      <c r="R1696" s="12" t="str">
        <f ca="1">IFERROR(__xludf.DUMMYFUNCTION("""COMPUTED_VALUE"""),"Divine Secrets of the Ya-Ya Sisterhood ")</f>
        <v>Divine Secrets of the Ya-Ya Sisterhood </v>
      </c>
      <c r="S1696" s="12">
        <f t="shared" si="61"/>
        <v>8564027</v>
      </c>
    </row>
    <row r="1697" spans="1:19" x14ac:dyDescent="0.3">
      <c r="A1697" s="2" t="s">
        <v>1089</v>
      </c>
      <c r="B1697" s="2">
        <v>93</v>
      </c>
      <c r="C1697" s="3">
        <v>3798532</v>
      </c>
      <c r="D1697" s="3" t="s">
        <v>6252</v>
      </c>
      <c r="E1697" s="2" t="s">
        <v>1090</v>
      </c>
      <c r="F1697" s="2" t="s">
        <v>10</v>
      </c>
      <c r="G1697" s="2" t="s">
        <v>16</v>
      </c>
      <c r="H1697" s="2">
        <v>60000000</v>
      </c>
      <c r="I1697" s="2">
        <v>6.1</v>
      </c>
      <c r="J1697" s="3">
        <v>18208078</v>
      </c>
      <c r="K1697">
        <f t="shared" si="60"/>
        <v>1.3775047412552699E-3</v>
      </c>
      <c r="R1697" s="12" t="str">
        <f ca="1">IFERROR(__xludf.DUMMYFUNCTION("""COMPUTED_VALUE"""),"Kiss the Girls ")</f>
        <v>Kiss the Girls </v>
      </c>
      <c r="S1697" s="12">
        <f t="shared" si="61"/>
        <v>56277420</v>
      </c>
    </row>
    <row r="1698" spans="1:19" x14ac:dyDescent="0.3">
      <c r="A1698" s="2" t="s">
        <v>882</v>
      </c>
      <c r="B1698" s="2">
        <v>101</v>
      </c>
      <c r="C1698" s="3">
        <v>57981889</v>
      </c>
      <c r="D1698" s="3" t="s">
        <v>5869</v>
      </c>
      <c r="E1698" s="2" t="s">
        <v>2736</v>
      </c>
      <c r="F1698" s="2" t="s">
        <v>10</v>
      </c>
      <c r="G1698" s="2" t="s">
        <v>11</v>
      </c>
      <c r="H1698" s="2">
        <v>12500000</v>
      </c>
      <c r="I1698" s="2">
        <v>7.1</v>
      </c>
      <c r="J1698" s="3">
        <v>18225165</v>
      </c>
      <c r="K1698">
        <f t="shared" si="60"/>
        <v>1.3775047412552699E-3</v>
      </c>
      <c r="R1698" s="12" t="str">
        <f ca="1">IFERROR(__xludf.DUMMYFUNCTION("""COMPUTED_VALUE"""),"The Blues Brothers ")</f>
        <v>The Blues Brothers </v>
      </c>
      <c r="S1698" s="12">
        <f t="shared" si="61"/>
        <v>-17500000</v>
      </c>
    </row>
    <row r="1699" spans="1:19" x14ac:dyDescent="0.3">
      <c r="A1699" s="2" t="s">
        <v>175</v>
      </c>
      <c r="B1699" s="2">
        <v>162</v>
      </c>
      <c r="C1699" s="3">
        <v>30063805</v>
      </c>
      <c r="D1699" s="3" t="s">
        <v>5849</v>
      </c>
      <c r="E1699" s="2" t="s">
        <v>659</v>
      </c>
      <c r="F1699" s="2" t="s">
        <v>10</v>
      </c>
      <c r="G1699" s="2" t="s">
        <v>11</v>
      </c>
      <c r="H1699" s="2">
        <v>65000000</v>
      </c>
      <c r="I1699" s="2">
        <v>7.7</v>
      </c>
      <c r="J1699" s="3">
        <v>18252684</v>
      </c>
      <c r="K1699">
        <f t="shared" si="60"/>
        <v>1.3775047412552699E-3</v>
      </c>
      <c r="R1699" s="12" t="str">
        <f ca="1">IFERROR(__xludf.DUMMYFUNCTION("""COMPUTED_VALUE"""),"Joyful Noise ")</f>
        <v>Joyful Noise </v>
      </c>
      <c r="S1699" s="12">
        <f t="shared" si="61"/>
        <v>33982632</v>
      </c>
    </row>
    <row r="1700" spans="1:19" x14ac:dyDescent="0.3">
      <c r="A1700" s="2" t="s">
        <v>1100</v>
      </c>
      <c r="B1700" s="2">
        <v>122</v>
      </c>
      <c r="C1700" s="3">
        <v>52799004</v>
      </c>
      <c r="D1700" s="3" t="s">
        <v>5913</v>
      </c>
      <c r="E1700" s="2" t="s">
        <v>1800</v>
      </c>
      <c r="F1700" s="2" t="s">
        <v>751</v>
      </c>
      <c r="G1700" s="2" t="s">
        <v>504</v>
      </c>
      <c r="H1700" s="2">
        <v>77000000</v>
      </c>
      <c r="I1700" s="2">
        <v>8.4</v>
      </c>
      <c r="J1700" s="3">
        <v>18272447</v>
      </c>
      <c r="K1700">
        <f t="shared" si="60"/>
        <v>1.3775047412552699E-3</v>
      </c>
      <c r="R1700" s="12" t="str">
        <f ca="1">IFERROR(__xludf.DUMMYFUNCTION("""COMPUTED_VALUE"""),"About a Boy ")</f>
        <v>About a Boy </v>
      </c>
      <c r="S1700" s="12">
        <f t="shared" si="61"/>
        <v>25937130</v>
      </c>
    </row>
    <row r="1701" spans="1:19" x14ac:dyDescent="0.3">
      <c r="A1701" s="2" t="s">
        <v>101</v>
      </c>
      <c r="B1701" s="2">
        <v>132</v>
      </c>
      <c r="C1701" s="3">
        <v>18438149</v>
      </c>
      <c r="D1701" s="3" t="s">
        <v>5874</v>
      </c>
      <c r="E1701" s="2" t="s">
        <v>1080</v>
      </c>
      <c r="F1701" s="2" t="s">
        <v>10</v>
      </c>
      <c r="G1701" s="2" t="s">
        <v>11</v>
      </c>
      <c r="H1701" s="2">
        <v>66000000</v>
      </c>
      <c r="I1701" s="2">
        <v>6.8</v>
      </c>
      <c r="J1701" s="3">
        <v>18298649</v>
      </c>
      <c r="K1701">
        <f t="shared" si="60"/>
        <v>1.3775047412552699E-3</v>
      </c>
      <c r="R1701" s="12" t="str">
        <f ca="1">IFERROR(__xludf.DUMMYFUNCTION("""COMPUTED_VALUE"""),"Lake Placid ")</f>
        <v>Lake Placid </v>
      </c>
      <c r="S1701" s="12">
        <f t="shared" si="61"/>
        <v>53900000</v>
      </c>
    </row>
    <row r="1702" spans="1:19" x14ac:dyDescent="0.3">
      <c r="A1702" s="2" t="s">
        <v>2015</v>
      </c>
      <c r="B1702" s="2">
        <v>123</v>
      </c>
      <c r="C1702" s="3">
        <v>14479776</v>
      </c>
      <c r="D1702" s="3" t="s">
        <v>5874</v>
      </c>
      <c r="E1702" s="2" t="s">
        <v>2016</v>
      </c>
      <c r="F1702" s="2" t="s">
        <v>10</v>
      </c>
      <c r="G1702" s="2" t="s">
        <v>16</v>
      </c>
      <c r="H1702" s="2">
        <v>35000000</v>
      </c>
      <c r="I1702" s="2">
        <v>7.1</v>
      </c>
      <c r="J1702" s="3">
        <v>18306166</v>
      </c>
      <c r="K1702">
        <f t="shared" si="60"/>
        <v>1.3775047412552699E-3</v>
      </c>
      <c r="R1702" s="12" t="str">
        <f ca="1">IFERROR(__xludf.DUMMYFUNCTION("""COMPUTED_VALUE"""),"Lucky Number Slevin ")</f>
        <v>Lucky Number Slevin </v>
      </c>
      <c r="S1702" s="12">
        <f t="shared" si="61"/>
        <v>11472900</v>
      </c>
    </row>
    <row r="1703" spans="1:19" x14ac:dyDescent="0.3">
      <c r="A1703" s="2" t="s">
        <v>5049</v>
      </c>
      <c r="B1703" s="2">
        <v>106</v>
      </c>
      <c r="C1703" s="3">
        <v>14589444</v>
      </c>
      <c r="D1703" s="3" t="s">
        <v>5849</v>
      </c>
      <c r="E1703" s="2" t="s">
        <v>5461</v>
      </c>
      <c r="F1703" s="2" t="s">
        <v>10</v>
      </c>
      <c r="G1703" s="2" t="s">
        <v>11</v>
      </c>
      <c r="H1703" s="2">
        <v>600000</v>
      </c>
      <c r="I1703" s="2">
        <v>5.6</v>
      </c>
      <c r="J1703" s="3">
        <v>18317151</v>
      </c>
      <c r="K1703">
        <f t="shared" si="60"/>
        <v>1.3775047412552699E-3</v>
      </c>
      <c r="R1703" s="12" t="str">
        <f ca="1">IFERROR(__xludf.DUMMYFUNCTION("""COMPUTED_VALUE"""),"The Right Stuff ")</f>
        <v>The Right Stuff </v>
      </c>
      <c r="S1703" s="12">
        <f t="shared" si="61"/>
        <v>38984230</v>
      </c>
    </row>
    <row r="1704" spans="1:19" x14ac:dyDescent="0.3">
      <c r="A1704" s="2" t="s">
        <v>1262</v>
      </c>
      <c r="B1704" s="2">
        <v>107</v>
      </c>
      <c r="C1704" s="3">
        <v>1050445</v>
      </c>
      <c r="D1704" s="3" t="s">
        <v>6039</v>
      </c>
      <c r="E1704" s="2" t="s">
        <v>1263</v>
      </c>
      <c r="F1704" s="2" t="s">
        <v>10</v>
      </c>
      <c r="G1704" s="2" t="s">
        <v>11</v>
      </c>
      <c r="H1704" s="2">
        <v>55000000</v>
      </c>
      <c r="I1704" s="2">
        <v>5.6</v>
      </c>
      <c r="J1704" s="3">
        <v>18318000</v>
      </c>
      <c r="K1704">
        <f t="shared" si="60"/>
        <v>1.3775047412552699E-3</v>
      </c>
      <c r="R1704" s="12" t="str">
        <f ca="1">IFERROR(__xludf.DUMMYFUNCTION("""COMPUTED_VALUE"""),"Anonymous ")</f>
        <v>Anonymous </v>
      </c>
      <c r="S1704" s="12">
        <f t="shared" si="61"/>
        <v>-16368779</v>
      </c>
    </row>
    <row r="1705" spans="1:19" x14ac:dyDescent="0.3">
      <c r="A1705" s="2" t="s">
        <v>8</v>
      </c>
      <c r="B1705" s="2">
        <v>194</v>
      </c>
      <c r="C1705" s="3">
        <v>18306166</v>
      </c>
      <c r="D1705" s="3" t="s">
        <v>6020</v>
      </c>
      <c r="E1705" s="2" t="s">
        <v>56</v>
      </c>
      <c r="F1705" s="2" t="s">
        <v>10</v>
      </c>
      <c r="G1705" s="2" t="s">
        <v>11</v>
      </c>
      <c r="H1705" s="2">
        <v>200000000</v>
      </c>
      <c r="I1705" s="2">
        <v>7.7</v>
      </c>
      <c r="J1705" s="3">
        <v>18324242</v>
      </c>
      <c r="K1705">
        <f t="shared" si="60"/>
        <v>1.3775047412552699E-3</v>
      </c>
      <c r="R1705" s="12" t="str">
        <f ca="1">IFERROR(__xludf.DUMMYFUNCTION("""COMPUTED_VALUE"""),"Dark City ")</f>
        <v>Dark City </v>
      </c>
      <c r="S1705" s="12">
        <f t="shared" si="61"/>
        <v>27027055</v>
      </c>
    </row>
    <row r="1706" spans="1:19" x14ac:dyDescent="0.3">
      <c r="A1706" s="2" t="s">
        <v>2072</v>
      </c>
      <c r="B1706" s="2">
        <v>115</v>
      </c>
      <c r="C1706" s="3">
        <v>33508922</v>
      </c>
      <c r="D1706" s="3" t="s">
        <v>5898</v>
      </c>
      <c r="E1706" s="2" t="s">
        <v>4318</v>
      </c>
      <c r="F1706" s="2" t="s">
        <v>10</v>
      </c>
      <c r="G1706" s="2" t="s">
        <v>11</v>
      </c>
      <c r="H1706" s="2">
        <v>7500000</v>
      </c>
      <c r="I1706" s="2">
        <v>6.9</v>
      </c>
      <c r="J1706" s="3">
        <v>18329466</v>
      </c>
      <c r="K1706">
        <f t="shared" si="60"/>
        <v>1.3775047412552699E-3</v>
      </c>
      <c r="R1706" s="12" t="str">
        <f ca="1">IFERROR(__xludf.DUMMYFUNCTION("""COMPUTED_VALUE"""),"The Duchess ")</f>
        <v>The Duchess </v>
      </c>
      <c r="S1706" s="12">
        <f t="shared" si="61"/>
        <v>-21252415</v>
      </c>
    </row>
    <row r="1707" spans="1:19" x14ac:dyDescent="0.3">
      <c r="A1707" s="2" t="s">
        <v>304</v>
      </c>
      <c r="B1707" s="2">
        <v>107</v>
      </c>
      <c r="C1707" s="3">
        <v>30093107</v>
      </c>
      <c r="D1707" s="3" t="s">
        <v>5808</v>
      </c>
      <c r="E1707" s="2" t="s">
        <v>5530</v>
      </c>
      <c r="F1707" s="2" t="s">
        <v>10</v>
      </c>
      <c r="G1707" s="2" t="s">
        <v>16</v>
      </c>
      <c r="H1707" s="2">
        <v>2000000</v>
      </c>
      <c r="I1707" s="2">
        <v>7.7</v>
      </c>
      <c r="J1707" s="3">
        <v>18352454</v>
      </c>
      <c r="K1707">
        <f t="shared" si="60"/>
        <v>1.3775047412552699E-3</v>
      </c>
      <c r="R1707" s="12" t="str">
        <f ca="1">IFERROR(__xludf.DUMMYFUNCTION("""COMPUTED_VALUE"""),"The Newton Boys ")</f>
        <v>The Newton Boys </v>
      </c>
      <c r="S1707" s="12">
        <f t="shared" si="61"/>
        <v>20393765</v>
      </c>
    </row>
    <row r="1708" spans="1:19" x14ac:dyDescent="0.3">
      <c r="A1708" s="2" t="s">
        <v>5496</v>
      </c>
      <c r="B1708" s="2">
        <v>98</v>
      </c>
      <c r="C1708" s="3">
        <v>50173190</v>
      </c>
      <c r="D1708" s="3" t="s">
        <v>6163</v>
      </c>
      <c r="E1708" s="2" t="s">
        <v>5497</v>
      </c>
      <c r="F1708" s="2" t="s">
        <v>10</v>
      </c>
      <c r="G1708" s="2" t="s">
        <v>11</v>
      </c>
      <c r="H1708" s="2">
        <v>500000</v>
      </c>
      <c r="I1708" s="2">
        <v>6</v>
      </c>
      <c r="J1708" s="3">
        <v>18381787</v>
      </c>
      <c r="K1708">
        <f t="shared" si="60"/>
        <v>1.3775047412552699E-3</v>
      </c>
      <c r="R1708" s="12" t="str">
        <f ca="1">IFERROR(__xludf.DUMMYFUNCTION("""COMPUTED_VALUE"""),"Case 39 ")</f>
        <v>Case 39 </v>
      </c>
      <c r="S1708" s="12">
        <f t="shared" si="61"/>
        <v>6168741</v>
      </c>
    </row>
    <row r="1709" spans="1:19" x14ac:dyDescent="0.3">
      <c r="A1709" s="2" t="s">
        <v>45</v>
      </c>
      <c r="B1709" s="2">
        <v>135</v>
      </c>
      <c r="C1709" s="3">
        <v>11703287</v>
      </c>
      <c r="D1709" s="3" t="s">
        <v>6253</v>
      </c>
      <c r="E1709" s="2" t="s">
        <v>530</v>
      </c>
      <c r="F1709" s="2" t="s">
        <v>10</v>
      </c>
      <c r="G1709" s="2" t="s">
        <v>11</v>
      </c>
      <c r="H1709" s="2">
        <v>65000000</v>
      </c>
      <c r="I1709" s="2">
        <v>6.7</v>
      </c>
      <c r="J1709" s="3">
        <v>18438149</v>
      </c>
      <c r="K1709">
        <f t="shared" si="60"/>
        <v>1.3775047412552699E-3</v>
      </c>
      <c r="R1709" s="12" t="str">
        <f ca="1">IFERROR(__xludf.DUMMYFUNCTION("""COMPUTED_VALUE"""),"Suspect Zero ")</f>
        <v>Suspect Zero </v>
      </c>
      <c r="S1709" s="12">
        <f t="shared" si="61"/>
        <v>15102717</v>
      </c>
    </row>
    <row r="1710" spans="1:19" x14ac:dyDescent="0.3">
      <c r="A1710" s="2" t="s">
        <v>1856</v>
      </c>
      <c r="B1710" s="2">
        <v>120</v>
      </c>
      <c r="C1710" s="3">
        <v>32662299</v>
      </c>
      <c r="D1710" s="3" t="s">
        <v>6009</v>
      </c>
      <c r="E1710" s="2" t="s">
        <v>3893</v>
      </c>
      <c r="F1710" s="2" t="s">
        <v>10</v>
      </c>
      <c r="G1710" s="2" t="s">
        <v>11</v>
      </c>
      <c r="H1710" s="2">
        <v>11000000</v>
      </c>
      <c r="I1710" s="2">
        <v>7.5</v>
      </c>
      <c r="J1710" s="3">
        <v>18439082</v>
      </c>
      <c r="K1710">
        <f t="shared" si="60"/>
        <v>1.3775047412552699E-3</v>
      </c>
      <c r="R1710" s="12" t="str">
        <f ca="1">IFERROR(__xludf.DUMMYFUNCTION("""COMPUTED_VALUE"""),"Martian Child ")</f>
        <v>Martian Child </v>
      </c>
      <c r="S1710" s="12">
        <f t="shared" si="61"/>
        <v>43006147</v>
      </c>
    </row>
    <row r="1711" spans="1:19" x14ac:dyDescent="0.3">
      <c r="A1711" s="2" t="s">
        <v>1254</v>
      </c>
      <c r="B1711" s="2">
        <v>114</v>
      </c>
      <c r="C1711" s="3">
        <v>6517198</v>
      </c>
      <c r="D1711" s="3" t="s">
        <v>6251</v>
      </c>
      <c r="E1711" s="2" t="s">
        <v>1255</v>
      </c>
      <c r="F1711" s="2" t="s">
        <v>10</v>
      </c>
      <c r="G1711" s="2" t="s">
        <v>16</v>
      </c>
      <c r="H1711" s="2">
        <v>55000000</v>
      </c>
      <c r="I1711" s="2">
        <v>6.9</v>
      </c>
      <c r="J1711" s="3">
        <v>18472363</v>
      </c>
      <c r="K1711">
        <f t="shared" si="60"/>
        <v>1.3775047412552699E-3</v>
      </c>
      <c r="R1711" s="12" t="str">
        <f ca="1">IFERROR(__xludf.DUMMYFUNCTION("""COMPUTED_VALUE"""),"Spy Kids: All the Time in the World in 4D ")</f>
        <v>Spy Kids: All the Time in the World in 4D </v>
      </c>
      <c r="S1711" s="12">
        <f t="shared" si="61"/>
        <v>57522097</v>
      </c>
    </row>
    <row r="1712" spans="1:19" x14ac:dyDescent="0.3">
      <c r="A1712" s="2" t="s">
        <v>605</v>
      </c>
      <c r="B1712" s="2">
        <v>140</v>
      </c>
      <c r="C1712" s="3">
        <v>125069696</v>
      </c>
      <c r="D1712" s="3" t="s">
        <v>5849</v>
      </c>
      <c r="E1712" s="2" t="s">
        <v>606</v>
      </c>
      <c r="F1712" s="2" t="s">
        <v>10</v>
      </c>
      <c r="G1712" s="2" t="s">
        <v>11</v>
      </c>
      <c r="H1712" s="2">
        <v>87000000</v>
      </c>
      <c r="I1712" s="2">
        <v>7.3</v>
      </c>
      <c r="J1712" s="3">
        <v>18488314</v>
      </c>
      <c r="K1712">
        <f t="shared" si="60"/>
        <v>1.3775047412552699E-3</v>
      </c>
      <c r="R1712" s="12" t="str">
        <f ca="1">IFERROR(__xludf.DUMMYFUNCTION("""COMPUTED_VALUE"""),"Money Monster ")</f>
        <v>Money Monster </v>
      </c>
      <c r="S1712" s="12">
        <f t="shared" si="61"/>
        <v>4027866</v>
      </c>
    </row>
    <row r="1713" spans="1:19" x14ac:dyDescent="0.3">
      <c r="A1713" s="2" t="s">
        <v>662</v>
      </c>
      <c r="B1713" s="2">
        <v>139</v>
      </c>
      <c r="C1713" s="3">
        <v>18112929</v>
      </c>
      <c r="D1713" s="3" t="s">
        <v>6254</v>
      </c>
      <c r="E1713" s="2" t="s">
        <v>2691</v>
      </c>
      <c r="F1713" s="2" t="s">
        <v>10</v>
      </c>
      <c r="G1713" s="2" t="s">
        <v>11</v>
      </c>
      <c r="H1713" s="2">
        <v>24000000</v>
      </c>
      <c r="I1713" s="2">
        <v>7.2</v>
      </c>
      <c r="J1713" s="3">
        <v>18500966</v>
      </c>
      <c r="K1713">
        <f t="shared" si="60"/>
        <v>1.3775047412552699E-3</v>
      </c>
      <c r="R1713" s="12" t="str">
        <f ca="1">IFERROR(__xludf.DUMMYFUNCTION("""COMPUTED_VALUE"""),"Formula 51 ")</f>
        <v>Formula 51 </v>
      </c>
      <c r="S1713" s="12">
        <f t="shared" si="61"/>
        <v>10090181</v>
      </c>
    </row>
    <row r="1714" spans="1:19" x14ac:dyDescent="0.3">
      <c r="A1714" s="2" t="s">
        <v>1608</v>
      </c>
      <c r="B1714" s="2">
        <v>97</v>
      </c>
      <c r="C1714" s="3">
        <v>50820940</v>
      </c>
      <c r="D1714" s="3" t="s">
        <v>6255</v>
      </c>
      <c r="E1714" s="2" t="s">
        <v>3901</v>
      </c>
      <c r="F1714" s="2" t="s">
        <v>10</v>
      </c>
      <c r="G1714" s="2" t="s">
        <v>11</v>
      </c>
      <c r="H1714" s="2">
        <v>10500000</v>
      </c>
      <c r="I1714" s="2">
        <v>6.9</v>
      </c>
      <c r="J1714" s="3">
        <v>18535191</v>
      </c>
      <c r="K1714">
        <f t="shared" si="60"/>
        <v>1.3775047412552699E-3</v>
      </c>
      <c r="R1714" s="12" t="str">
        <f ca="1">IFERROR(__xludf.DUMMYFUNCTION("""COMPUTED_VALUE"""),"Flawless ")</f>
        <v>Flawless </v>
      </c>
      <c r="S1714" s="12">
        <f t="shared" si="61"/>
        <v>-71932192</v>
      </c>
    </row>
    <row r="1715" spans="1:19" x14ac:dyDescent="0.3">
      <c r="A1715" s="2" t="s">
        <v>371</v>
      </c>
      <c r="B1715" s="2">
        <v>115</v>
      </c>
      <c r="C1715" s="3">
        <v>4710455</v>
      </c>
      <c r="D1715" s="3" t="s">
        <v>6041</v>
      </c>
      <c r="E1715" s="2" t="s">
        <v>4436</v>
      </c>
      <c r="F1715" s="2" t="s">
        <v>4437</v>
      </c>
      <c r="G1715" s="2" t="s">
        <v>4438</v>
      </c>
      <c r="H1715" s="2">
        <v>4000000</v>
      </c>
      <c r="I1715" s="2">
        <v>8.1</v>
      </c>
      <c r="J1715" s="3">
        <v>18573791</v>
      </c>
      <c r="K1715">
        <f t="shared" si="60"/>
        <v>1.3775047412552699E-3</v>
      </c>
      <c r="R1715" s="12" t="str">
        <f ca="1">IFERROR(__xludf.DUMMYFUNCTION("""COMPUTED_VALUE"""),"Mindhunters ")</f>
        <v>Mindhunters </v>
      </c>
      <c r="S1715" s="12">
        <f t="shared" si="61"/>
        <v>32885635</v>
      </c>
    </row>
    <row r="1716" spans="1:19" x14ac:dyDescent="0.3">
      <c r="A1716" s="2" t="s">
        <v>4623</v>
      </c>
      <c r="B1716" s="2">
        <v>77</v>
      </c>
      <c r="C1716" s="3">
        <v>19057024</v>
      </c>
      <c r="D1716" s="3" t="s">
        <v>6256</v>
      </c>
      <c r="E1716" s="2" t="s">
        <v>4624</v>
      </c>
      <c r="F1716" s="2" t="s">
        <v>10</v>
      </c>
      <c r="G1716" s="2" t="s">
        <v>11</v>
      </c>
      <c r="H1716" s="2">
        <v>5000000</v>
      </c>
      <c r="I1716" s="2">
        <v>5</v>
      </c>
      <c r="J1716" s="3">
        <v>18593156</v>
      </c>
      <c r="K1716">
        <f t="shared" si="60"/>
        <v>1.3775047412552699E-3</v>
      </c>
      <c r="R1716" s="12" t="str">
        <f ca="1">IFERROR(__xludf.DUMMYFUNCTION("""COMPUTED_VALUE"""),"What Just Happened ")</f>
        <v>What Just Happened </v>
      </c>
      <c r="S1716" s="12">
        <f t="shared" si="61"/>
        <v>-29842984</v>
      </c>
    </row>
    <row r="1717" spans="1:19" x14ac:dyDescent="0.3">
      <c r="A1717" s="2" t="s">
        <v>133</v>
      </c>
      <c r="B1717" s="2">
        <v>109</v>
      </c>
      <c r="C1717" s="3">
        <v>46975183</v>
      </c>
      <c r="D1717" s="3" t="s">
        <v>5869</v>
      </c>
      <c r="E1717" s="2" t="s">
        <v>2937</v>
      </c>
      <c r="F1717" s="2" t="s">
        <v>10</v>
      </c>
      <c r="G1717" s="2" t="s">
        <v>11</v>
      </c>
      <c r="H1717" s="3">
        <v>50007168</v>
      </c>
      <c r="I1717" s="2">
        <v>6.8</v>
      </c>
      <c r="J1717" s="3">
        <v>18595716</v>
      </c>
      <c r="K1717">
        <f t="shared" si="60"/>
        <v>1.3775047412552699E-3</v>
      </c>
      <c r="R1717" s="12" t="str">
        <f ca="1">IFERROR(__xludf.DUMMYFUNCTION("""COMPUTED_VALUE"""),"The Statement ")</f>
        <v>The Statement </v>
      </c>
      <c r="S1717" s="12">
        <f t="shared" si="61"/>
        <v>23507228</v>
      </c>
    </row>
    <row r="1718" spans="1:19" x14ac:dyDescent="0.3">
      <c r="A1718" s="2" t="s">
        <v>2459</v>
      </c>
      <c r="B1718" s="2">
        <v>98</v>
      </c>
      <c r="C1718" s="3">
        <v>9353573</v>
      </c>
      <c r="D1718" s="3" t="s">
        <v>5996</v>
      </c>
      <c r="E1718" s="2" t="s">
        <v>2460</v>
      </c>
      <c r="F1718" s="2" t="s">
        <v>10</v>
      </c>
      <c r="G1718" s="2" t="s">
        <v>11</v>
      </c>
      <c r="H1718" s="2">
        <v>27000000</v>
      </c>
      <c r="I1718" s="2">
        <v>6.7</v>
      </c>
      <c r="J1718" s="3">
        <v>18600911</v>
      </c>
      <c r="K1718">
        <f t="shared" si="60"/>
        <v>1.3775047412552699E-3</v>
      </c>
      <c r="R1718" s="12" t="str">
        <f ca="1">IFERROR(__xludf.DUMMYFUNCTION("""COMPUTED_VALUE"""),"Paul Blart: Mall Cop ")</f>
        <v>Paul Blart: Mall Cop </v>
      </c>
      <c r="S1718" s="12">
        <f t="shared" si="61"/>
        <v>88300000</v>
      </c>
    </row>
    <row r="1719" spans="1:19" x14ac:dyDescent="0.3">
      <c r="A1719" s="2" t="s">
        <v>1199</v>
      </c>
      <c r="B1719" s="2">
        <v>84</v>
      </c>
      <c r="C1719" s="3">
        <v>70906973</v>
      </c>
      <c r="D1719" s="3" t="s">
        <v>5921</v>
      </c>
      <c r="E1719" s="2" t="s">
        <v>1200</v>
      </c>
      <c r="F1719" s="2" t="s">
        <v>10</v>
      </c>
      <c r="G1719" s="2" t="s">
        <v>11</v>
      </c>
      <c r="H1719" s="2">
        <v>55000000</v>
      </c>
      <c r="I1719" s="2">
        <v>6.6</v>
      </c>
      <c r="J1719" s="3">
        <v>18621249</v>
      </c>
      <c r="K1719">
        <f t="shared" si="60"/>
        <v>1.3775047412552699E-3</v>
      </c>
      <c r="R1719" s="12" t="str">
        <f ca="1">IFERROR(__xludf.DUMMYFUNCTION("""COMPUTED_VALUE"""),"Freaky Friday ")</f>
        <v>Freaky Friday </v>
      </c>
      <c r="S1719" s="12">
        <f t="shared" si="61"/>
        <v>-56201468</v>
      </c>
    </row>
    <row r="1720" spans="1:19" x14ac:dyDescent="0.3">
      <c r="A1720" s="2" t="s">
        <v>613</v>
      </c>
      <c r="B1720" s="2">
        <v>111</v>
      </c>
      <c r="C1720" s="3">
        <v>16017403</v>
      </c>
      <c r="D1720" s="3" t="s">
        <v>5869</v>
      </c>
      <c r="E1720" s="2" t="s">
        <v>985</v>
      </c>
      <c r="F1720" s="2" t="s">
        <v>10</v>
      </c>
      <c r="G1720" s="2" t="s">
        <v>11</v>
      </c>
      <c r="H1720" s="2">
        <v>45000000</v>
      </c>
      <c r="I1720" s="2">
        <v>6.4</v>
      </c>
      <c r="J1720" s="3">
        <v>18636537</v>
      </c>
      <c r="K1720">
        <f t="shared" si="60"/>
        <v>1.3775047412552699E-3</v>
      </c>
      <c r="R1720" s="12" t="str">
        <f ca="1">IFERROR(__xludf.DUMMYFUNCTION("""COMPUTED_VALUE"""),"The 40-Year-Old Virgin ")</f>
        <v>The 40-Year-Old Virgin </v>
      </c>
      <c r="S1720" s="12">
        <f t="shared" si="61"/>
        <v>45481889</v>
      </c>
    </row>
    <row r="1721" spans="1:19" x14ac:dyDescent="0.3">
      <c r="A1721" s="2" t="s">
        <v>3826</v>
      </c>
      <c r="B1721" s="2">
        <v>107</v>
      </c>
      <c r="C1721" s="3">
        <v>25675765</v>
      </c>
      <c r="D1721" s="3" t="s">
        <v>6257</v>
      </c>
      <c r="E1721" s="2" t="s">
        <v>3827</v>
      </c>
      <c r="F1721" s="2" t="s">
        <v>10</v>
      </c>
      <c r="G1721" s="2" t="s">
        <v>11</v>
      </c>
      <c r="H1721" s="2">
        <v>12000000</v>
      </c>
      <c r="I1721" s="2">
        <v>6.6</v>
      </c>
      <c r="J1721" s="3">
        <v>18653615</v>
      </c>
      <c r="K1721">
        <f t="shared" si="60"/>
        <v>1.3775047412552699E-3</v>
      </c>
      <c r="R1721" s="12" t="str">
        <f ca="1">IFERROR(__xludf.DUMMYFUNCTION("""COMPUTED_VALUE"""),"Shakespeare in Love ")</f>
        <v>Shakespeare in Love </v>
      </c>
      <c r="S1721" s="12">
        <f t="shared" si="61"/>
        <v>-34936195</v>
      </c>
    </row>
    <row r="1722" spans="1:19" x14ac:dyDescent="0.3">
      <c r="A1722" s="2" t="s">
        <v>1377</v>
      </c>
      <c r="B1722" s="2">
        <v>105</v>
      </c>
      <c r="C1722" s="3">
        <v>12574715</v>
      </c>
      <c r="D1722" s="3" t="s">
        <v>5910</v>
      </c>
      <c r="E1722" s="2" t="s">
        <v>1378</v>
      </c>
      <c r="F1722" s="2" t="s">
        <v>10</v>
      </c>
      <c r="G1722" s="2" t="s">
        <v>11</v>
      </c>
      <c r="H1722" s="2">
        <v>50000000</v>
      </c>
      <c r="I1722" s="2">
        <v>5.8</v>
      </c>
      <c r="J1722" s="3">
        <v>18653746</v>
      </c>
      <c r="K1722">
        <f t="shared" si="60"/>
        <v>1.3775047412552699E-3</v>
      </c>
      <c r="R1722" s="12" t="str">
        <f ca="1">IFERROR(__xludf.DUMMYFUNCTION("""COMPUTED_VALUE"""),"A Walk Among the Tombstones ")</f>
        <v>A Walk Among the Tombstones </v>
      </c>
      <c r="S1722" s="12">
        <f t="shared" si="61"/>
        <v>-24200996</v>
      </c>
    </row>
    <row r="1723" spans="1:19" x14ac:dyDescent="0.3">
      <c r="A1723" s="2" t="s">
        <v>1574</v>
      </c>
      <c r="B1723" s="2">
        <v>220</v>
      </c>
      <c r="C1723" s="3">
        <v>77679638</v>
      </c>
      <c r="D1723" s="3" t="s">
        <v>6258</v>
      </c>
      <c r="E1723" s="2" t="s">
        <v>1575</v>
      </c>
      <c r="F1723" s="2" t="s">
        <v>10</v>
      </c>
      <c r="G1723" s="2" t="s">
        <v>11</v>
      </c>
      <c r="H1723" s="2">
        <v>57000000</v>
      </c>
      <c r="I1723" s="2">
        <v>5.8</v>
      </c>
      <c r="J1723" s="3">
        <v>18656400</v>
      </c>
      <c r="K1723">
        <f t="shared" si="60"/>
        <v>1.3775047412552699E-3</v>
      </c>
      <c r="R1723" s="12" t="str">
        <f ca="1">IFERROR(__xludf.DUMMYFUNCTION("""COMPUTED_VALUE"""),"Kindergarten Cop ")</f>
        <v>Kindergarten Cop </v>
      </c>
      <c r="S1723" s="12">
        <f t="shared" si="61"/>
        <v>-47561851</v>
      </c>
    </row>
    <row r="1724" spans="1:19" x14ac:dyDescent="0.3">
      <c r="A1724" s="2" t="s">
        <v>139</v>
      </c>
      <c r="B1724" s="2">
        <v>176</v>
      </c>
      <c r="C1724" s="3">
        <v>35596227</v>
      </c>
      <c r="D1724" s="3" t="s">
        <v>6259</v>
      </c>
      <c r="E1724" s="2" t="s">
        <v>140</v>
      </c>
      <c r="F1724" s="2" t="s">
        <v>10</v>
      </c>
      <c r="G1724" s="2" t="s">
        <v>11</v>
      </c>
      <c r="H1724" s="2">
        <v>175000000</v>
      </c>
      <c r="I1724" s="2">
        <v>6.1</v>
      </c>
      <c r="J1724" s="3">
        <v>18663911</v>
      </c>
      <c r="K1724">
        <f t="shared" si="60"/>
        <v>1.3775047412552699E-3</v>
      </c>
      <c r="R1724" s="12" t="str">
        <f ca="1">IFERROR(__xludf.DUMMYFUNCTION("""COMPUTED_VALUE"""),"Pineapple Express ")</f>
        <v>Pineapple Express </v>
      </c>
      <c r="S1724" s="12">
        <f t="shared" si="61"/>
        <v>-20520224</v>
      </c>
    </row>
    <row r="1725" spans="1:19" x14ac:dyDescent="0.3">
      <c r="A1725" s="2" t="s">
        <v>3208</v>
      </c>
      <c r="B1725" s="2">
        <v>130</v>
      </c>
      <c r="C1725" s="3">
        <v>46875468</v>
      </c>
      <c r="D1725" s="3" t="s">
        <v>5866</v>
      </c>
      <c r="E1725" s="2" t="s">
        <v>4026</v>
      </c>
      <c r="F1725" s="2" t="s">
        <v>10</v>
      </c>
      <c r="G1725" s="2" t="s">
        <v>11</v>
      </c>
      <c r="H1725" s="2">
        <v>10000000</v>
      </c>
      <c r="I1725" s="2">
        <v>7.4</v>
      </c>
      <c r="J1725" s="3">
        <v>18761993</v>
      </c>
      <c r="K1725">
        <f t="shared" si="60"/>
        <v>1.3775047412552699E-3</v>
      </c>
      <c r="R1725" s="12" t="str">
        <f ca="1">IFERROR(__xludf.DUMMYFUNCTION("""COMPUTED_VALUE"""),"Ever After: A Cinderella Story ")</f>
        <v>Ever After: A Cinderella Story </v>
      </c>
      <c r="S1725" s="12">
        <f t="shared" si="61"/>
        <v>13989444</v>
      </c>
    </row>
    <row r="1726" spans="1:19" x14ac:dyDescent="0.3">
      <c r="A1726" s="2" t="s">
        <v>5469</v>
      </c>
      <c r="B1726" s="2">
        <v>80</v>
      </c>
      <c r="C1726" s="3">
        <v>2040920</v>
      </c>
      <c r="D1726" s="3" t="s">
        <v>5996</v>
      </c>
      <c r="E1726" s="2" t="s">
        <v>5470</v>
      </c>
      <c r="F1726" s="2" t="s">
        <v>10</v>
      </c>
      <c r="G1726" s="2" t="s">
        <v>11</v>
      </c>
      <c r="H1726" s="2">
        <v>560000</v>
      </c>
      <c r="I1726" s="2">
        <v>7.2</v>
      </c>
      <c r="J1726" s="3">
        <v>18821279</v>
      </c>
      <c r="K1726">
        <f t="shared" si="60"/>
        <v>1.3775047412552699E-3</v>
      </c>
      <c r="R1726" s="12" t="str">
        <f ca="1">IFERROR(__xludf.DUMMYFUNCTION("""COMPUTED_VALUE"""),"Open Range ")</f>
        <v>Open Range </v>
      </c>
      <c r="S1726" s="12">
        <f t="shared" si="61"/>
        <v>-53949555</v>
      </c>
    </row>
    <row r="1727" spans="1:19" x14ac:dyDescent="0.3">
      <c r="A1727" s="2" t="s">
        <v>2216</v>
      </c>
      <c r="B1727" s="2">
        <v>96</v>
      </c>
      <c r="C1727" s="2">
        <v>10515579</v>
      </c>
      <c r="D1727" s="3" t="s">
        <v>885</v>
      </c>
      <c r="E1727" s="2" t="s">
        <v>4780</v>
      </c>
      <c r="F1727" s="2" t="s">
        <v>10</v>
      </c>
      <c r="G1727" s="2" t="s">
        <v>16</v>
      </c>
      <c r="H1727" s="2">
        <v>4000000</v>
      </c>
      <c r="I1727" s="2">
        <v>6.7</v>
      </c>
      <c r="J1727" s="3">
        <v>18843314</v>
      </c>
      <c r="K1727">
        <f t="shared" si="60"/>
        <v>1.3775047412552699E-3</v>
      </c>
      <c r="R1727" s="12" t="str">
        <f ca="1">IFERROR(__xludf.DUMMYFUNCTION("""COMPUTED_VALUE"""),"Flatliners ")</f>
        <v>Flatliners </v>
      </c>
      <c r="S1727" s="12">
        <f t="shared" si="61"/>
        <v>-181693834</v>
      </c>
    </row>
    <row r="1728" spans="1:19" x14ac:dyDescent="0.3">
      <c r="A1728" s="2" t="s">
        <v>1206</v>
      </c>
      <c r="B1728" s="2">
        <v>95</v>
      </c>
      <c r="C1728" s="3">
        <v>24048000</v>
      </c>
      <c r="D1728" s="3" t="s">
        <v>6260</v>
      </c>
      <c r="E1728" s="2" t="s">
        <v>1537</v>
      </c>
      <c r="F1728" s="2" t="s">
        <v>10</v>
      </c>
      <c r="G1728" s="2" t="s">
        <v>11</v>
      </c>
      <c r="H1728" s="2">
        <v>45000000</v>
      </c>
      <c r="I1728" s="2">
        <v>5.6</v>
      </c>
      <c r="J1728" s="3">
        <v>18860403</v>
      </c>
      <c r="K1728">
        <f t="shared" si="60"/>
        <v>1.3775047412552699E-3</v>
      </c>
      <c r="R1728" s="12" t="str">
        <f ca="1">IFERROR(__xludf.DUMMYFUNCTION("""COMPUTED_VALUE"""),"A Bridge Too Far ")</f>
        <v>A Bridge Too Far </v>
      </c>
      <c r="S1728" s="12">
        <f t="shared" si="61"/>
        <v>26008922</v>
      </c>
    </row>
    <row r="1729" spans="1:19" x14ac:dyDescent="0.3">
      <c r="A1729" s="2" t="s">
        <v>440</v>
      </c>
      <c r="B1729" s="2">
        <v>82</v>
      </c>
      <c r="C1729" s="3">
        <v>30050028</v>
      </c>
      <c r="D1729" s="3" t="s">
        <v>885</v>
      </c>
      <c r="E1729" s="2" t="s">
        <v>2389</v>
      </c>
      <c r="F1729" s="2" t="s">
        <v>10</v>
      </c>
      <c r="G1729" s="2" t="s">
        <v>11</v>
      </c>
      <c r="H1729" s="2">
        <v>28000000</v>
      </c>
      <c r="I1729" s="2">
        <v>6.9</v>
      </c>
      <c r="J1729" s="3">
        <v>18882880</v>
      </c>
      <c r="K1729">
        <f t="shared" si="60"/>
        <v>1.3775047412552699E-3</v>
      </c>
      <c r="R1729" s="12" t="str">
        <f ca="1">IFERROR(__xludf.DUMMYFUNCTION("""COMPUTED_VALUE"""),"Red Eye ")</f>
        <v>Red Eye </v>
      </c>
      <c r="S1729" s="12">
        <f t="shared" si="61"/>
        <v>28093107</v>
      </c>
    </row>
    <row r="1730" spans="1:19" x14ac:dyDescent="0.3">
      <c r="A1730" s="2" t="s">
        <v>5482</v>
      </c>
      <c r="B1730" s="2">
        <v>101</v>
      </c>
      <c r="C1730" s="3">
        <v>25753840</v>
      </c>
      <c r="D1730" s="3" t="s">
        <v>885</v>
      </c>
      <c r="E1730" s="2" t="s">
        <v>5491</v>
      </c>
      <c r="F1730" s="2" t="s">
        <v>10</v>
      </c>
      <c r="G1730" s="2" t="s">
        <v>11</v>
      </c>
      <c r="H1730" s="2">
        <v>500000</v>
      </c>
      <c r="I1730" s="2">
        <v>6</v>
      </c>
      <c r="J1730" s="3">
        <v>18934858</v>
      </c>
      <c r="K1730">
        <f t="shared" ref="K1730:K1793" si="62">CORREL(H$2:H$3941,J$2:J$3941)</f>
        <v>1.3775047412552699E-3</v>
      </c>
      <c r="R1730" s="12" t="str">
        <f ca="1">IFERROR(__xludf.DUMMYFUNCTION("""COMPUTED_VALUE"""),"Final Destination 2 ")</f>
        <v>Final Destination 2 </v>
      </c>
      <c r="S1730" s="12">
        <f t="shared" si="61"/>
        <v>49673190</v>
      </c>
    </row>
    <row r="1731" spans="1:19" x14ac:dyDescent="0.3">
      <c r="A1731" s="2" t="s">
        <v>4325</v>
      </c>
      <c r="B1731" s="2">
        <v>109</v>
      </c>
      <c r="C1731" s="3">
        <v>1573712</v>
      </c>
      <c r="D1731" s="3" t="s">
        <v>6134</v>
      </c>
      <c r="E1731" s="2" t="s">
        <v>4326</v>
      </c>
      <c r="F1731" s="2" t="s">
        <v>10</v>
      </c>
      <c r="G1731" s="2" t="s">
        <v>16</v>
      </c>
      <c r="H1731" s="2">
        <v>7500000</v>
      </c>
      <c r="I1731" s="2">
        <v>6</v>
      </c>
      <c r="J1731" s="3">
        <v>18947630</v>
      </c>
      <c r="K1731">
        <f t="shared" si="62"/>
        <v>1.3775047412552699E-3</v>
      </c>
      <c r="R1731" s="12" t="str">
        <f ca="1">IFERROR(__xludf.DUMMYFUNCTION("""COMPUTED_VALUE"""),"O Brother, Where Art Thou? ")</f>
        <v>O Brother, Where Art Thou? </v>
      </c>
      <c r="S1731" s="12">
        <f t="shared" si="61"/>
        <v>-53296713</v>
      </c>
    </row>
    <row r="1732" spans="1:19" x14ac:dyDescent="0.3">
      <c r="A1732" s="2" t="s">
        <v>1147</v>
      </c>
      <c r="B1732" s="2">
        <v>92</v>
      </c>
      <c r="C1732" s="2">
        <v>9483821</v>
      </c>
      <c r="D1732" s="3" t="s">
        <v>5754</v>
      </c>
      <c r="E1732" s="2" t="s">
        <v>1271</v>
      </c>
      <c r="F1732" s="2" t="s">
        <v>10</v>
      </c>
      <c r="G1732" s="2" t="s">
        <v>11</v>
      </c>
      <c r="H1732" s="2">
        <v>55000000</v>
      </c>
      <c r="I1732" s="2">
        <v>5.7</v>
      </c>
      <c r="J1732" s="3">
        <v>18967571</v>
      </c>
      <c r="K1732">
        <f t="shared" si="62"/>
        <v>1.3775047412552699E-3</v>
      </c>
      <c r="R1732" s="12" t="str">
        <f ca="1">IFERROR(__xludf.DUMMYFUNCTION("""COMPUTED_VALUE"""),"Legion ")</f>
        <v>Legion </v>
      </c>
      <c r="S1732" s="12">
        <f t="shared" si="61"/>
        <v>21662299</v>
      </c>
    </row>
    <row r="1733" spans="1:19" x14ac:dyDescent="0.3">
      <c r="A1733" s="2" t="s">
        <v>2762</v>
      </c>
      <c r="B1733" s="2">
        <v>96</v>
      </c>
      <c r="C1733" s="3">
        <v>1984743</v>
      </c>
      <c r="D1733" s="3" t="s">
        <v>5767</v>
      </c>
      <c r="E1733" s="2" t="s">
        <v>2763</v>
      </c>
      <c r="F1733" s="2" t="s">
        <v>10</v>
      </c>
      <c r="G1733" s="2" t="s">
        <v>11</v>
      </c>
      <c r="H1733" s="2">
        <v>22700000</v>
      </c>
      <c r="I1733" s="2">
        <v>7.1</v>
      </c>
      <c r="J1733" s="3">
        <v>18990542</v>
      </c>
      <c r="K1733">
        <f t="shared" si="62"/>
        <v>1.3775047412552699E-3</v>
      </c>
      <c r="R1733" s="12" t="str">
        <f ca="1">IFERROR(__xludf.DUMMYFUNCTION("""COMPUTED_VALUE"""),"Pain &amp; Gain ")</f>
        <v>Pain &amp; Gain </v>
      </c>
      <c r="S1733" s="12">
        <f t="shared" si="61"/>
        <v>-48482802</v>
      </c>
    </row>
    <row r="1734" spans="1:19" x14ac:dyDescent="0.3">
      <c r="A1734" s="2" t="s">
        <v>1256</v>
      </c>
      <c r="B1734" s="2">
        <v>107</v>
      </c>
      <c r="C1734" s="3">
        <v>11326836</v>
      </c>
      <c r="D1734" s="3" t="s">
        <v>6261</v>
      </c>
      <c r="E1734" s="2" t="s">
        <v>3333</v>
      </c>
      <c r="F1734" s="2" t="s">
        <v>10</v>
      </c>
      <c r="G1734" s="2" t="s">
        <v>11</v>
      </c>
      <c r="H1734" s="2">
        <v>16000000</v>
      </c>
      <c r="I1734" s="2">
        <v>5.0999999999999996</v>
      </c>
      <c r="J1734" s="3">
        <v>18996755</v>
      </c>
      <c r="K1734">
        <f t="shared" si="62"/>
        <v>1.3775047412552699E-3</v>
      </c>
      <c r="R1734" s="12" t="str">
        <f ca="1">IFERROR(__xludf.DUMMYFUNCTION("""COMPUTED_VALUE"""),"In Good Company ")</f>
        <v>In Good Company </v>
      </c>
      <c r="S1734" s="12">
        <f t="shared" si="61"/>
        <v>38069696</v>
      </c>
    </row>
    <row r="1735" spans="1:19" x14ac:dyDescent="0.3">
      <c r="A1735" s="2" t="s">
        <v>5423</v>
      </c>
      <c r="B1735" s="2">
        <v>95</v>
      </c>
      <c r="C1735" s="3">
        <v>36500000</v>
      </c>
      <c r="D1735" s="3" t="s">
        <v>6134</v>
      </c>
      <c r="E1735" s="2" t="s">
        <v>5424</v>
      </c>
      <c r="F1735" s="2" t="s">
        <v>10</v>
      </c>
      <c r="G1735" s="2" t="s">
        <v>11</v>
      </c>
      <c r="H1735" s="2">
        <v>825000</v>
      </c>
      <c r="I1735" s="2">
        <v>5.6</v>
      </c>
      <c r="J1735" s="3">
        <v>19057024</v>
      </c>
      <c r="K1735">
        <f t="shared" si="62"/>
        <v>1.3775047412552699E-3</v>
      </c>
      <c r="R1735" s="12" t="str">
        <f ca="1">IFERROR(__xludf.DUMMYFUNCTION("""COMPUTED_VALUE"""),"Clockstoppers ")</f>
        <v>Clockstoppers </v>
      </c>
      <c r="S1735" s="12">
        <f t="shared" si="61"/>
        <v>-5887071</v>
      </c>
    </row>
    <row r="1736" spans="1:19" x14ac:dyDescent="0.3">
      <c r="A1736" s="2" t="s">
        <v>1922</v>
      </c>
      <c r="B1736" s="2">
        <v>104</v>
      </c>
      <c r="C1736" s="3">
        <v>2601847</v>
      </c>
      <c r="D1736" s="3" t="s">
        <v>885</v>
      </c>
      <c r="E1736" s="2" t="s">
        <v>2394</v>
      </c>
      <c r="F1736" s="2" t="s">
        <v>10</v>
      </c>
      <c r="G1736" s="2" t="s">
        <v>11</v>
      </c>
      <c r="H1736" s="2">
        <v>28000000</v>
      </c>
      <c r="I1736" s="2">
        <v>6.3</v>
      </c>
      <c r="J1736" s="3">
        <v>19059018</v>
      </c>
      <c r="K1736">
        <f t="shared" si="62"/>
        <v>1.3775047412552699E-3</v>
      </c>
      <c r="R1736" s="12" t="str">
        <f ca="1">IFERROR(__xludf.DUMMYFUNCTION("""COMPUTED_VALUE"""),"Silverado ")</f>
        <v>Silverado </v>
      </c>
      <c r="S1736" s="12">
        <f t="shared" si="61"/>
        <v>40320940</v>
      </c>
    </row>
    <row r="1737" spans="1:19" x14ac:dyDescent="0.3">
      <c r="A1737" s="2" t="s">
        <v>72</v>
      </c>
      <c r="B1737" s="2">
        <v>104</v>
      </c>
      <c r="C1737" s="3">
        <v>118153533</v>
      </c>
      <c r="D1737" s="3" t="s">
        <v>6017</v>
      </c>
      <c r="E1737" s="2" t="s">
        <v>73</v>
      </c>
      <c r="F1737" s="2" t="s">
        <v>10</v>
      </c>
      <c r="G1737" s="2" t="s">
        <v>11</v>
      </c>
      <c r="H1737" s="2">
        <v>200000000</v>
      </c>
      <c r="I1737" s="2">
        <v>7.3</v>
      </c>
      <c r="J1737" s="3">
        <v>19067631</v>
      </c>
      <c r="K1737">
        <f t="shared" si="62"/>
        <v>1.3775047412552699E-3</v>
      </c>
      <c r="R1737" s="12" t="str">
        <f ca="1">IFERROR(__xludf.DUMMYFUNCTION("""COMPUTED_VALUE"""),"Brothers ")</f>
        <v>Brothers </v>
      </c>
      <c r="S1737" s="12">
        <f t="shared" si="61"/>
        <v>710455</v>
      </c>
    </row>
    <row r="1738" spans="1:19" x14ac:dyDescent="0.3">
      <c r="A1738" s="2" t="s">
        <v>1111</v>
      </c>
      <c r="B1738" s="2">
        <v>113</v>
      </c>
      <c r="C1738" s="3">
        <v>1980338</v>
      </c>
      <c r="D1738" s="3" t="s">
        <v>6262</v>
      </c>
      <c r="E1738" s="2" t="s">
        <v>1112</v>
      </c>
      <c r="F1738" s="2" t="s">
        <v>10</v>
      </c>
      <c r="G1738" s="2" t="s">
        <v>11</v>
      </c>
      <c r="H1738" s="2">
        <v>60000000</v>
      </c>
      <c r="I1738" s="2">
        <v>6.7</v>
      </c>
      <c r="J1738" s="3">
        <v>19076815</v>
      </c>
      <c r="K1738">
        <f t="shared" si="62"/>
        <v>1.3775047412552699E-3</v>
      </c>
      <c r="R1738" s="12" t="str">
        <f ca="1">IFERROR(__xludf.DUMMYFUNCTION("""COMPUTED_VALUE"""),"Agent Cody Banks 2: Destination London ")</f>
        <v>Agent Cody Banks 2: Destination London </v>
      </c>
      <c r="S1738" s="12">
        <f t="shared" si="61"/>
        <v>14057024</v>
      </c>
    </row>
    <row r="1739" spans="1:19" x14ac:dyDescent="0.3">
      <c r="A1739" s="2" t="s">
        <v>197</v>
      </c>
      <c r="B1739" s="2">
        <v>129</v>
      </c>
      <c r="C1739" s="3">
        <v>124868837</v>
      </c>
      <c r="D1739" s="3" t="s">
        <v>6088</v>
      </c>
      <c r="E1739" s="2" t="s">
        <v>2509</v>
      </c>
      <c r="F1739" s="2" t="s">
        <v>10</v>
      </c>
      <c r="G1739" s="2" t="s">
        <v>11</v>
      </c>
      <c r="H1739" s="2">
        <v>25100000</v>
      </c>
      <c r="I1739" s="2">
        <v>6.4</v>
      </c>
      <c r="J1739" s="3">
        <v>19100000</v>
      </c>
      <c r="K1739">
        <f t="shared" si="62"/>
        <v>1.3775047412552699E-3</v>
      </c>
      <c r="R1739" s="12" t="str">
        <f ca="1">IFERROR(__xludf.DUMMYFUNCTION("""COMPUTED_VALUE"""),"New Year's Eve ")</f>
        <v>New Year's Eve </v>
      </c>
      <c r="S1739" s="12">
        <f t="shared" si="61"/>
        <v>-3031985</v>
      </c>
    </row>
    <row r="1740" spans="1:19" x14ac:dyDescent="0.3">
      <c r="A1740" s="2" t="s">
        <v>5294</v>
      </c>
      <c r="B1740" s="2">
        <v>120</v>
      </c>
      <c r="C1740" s="3">
        <v>6482195</v>
      </c>
      <c r="D1740" s="3" t="s">
        <v>5780</v>
      </c>
      <c r="E1740" s="2" t="s">
        <v>5295</v>
      </c>
      <c r="F1740" s="2" t="s">
        <v>10</v>
      </c>
      <c r="G1740" s="2" t="s">
        <v>11</v>
      </c>
      <c r="H1740" s="2">
        <v>5000000</v>
      </c>
      <c r="I1740" s="2">
        <v>3.4</v>
      </c>
      <c r="J1740" s="3">
        <v>19118247</v>
      </c>
      <c r="K1740">
        <f t="shared" si="62"/>
        <v>1.3775047412552699E-3</v>
      </c>
      <c r="R1740" s="12" t="str">
        <f ca="1">IFERROR(__xludf.DUMMYFUNCTION("""COMPUTED_VALUE"""),"Original Sin ")</f>
        <v>Original Sin </v>
      </c>
      <c r="S1740" s="12">
        <f t="shared" si="61"/>
        <v>-17646427</v>
      </c>
    </row>
    <row r="1741" spans="1:19" x14ac:dyDescent="0.3">
      <c r="A1741" s="2" t="s">
        <v>2720</v>
      </c>
      <c r="B1741" s="2">
        <v>97</v>
      </c>
      <c r="C1741" s="3">
        <v>30028592</v>
      </c>
      <c r="D1741" s="3" t="s">
        <v>6008</v>
      </c>
      <c r="E1741" s="2" t="s">
        <v>4702</v>
      </c>
      <c r="F1741" s="2" t="s">
        <v>10</v>
      </c>
      <c r="G1741" s="2" t="s">
        <v>11</v>
      </c>
      <c r="H1741" s="2">
        <v>5000000</v>
      </c>
      <c r="I1741" s="2">
        <v>6.1</v>
      </c>
      <c r="J1741" s="3">
        <v>19151864</v>
      </c>
      <c r="K1741">
        <f t="shared" si="62"/>
        <v>1.3775047412552699E-3</v>
      </c>
      <c r="R1741" s="12" t="str">
        <f ca="1">IFERROR(__xludf.DUMMYFUNCTION("""COMPUTED_VALUE"""),"The Raven ")</f>
        <v>The Raven </v>
      </c>
      <c r="S1741" s="12">
        <f t="shared" si="61"/>
        <v>15906973</v>
      </c>
    </row>
    <row r="1742" spans="1:19" x14ac:dyDescent="0.3">
      <c r="A1742" s="2" t="s">
        <v>3978</v>
      </c>
      <c r="B1742" s="2">
        <v>82</v>
      </c>
      <c r="C1742" s="3">
        <v>38509342</v>
      </c>
      <c r="D1742" s="3" t="s">
        <v>5974</v>
      </c>
      <c r="E1742" s="2" t="s">
        <v>3979</v>
      </c>
      <c r="F1742" s="2" t="s">
        <v>10</v>
      </c>
      <c r="G1742" s="2" t="s">
        <v>11</v>
      </c>
      <c r="H1742" s="2">
        <v>23000000</v>
      </c>
      <c r="I1742" s="2">
        <v>6.5</v>
      </c>
      <c r="J1742" s="3">
        <v>19158074</v>
      </c>
      <c r="K1742">
        <f t="shared" si="62"/>
        <v>1.3775047412552699E-3</v>
      </c>
      <c r="R1742" s="12" t="str">
        <f ca="1">IFERROR(__xludf.DUMMYFUNCTION("""COMPUTED_VALUE"""),"Welcome to Mooseport ")</f>
        <v>Welcome to Mooseport </v>
      </c>
      <c r="S1742" s="12">
        <f t="shared" si="61"/>
        <v>-28982597</v>
      </c>
    </row>
    <row r="1743" spans="1:19" x14ac:dyDescent="0.3">
      <c r="A1743" s="2" t="s">
        <v>3329</v>
      </c>
      <c r="B1743" s="2">
        <v>95</v>
      </c>
      <c r="C1743" s="3">
        <v>102300000</v>
      </c>
      <c r="D1743" s="3" t="s">
        <v>5910</v>
      </c>
      <c r="E1743" s="2" t="s">
        <v>3965</v>
      </c>
      <c r="F1743" s="2" t="s">
        <v>10</v>
      </c>
      <c r="G1743" s="2" t="s">
        <v>11</v>
      </c>
      <c r="H1743" s="2">
        <v>10000000</v>
      </c>
      <c r="I1743" s="2">
        <v>5.8</v>
      </c>
      <c r="J1743" s="3">
        <v>19170001</v>
      </c>
      <c r="K1743">
        <f t="shared" si="62"/>
        <v>1.3775047412552699E-3</v>
      </c>
      <c r="R1743" s="12" t="str">
        <f ca="1">IFERROR(__xludf.DUMMYFUNCTION("""COMPUTED_VALUE"""),"Highlander: The Final Dimension ")</f>
        <v>Highlander: The Final Dimension </v>
      </c>
      <c r="S1743" s="12">
        <f t="shared" si="61"/>
        <v>13675765</v>
      </c>
    </row>
    <row r="1744" spans="1:19" x14ac:dyDescent="0.3">
      <c r="A1744" s="2" t="s">
        <v>4697</v>
      </c>
      <c r="B1744" s="2">
        <v>95</v>
      </c>
      <c r="C1744" s="3">
        <v>34703228</v>
      </c>
      <c r="D1744" s="3" t="s">
        <v>5910</v>
      </c>
      <c r="E1744" s="2" t="s">
        <v>4698</v>
      </c>
      <c r="F1744" s="2" t="s">
        <v>10</v>
      </c>
      <c r="G1744" s="2" t="s">
        <v>11</v>
      </c>
      <c r="H1744" s="2">
        <v>5000000</v>
      </c>
      <c r="I1744" s="2">
        <v>7.1</v>
      </c>
      <c r="J1744" s="3">
        <v>19179969</v>
      </c>
      <c r="K1744">
        <f t="shared" si="62"/>
        <v>1.3775047412552699E-3</v>
      </c>
      <c r="R1744" s="12" t="str">
        <f ca="1">IFERROR(__xludf.DUMMYFUNCTION("""COMPUTED_VALUE"""),"Blood and Wine ")</f>
        <v>Blood and Wine </v>
      </c>
      <c r="S1744" s="12">
        <f t="shared" si="61"/>
        <v>-37425285</v>
      </c>
    </row>
    <row r="1745" spans="1:19" x14ac:dyDescent="0.3">
      <c r="A1745" s="2" t="s">
        <v>5455</v>
      </c>
      <c r="B1745" s="2">
        <v>81</v>
      </c>
      <c r="C1745" s="3">
        <v>96471845</v>
      </c>
      <c r="D1745" s="3" t="s">
        <v>6122</v>
      </c>
      <c r="E1745" s="2" t="s">
        <v>5456</v>
      </c>
      <c r="F1745" s="2" t="s">
        <v>10</v>
      </c>
      <c r="G1745" s="2" t="s">
        <v>11</v>
      </c>
      <c r="H1745" s="2">
        <v>609000</v>
      </c>
      <c r="I1745" s="2">
        <v>7.8</v>
      </c>
      <c r="J1745" s="3">
        <v>19184015</v>
      </c>
      <c r="K1745">
        <f t="shared" si="62"/>
        <v>1.3775047412552699E-3</v>
      </c>
      <c r="R1745" s="12" t="str">
        <f ca="1">IFERROR(__xludf.DUMMYFUNCTION("""COMPUTED_VALUE"""),"The Curse of the Jade Scorpion ")</f>
        <v>The Curse of the Jade Scorpion </v>
      </c>
      <c r="S1745" s="12">
        <f t="shared" si="61"/>
        <v>20679638</v>
      </c>
    </row>
    <row r="1746" spans="1:19" x14ac:dyDescent="0.3">
      <c r="A1746" s="2" t="s">
        <v>2989</v>
      </c>
      <c r="B1746" s="2">
        <v>98</v>
      </c>
      <c r="C1746" s="3">
        <v>76846624</v>
      </c>
      <c r="D1746" s="3" t="s">
        <v>5849</v>
      </c>
      <c r="E1746" s="2" t="s">
        <v>2990</v>
      </c>
      <c r="F1746" s="2" t="s">
        <v>10</v>
      </c>
      <c r="G1746" s="2" t="s">
        <v>11</v>
      </c>
      <c r="H1746" s="2">
        <v>20000000</v>
      </c>
      <c r="I1746" s="2">
        <v>5.3</v>
      </c>
      <c r="J1746" s="3">
        <v>19281235</v>
      </c>
      <c r="K1746">
        <f t="shared" si="62"/>
        <v>1.3775047412552699E-3</v>
      </c>
      <c r="R1746" s="12" t="str">
        <f ca="1">IFERROR(__xludf.DUMMYFUNCTION("""COMPUTED_VALUE"""),"Flipper ")</f>
        <v>Flipper </v>
      </c>
      <c r="S1746" s="12">
        <f t="shared" si="61"/>
        <v>-139403773</v>
      </c>
    </row>
    <row r="1747" spans="1:19" x14ac:dyDescent="0.3">
      <c r="A1747" s="2" t="s">
        <v>429</v>
      </c>
      <c r="B1747" s="2">
        <v>120</v>
      </c>
      <c r="C1747" s="3">
        <v>26421314</v>
      </c>
      <c r="D1747" s="3" t="s">
        <v>5767</v>
      </c>
      <c r="E1747" s="2" t="s">
        <v>1061</v>
      </c>
      <c r="F1747" s="2" t="s">
        <v>10</v>
      </c>
      <c r="G1747" s="2" t="s">
        <v>11</v>
      </c>
      <c r="H1747" s="2">
        <v>65000000</v>
      </c>
      <c r="I1747" s="2">
        <v>7.6</v>
      </c>
      <c r="J1747" s="3">
        <v>19283782</v>
      </c>
      <c r="K1747">
        <f t="shared" si="62"/>
        <v>1.3775047412552699E-3</v>
      </c>
      <c r="R1747" s="12" t="str">
        <f ca="1">IFERROR(__xludf.DUMMYFUNCTION("""COMPUTED_VALUE"""),"Self/less ")</f>
        <v>Self/less </v>
      </c>
      <c r="S1747" s="12">
        <f t="shared" si="61"/>
        <v>36875468</v>
      </c>
    </row>
    <row r="1748" spans="1:19" x14ac:dyDescent="0.3">
      <c r="A1748" s="2" t="s">
        <v>3720</v>
      </c>
      <c r="B1748" s="2">
        <v>102</v>
      </c>
      <c r="C1748" s="3">
        <v>14400000</v>
      </c>
      <c r="D1748" s="3" t="s">
        <v>520</v>
      </c>
      <c r="E1748" s="2" t="s">
        <v>3721</v>
      </c>
      <c r="F1748" s="2" t="s">
        <v>10</v>
      </c>
      <c r="G1748" s="2" t="s">
        <v>11</v>
      </c>
      <c r="H1748" s="2">
        <v>13000000</v>
      </c>
      <c r="I1748" s="2">
        <v>8</v>
      </c>
      <c r="J1748" s="3">
        <v>19294901</v>
      </c>
      <c r="K1748">
        <f t="shared" si="62"/>
        <v>1.3775047412552699E-3</v>
      </c>
      <c r="R1748" s="12" t="str">
        <f ca="1">IFERROR(__xludf.DUMMYFUNCTION("""COMPUTED_VALUE"""),"The Constant Gardener ")</f>
        <v>The Constant Gardener </v>
      </c>
      <c r="S1748" s="12">
        <f t="shared" si="61"/>
        <v>1480920</v>
      </c>
    </row>
    <row r="1749" spans="1:19" x14ac:dyDescent="0.3">
      <c r="A1749" s="2" t="s">
        <v>421</v>
      </c>
      <c r="B1749" s="2">
        <v>113</v>
      </c>
      <c r="C1749" s="3">
        <v>18636537</v>
      </c>
      <c r="D1749" s="3" t="s">
        <v>5975</v>
      </c>
      <c r="E1749" s="2" t="s">
        <v>697</v>
      </c>
      <c r="F1749" s="2" t="s">
        <v>10</v>
      </c>
      <c r="G1749" s="2" t="s">
        <v>11</v>
      </c>
      <c r="H1749" s="2">
        <v>80000000</v>
      </c>
      <c r="I1749" s="2">
        <v>4.9000000000000004</v>
      </c>
      <c r="J1749" s="3">
        <v>19316646</v>
      </c>
      <c r="K1749">
        <f t="shared" si="62"/>
        <v>1.3775047412552699E-3</v>
      </c>
      <c r="R1749" s="12" t="str">
        <f ca="1">IFERROR(__xludf.DUMMYFUNCTION("""COMPUTED_VALUE"""),"The Passion of the Christ ")</f>
        <v>The Passion of the Christ </v>
      </c>
      <c r="S1749" s="12">
        <f t="shared" si="61"/>
        <v>6515579</v>
      </c>
    </row>
    <row r="1750" spans="1:19" x14ac:dyDescent="0.3">
      <c r="A1750" s="2" t="s">
        <v>857</v>
      </c>
      <c r="B1750" s="2">
        <v>125</v>
      </c>
      <c r="C1750" s="3">
        <v>26404753</v>
      </c>
      <c r="D1750" s="3" t="s">
        <v>5869</v>
      </c>
      <c r="E1750" s="2" t="s">
        <v>1298</v>
      </c>
      <c r="F1750" s="2" t="s">
        <v>10</v>
      </c>
      <c r="G1750" s="2" t="s">
        <v>11</v>
      </c>
      <c r="H1750" s="2">
        <v>52000000</v>
      </c>
      <c r="I1750" s="2">
        <v>5.7</v>
      </c>
      <c r="J1750" s="3">
        <v>19351569</v>
      </c>
      <c r="K1750">
        <f t="shared" si="62"/>
        <v>1.3775047412552699E-3</v>
      </c>
      <c r="R1750" s="12" t="str">
        <f ca="1">IFERROR(__xludf.DUMMYFUNCTION("""COMPUTED_VALUE"""),"Mrs. Doubtfire ")</f>
        <v>Mrs. Doubtfire </v>
      </c>
      <c r="S1750" s="12">
        <f t="shared" si="61"/>
        <v>-20952000</v>
      </c>
    </row>
    <row r="1751" spans="1:19" x14ac:dyDescent="0.3">
      <c r="A1751" s="2" t="s">
        <v>410</v>
      </c>
      <c r="B1751" s="2">
        <v>102</v>
      </c>
      <c r="C1751" s="3">
        <v>8080116</v>
      </c>
      <c r="D1751" s="3" t="s">
        <v>6263</v>
      </c>
      <c r="E1751" s="2" t="s">
        <v>3013</v>
      </c>
      <c r="F1751" s="2" t="s">
        <v>10</v>
      </c>
      <c r="G1751" s="2" t="s">
        <v>16</v>
      </c>
      <c r="H1751" s="2">
        <v>20000000</v>
      </c>
      <c r="I1751" s="2">
        <v>6.4</v>
      </c>
      <c r="J1751" s="3">
        <v>19377727</v>
      </c>
      <c r="K1751">
        <f t="shared" si="62"/>
        <v>1.3775047412552699E-3</v>
      </c>
      <c r="R1751" s="12" t="str">
        <f ca="1">IFERROR(__xludf.DUMMYFUNCTION("""COMPUTED_VALUE"""),"Rain Man ")</f>
        <v>Rain Man </v>
      </c>
      <c r="S1751" s="12">
        <f t="shared" si="61"/>
        <v>2050028</v>
      </c>
    </row>
    <row r="1752" spans="1:19" x14ac:dyDescent="0.3">
      <c r="A1752" s="2" t="s">
        <v>1619</v>
      </c>
      <c r="B1752" s="2">
        <v>117</v>
      </c>
      <c r="C1752" s="3">
        <v>14373825</v>
      </c>
      <c r="D1752" s="3" t="s">
        <v>5773</v>
      </c>
      <c r="E1752" s="2" t="s">
        <v>1620</v>
      </c>
      <c r="F1752" s="2" t="s">
        <v>10</v>
      </c>
      <c r="G1752" s="2" t="s">
        <v>11</v>
      </c>
      <c r="H1752" s="2">
        <v>40000000</v>
      </c>
      <c r="I1752" s="2">
        <v>5.4</v>
      </c>
      <c r="J1752" s="3">
        <v>19389454</v>
      </c>
      <c r="K1752">
        <f t="shared" si="62"/>
        <v>1.3775047412552699E-3</v>
      </c>
      <c r="R1752" s="12" t="str">
        <f ca="1">IFERROR(__xludf.DUMMYFUNCTION("""COMPUTED_VALUE"""),"Gran Torino ")</f>
        <v>Gran Torino </v>
      </c>
      <c r="S1752" s="12">
        <f t="shared" si="61"/>
        <v>25253840</v>
      </c>
    </row>
    <row r="1753" spans="1:19" x14ac:dyDescent="0.3">
      <c r="A1753" s="2" t="s">
        <v>4338</v>
      </c>
      <c r="B1753" s="2">
        <v>125</v>
      </c>
      <c r="C1753" s="3">
        <v>1056102</v>
      </c>
      <c r="D1753" s="3" t="s">
        <v>1703</v>
      </c>
      <c r="E1753" s="2" t="s">
        <v>4405</v>
      </c>
      <c r="F1753" s="2" t="s">
        <v>10</v>
      </c>
      <c r="G1753" s="2" t="s">
        <v>11</v>
      </c>
      <c r="H1753" s="2">
        <v>4825000</v>
      </c>
      <c r="I1753" s="2">
        <v>7.2</v>
      </c>
      <c r="J1753" s="3">
        <v>19406406</v>
      </c>
      <c r="K1753">
        <f t="shared" si="62"/>
        <v>1.3775047412552699E-3</v>
      </c>
      <c r="R1753" s="12" t="str">
        <f ca="1">IFERROR(__xludf.DUMMYFUNCTION("""COMPUTED_VALUE"""),"W. ")</f>
        <v>W. </v>
      </c>
      <c r="S1753" s="12">
        <f t="shared" ref="S1753:S1816" si="63">C1731-H1731</f>
        <v>-5926288</v>
      </c>
    </row>
    <row r="1754" spans="1:19" x14ac:dyDescent="0.3">
      <c r="A1754" s="2" t="s">
        <v>2011</v>
      </c>
      <c r="B1754" s="2">
        <v>108</v>
      </c>
      <c r="C1754" s="3">
        <v>77032279</v>
      </c>
      <c r="D1754" s="3" t="s">
        <v>5767</v>
      </c>
      <c r="E1754" s="2" t="s">
        <v>2012</v>
      </c>
      <c r="F1754" s="2" t="s">
        <v>10</v>
      </c>
      <c r="G1754" s="2" t="s">
        <v>11</v>
      </c>
      <c r="H1754" s="2">
        <v>30000000</v>
      </c>
      <c r="I1754" s="2">
        <v>5.9</v>
      </c>
      <c r="J1754" s="3">
        <v>19421271</v>
      </c>
      <c r="K1754">
        <f t="shared" si="62"/>
        <v>1.3775047412552699E-3</v>
      </c>
      <c r="R1754" s="12" t="str">
        <f ca="1">IFERROR(__xludf.DUMMYFUNCTION("""COMPUTED_VALUE"""),"Taken ")</f>
        <v>Taken </v>
      </c>
      <c r="S1754" s="12">
        <f t="shared" si="63"/>
        <v>-45516179</v>
      </c>
    </row>
    <row r="1755" spans="1:19" x14ac:dyDescent="0.3">
      <c r="A1755" s="2" t="s">
        <v>1288</v>
      </c>
      <c r="B1755" s="2">
        <v>104</v>
      </c>
      <c r="C1755" s="3">
        <v>6670712</v>
      </c>
      <c r="D1755" s="3" t="s">
        <v>5787</v>
      </c>
      <c r="E1755" s="2" t="s">
        <v>4363</v>
      </c>
      <c r="F1755" s="2" t="s">
        <v>10</v>
      </c>
      <c r="G1755" s="2" t="s">
        <v>11</v>
      </c>
      <c r="H1755" s="2">
        <v>7000000</v>
      </c>
      <c r="I1755" s="2">
        <v>7.2</v>
      </c>
      <c r="J1755" s="3">
        <v>19445217</v>
      </c>
      <c r="K1755">
        <f t="shared" si="62"/>
        <v>1.3775047412552699E-3</v>
      </c>
      <c r="R1755" s="12" t="str">
        <f ca="1">IFERROR(__xludf.DUMMYFUNCTION("""COMPUTED_VALUE"""),"The Best of Me ")</f>
        <v>The Best of Me </v>
      </c>
      <c r="S1755" s="12">
        <f t="shared" si="63"/>
        <v>-20715257</v>
      </c>
    </row>
    <row r="1756" spans="1:19" x14ac:dyDescent="0.3">
      <c r="A1756" s="2" t="s">
        <v>5489</v>
      </c>
      <c r="B1756" s="2">
        <v>78</v>
      </c>
      <c r="C1756" s="3">
        <v>14358033</v>
      </c>
      <c r="D1756" s="3" t="s">
        <v>6264</v>
      </c>
      <c r="E1756" s="2" t="s">
        <v>5602</v>
      </c>
      <c r="F1756" s="2" t="s">
        <v>10</v>
      </c>
      <c r="G1756" s="2" t="s">
        <v>11</v>
      </c>
      <c r="H1756" s="3">
        <v>474544677</v>
      </c>
      <c r="I1756" s="2">
        <v>5.5</v>
      </c>
      <c r="J1756" s="3">
        <v>19447478</v>
      </c>
      <c r="K1756">
        <f t="shared" si="62"/>
        <v>1.3775047412552699E-3</v>
      </c>
      <c r="R1756" s="12" t="str">
        <f ca="1">IFERROR(__xludf.DUMMYFUNCTION("""COMPUTED_VALUE"""),"The Bodyguard ")</f>
        <v>The Bodyguard </v>
      </c>
      <c r="S1756" s="12">
        <f t="shared" si="63"/>
        <v>-4673164</v>
      </c>
    </row>
    <row r="1757" spans="1:19" x14ac:dyDescent="0.3">
      <c r="A1757" s="2" t="s">
        <v>5306</v>
      </c>
      <c r="B1757" s="2">
        <v>95</v>
      </c>
      <c r="C1757" s="3">
        <v>97030725</v>
      </c>
      <c r="D1757" s="3" t="s">
        <v>5940</v>
      </c>
      <c r="E1757" s="2" t="s">
        <v>5307</v>
      </c>
      <c r="F1757" s="2" t="s">
        <v>10</v>
      </c>
      <c r="G1757" s="2" t="s">
        <v>11</v>
      </c>
      <c r="H1757" s="2">
        <v>1000000</v>
      </c>
      <c r="I1757" s="2">
        <v>7.2</v>
      </c>
      <c r="J1757" s="3">
        <v>19472057</v>
      </c>
      <c r="K1757">
        <f t="shared" si="62"/>
        <v>1.3775047412552699E-3</v>
      </c>
      <c r="R1757" s="12" t="str">
        <f ca="1">IFERROR(__xludf.DUMMYFUNCTION("""COMPUTED_VALUE"""),"Schindler's List ")</f>
        <v>Schindler's List </v>
      </c>
      <c r="S1757" s="12">
        <f t="shared" si="63"/>
        <v>35675000</v>
      </c>
    </row>
    <row r="1758" spans="1:19" x14ac:dyDescent="0.3">
      <c r="A1758" s="2" t="s">
        <v>540</v>
      </c>
      <c r="B1758" s="2">
        <v>111</v>
      </c>
      <c r="C1758" s="3">
        <v>1040879</v>
      </c>
      <c r="D1758" s="3" t="s">
        <v>5799</v>
      </c>
      <c r="E1758" s="2" t="s">
        <v>2596</v>
      </c>
      <c r="F1758" s="2" t="s">
        <v>10</v>
      </c>
      <c r="G1758" s="2" t="s">
        <v>11</v>
      </c>
      <c r="H1758" s="2">
        <v>25000000</v>
      </c>
      <c r="I1758" s="2">
        <v>6</v>
      </c>
      <c r="J1758" s="3">
        <v>19480739</v>
      </c>
      <c r="K1758">
        <f t="shared" si="62"/>
        <v>1.3775047412552699E-3</v>
      </c>
      <c r="R1758" s="12" t="str">
        <f ca="1">IFERROR(__xludf.DUMMYFUNCTION("""COMPUTED_VALUE"""),"The Help ")</f>
        <v>The Help </v>
      </c>
      <c r="S1758" s="12">
        <f t="shared" si="63"/>
        <v>-25398153</v>
      </c>
    </row>
    <row r="1759" spans="1:19" x14ac:dyDescent="0.3">
      <c r="A1759" s="2" t="s">
        <v>613</v>
      </c>
      <c r="B1759" s="2">
        <v>130</v>
      </c>
      <c r="C1759" s="3">
        <v>2807854</v>
      </c>
      <c r="D1759" s="3" t="s">
        <v>6142</v>
      </c>
      <c r="E1759" s="2" t="s">
        <v>1140</v>
      </c>
      <c r="F1759" s="2" t="s">
        <v>10</v>
      </c>
      <c r="G1759" s="2" t="s">
        <v>16</v>
      </c>
      <c r="H1759" s="2">
        <v>60000000</v>
      </c>
      <c r="I1759" s="2">
        <v>6.7</v>
      </c>
      <c r="J1759" s="3">
        <v>19548064</v>
      </c>
      <c r="K1759">
        <f t="shared" si="62"/>
        <v>1.3775047412552699E-3</v>
      </c>
      <c r="R1759" s="12" t="str">
        <f ca="1">IFERROR(__xludf.DUMMYFUNCTION("""COMPUTED_VALUE"""),"The Fifth Estate ")</f>
        <v>The Fifth Estate </v>
      </c>
      <c r="S1759" s="12">
        <f t="shared" si="63"/>
        <v>-81846467</v>
      </c>
    </row>
    <row r="1760" spans="1:19" x14ac:dyDescent="0.3">
      <c r="A1760" s="2" t="s">
        <v>5598</v>
      </c>
      <c r="B1760" s="2">
        <v>76</v>
      </c>
      <c r="C1760" s="3">
        <v>6471394</v>
      </c>
      <c r="D1760" s="3" t="s">
        <v>520</v>
      </c>
      <c r="E1760" s="2" t="s">
        <v>5599</v>
      </c>
      <c r="F1760" s="2" t="s">
        <v>10</v>
      </c>
      <c r="G1760" s="2" t="s">
        <v>98</v>
      </c>
      <c r="H1760" s="2">
        <v>250000</v>
      </c>
      <c r="I1760" s="2">
        <v>6.4</v>
      </c>
      <c r="J1760" s="3">
        <v>19593740</v>
      </c>
      <c r="K1760">
        <f t="shared" si="62"/>
        <v>1.3775047412552699E-3</v>
      </c>
      <c r="R1760" s="12" t="str">
        <f ca="1">IFERROR(__xludf.DUMMYFUNCTION("""COMPUTED_VALUE"""),"Scooby-Doo 2: Monsters Unleashed ")</f>
        <v>Scooby-Doo 2: Monsters Unleashed </v>
      </c>
      <c r="S1760" s="12">
        <f t="shared" si="63"/>
        <v>-58019662</v>
      </c>
    </row>
    <row r="1761" spans="1:19" x14ac:dyDescent="0.3">
      <c r="A1761" s="2" t="s">
        <v>1902</v>
      </c>
      <c r="B1761" s="2">
        <v>130</v>
      </c>
      <c r="C1761" s="3">
        <v>30079316</v>
      </c>
      <c r="D1761" s="3" t="s">
        <v>5872</v>
      </c>
      <c r="E1761" s="2" t="s">
        <v>3992</v>
      </c>
      <c r="F1761" s="2" t="s">
        <v>10</v>
      </c>
      <c r="G1761" s="2" t="s">
        <v>11</v>
      </c>
      <c r="H1761" s="2">
        <v>10000000</v>
      </c>
      <c r="I1761" s="2">
        <v>7.4</v>
      </c>
      <c r="J1761" s="3">
        <v>19661987</v>
      </c>
      <c r="K1761">
        <f t="shared" si="62"/>
        <v>1.3775047412552699E-3</v>
      </c>
      <c r="R1761" s="12" t="str">
        <f ca="1">IFERROR(__xludf.DUMMYFUNCTION("""COMPUTED_VALUE"""),"Freddy vs. Jason ")</f>
        <v>Freddy vs. Jason </v>
      </c>
      <c r="S1761" s="12">
        <f t="shared" si="63"/>
        <v>99768837</v>
      </c>
    </row>
    <row r="1762" spans="1:19" x14ac:dyDescent="0.3">
      <c r="A1762" s="2" t="s">
        <v>4926</v>
      </c>
      <c r="B1762" s="2">
        <v>99</v>
      </c>
      <c r="C1762" s="3">
        <v>1039869</v>
      </c>
      <c r="D1762" s="3" t="s">
        <v>6265</v>
      </c>
      <c r="E1762" s="2" t="s">
        <v>4927</v>
      </c>
      <c r="F1762" s="2" t="s">
        <v>10</v>
      </c>
      <c r="G1762" s="2" t="s">
        <v>11</v>
      </c>
      <c r="H1762" s="2">
        <v>3000000</v>
      </c>
      <c r="I1762" s="2">
        <v>3</v>
      </c>
      <c r="J1762" s="3">
        <v>19673424</v>
      </c>
      <c r="K1762">
        <f t="shared" si="62"/>
        <v>1.3775047412552699E-3</v>
      </c>
      <c r="R1762" s="12" t="str">
        <f ca="1">IFERROR(__xludf.DUMMYFUNCTION("""COMPUTED_VALUE"""),"Jimmy Neutron: Boy Genius ")</f>
        <v>Jimmy Neutron: Boy Genius </v>
      </c>
      <c r="S1762" s="12">
        <f t="shared" si="63"/>
        <v>1482195</v>
      </c>
    </row>
    <row r="1763" spans="1:19" x14ac:dyDescent="0.3">
      <c r="A1763" s="2" t="s">
        <v>2696</v>
      </c>
      <c r="B1763" s="2">
        <v>107</v>
      </c>
      <c r="C1763" s="3">
        <v>14378353</v>
      </c>
      <c r="D1763" s="3" t="s">
        <v>5785</v>
      </c>
      <c r="E1763" s="2" t="s">
        <v>2697</v>
      </c>
      <c r="F1763" s="2" t="s">
        <v>10</v>
      </c>
      <c r="G1763" s="2" t="s">
        <v>11</v>
      </c>
      <c r="H1763" s="2">
        <v>8200000</v>
      </c>
      <c r="I1763" s="2">
        <v>6.5</v>
      </c>
      <c r="J1763" s="3">
        <v>19692608</v>
      </c>
      <c r="K1763">
        <f t="shared" si="62"/>
        <v>1.3775047412552699E-3</v>
      </c>
      <c r="R1763" s="12" t="str">
        <f ca="1">IFERROR(__xludf.DUMMYFUNCTION("""COMPUTED_VALUE"""),"Cloverfield ")</f>
        <v>Cloverfield </v>
      </c>
      <c r="S1763" s="12">
        <f t="shared" si="63"/>
        <v>25028592</v>
      </c>
    </row>
    <row r="1764" spans="1:19" x14ac:dyDescent="0.3">
      <c r="A1764" s="2" t="s">
        <v>5047</v>
      </c>
      <c r="B1764" s="2">
        <v>117</v>
      </c>
      <c r="C1764" s="3">
        <v>35054909</v>
      </c>
      <c r="D1764" s="3" t="s">
        <v>5894</v>
      </c>
      <c r="E1764" s="2" t="s">
        <v>5048</v>
      </c>
      <c r="F1764" s="2" t="s">
        <v>10</v>
      </c>
      <c r="G1764" s="2" t="s">
        <v>11</v>
      </c>
      <c r="H1764" s="2">
        <v>2200000</v>
      </c>
      <c r="I1764" s="2">
        <v>5.9</v>
      </c>
      <c r="J1764" s="3">
        <v>19693891</v>
      </c>
      <c r="K1764">
        <f t="shared" si="62"/>
        <v>1.3775047412552699E-3</v>
      </c>
      <c r="R1764" s="12" t="str">
        <f ca="1">IFERROR(__xludf.DUMMYFUNCTION("""COMPUTED_VALUE"""),"Teenage Mutant Ninja Turtles II: The Secret of the Ooze ")</f>
        <v>Teenage Mutant Ninja Turtles II: The Secret of the Ooze </v>
      </c>
      <c r="S1764" s="12">
        <f t="shared" si="63"/>
        <v>15509342</v>
      </c>
    </row>
    <row r="1765" spans="1:19" x14ac:dyDescent="0.3">
      <c r="A1765" s="2" t="s">
        <v>1248</v>
      </c>
      <c r="B1765" s="2">
        <v>88</v>
      </c>
      <c r="C1765" s="3">
        <v>8070311</v>
      </c>
      <c r="D1765" s="3" t="s">
        <v>5844</v>
      </c>
      <c r="E1765" s="2" t="s">
        <v>1249</v>
      </c>
      <c r="F1765" s="2" t="s">
        <v>10</v>
      </c>
      <c r="G1765" s="2" t="s">
        <v>16</v>
      </c>
      <c r="H1765" s="2">
        <v>55000000</v>
      </c>
      <c r="I1765" s="2">
        <v>6.7</v>
      </c>
      <c r="J1765" s="3">
        <v>19719930</v>
      </c>
      <c r="K1765">
        <f t="shared" si="62"/>
        <v>1.3775047412552699E-3</v>
      </c>
      <c r="R1765" s="12" t="str">
        <f ca="1">IFERROR(__xludf.DUMMYFUNCTION("""COMPUTED_VALUE"""),"The Untouchables ")</f>
        <v>The Untouchables </v>
      </c>
      <c r="S1765" s="12">
        <f t="shared" si="63"/>
        <v>92300000</v>
      </c>
    </row>
    <row r="1766" spans="1:19" x14ac:dyDescent="0.3">
      <c r="A1766" s="2" t="s">
        <v>5080</v>
      </c>
      <c r="B1766" s="2">
        <v>91</v>
      </c>
      <c r="C1766" s="3">
        <v>3958500</v>
      </c>
      <c r="D1766" s="3" t="s">
        <v>6134</v>
      </c>
      <c r="E1766" s="2" t="s">
        <v>5081</v>
      </c>
      <c r="F1766" s="2" t="s">
        <v>10</v>
      </c>
      <c r="G1766" s="2" t="s">
        <v>11</v>
      </c>
      <c r="H1766" s="2">
        <v>2000000</v>
      </c>
      <c r="I1766" s="2">
        <v>7.4</v>
      </c>
      <c r="J1766" s="3">
        <v>19781879</v>
      </c>
      <c r="K1766">
        <f t="shared" si="62"/>
        <v>1.3775047412552699E-3</v>
      </c>
      <c r="R1766" s="12" t="str">
        <f ca="1">IFERROR(__xludf.DUMMYFUNCTION("""COMPUTED_VALUE"""),"No Country for Old Men ")</f>
        <v>No Country for Old Men </v>
      </c>
      <c r="S1766" s="12">
        <f t="shared" si="63"/>
        <v>29703228</v>
      </c>
    </row>
    <row r="1767" spans="1:19" x14ac:dyDescent="0.3">
      <c r="A1767" s="2" t="s">
        <v>812</v>
      </c>
      <c r="B1767" s="2">
        <v>112</v>
      </c>
      <c r="C1767" s="3">
        <v>26525834</v>
      </c>
      <c r="D1767" s="3" t="s">
        <v>5778</v>
      </c>
      <c r="E1767" s="2" t="s">
        <v>1475</v>
      </c>
      <c r="F1767" s="2" t="s">
        <v>10</v>
      </c>
      <c r="G1767" s="2" t="s">
        <v>71</v>
      </c>
      <c r="H1767" s="2">
        <v>48000000</v>
      </c>
      <c r="I1767" s="2">
        <v>6.4</v>
      </c>
      <c r="J1767" s="3">
        <v>19783777</v>
      </c>
      <c r="K1767">
        <f t="shared" si="62"/>
        <v>1.3775047412552699E-3</v>
      </c>
      <c r="R1767" s="12" t="str">
        <f ca="1">IFERROR(__xludf.DUMMYFUNCTION("""COMPUTED_VALUE"""),"Ride Along ")</f>
        <v>Ride Along </v>
      </c>
      <c r="S1767" s="12">
        <f t="shared" si="63"/>
        <v>95862845</v>
      </c>
    </row>
    <row r="1768" spans="1:19" x14ac:dyDescent="0.3">
      <c r="A1768" s="2" t="s">
        <v>2445</v>
      </c>
      <c r="B1768" s="2">
        <v>124</v>
      </c>
      <c r="C1768" s="3">
        <v>1987762</v>
      </c>
      <c r="D1768" s="3" t="s">
        <v>5776</v>
      </c>
      <c r="E1768" s="2" t="s">
        <v>3642</v>
      </c>
      <c r="F1768" s="2" t="s">
        <v>10</v>
      </c>
      <c r="G1768" s="2" t="s">
        <v>16</v>
      </c>
      <c r="H1768" s="2">
        <v>13500000</v>
      </c>
      <c r="I1768" s="2">
        <v>7.4</v>
      </c>
      <c r="J1768" s="3">
        <v>19819494</v>
      </c>
      <c r="K1768">
        <f t="shared" si="62"/>
        <v>1.3775047412552699E-3</v>
      </c>
      <c r="R1768" s="12" t="str">
        <f ca="1">IFERROR(__xludf.DUMMYFUNCTION("""COMPUTED_VALUE"""),"Bridget Jones's Diary ")</f>
        <v>Bridget Jones's Diary </v>
      </c>
      <c r="S1768" s="12">
        <f t="shared" si="63"/>
        <v>56846624</v>
      </c>
    </row>
    <row r="1769" spans="1:19" x14ac:dyDescent="0.3">
      <c r="A1769" s="2" t="s">
        <v>3372</v>
      </c>
      <c r="B1769" s="2">
        <v>94</v>
      </c>
      <c r="C1769" s="3">
        <v>41252428</v>
      </c>
      <c r="D1769" s="3" t="s">
        <v>885</v>
      </c>
      <c r="E1769" s="2" t="s">
        <v>3373</v>
      </c>
      <c r="F1769" s="2" t="s">
        <v>751</v>
      </c>
      <c r="G1769" s="2" t="s">
        <v>504</v>
      </c>
      <c r="H1769" s="2">
        <v>15300000</v>
      </c>
      <c r="I1769" s="2">
        <v>6.6</v>
      </c>
      <c r="J1769" s="3">
        <v>19900000</v>
      </c>
      <c r="K1769">
        <f t="shared" si="62"/>
        <v>1.3775047412552699E-3</v>
      </c>
      <c r="R1769" s="12" t="str">
        <f ca="1">IFERROR(__xludf.DUMMYFUNCTION("""COMPUTED_VALUE"""),"Chocolat ")</f>
        <v>Chocolat </v>
      </c>
      <c r="S1769" s="12">
        <f t="shared" si="63"/>
        <v>-38578686</v>
      </c>
    </row>
    <row r="1770" spans="1:19" x14ac:dyDescent="0.3">
      <c r="A1770" s="2" t="s">
        <v>175</v>
      </c>
      <c r="B1770" s="2">
        <v>145</v>
      </c>
      <c r="C1770" s="3">
        <v>18208078</v>
      </c>
      <c r="D1770" s="3" t="s">
        <v>5771</v>
      </c>
      <c r="E1770" s="2" t="s">
        <v>1232</v>
      </c>
      <c r="F1770" s="2" t="s">
        <v>10</v>
      </c>
      <c r="G1770" s="2" t="s">
        <v>11</v>
      </c>
      <c r="H1770" s="2">
        <v>50000000</v>
      </c>
      <c r="I1770" s="2">
        <v>6.4</v>
      </c>
      <c r="J1770" s="3">
        <v>19976073</v>
      </c>
      <c r="K1770">
        <f t="shared" si="62"/>
        <v>1.3775047412552699E-3</v>
      </c>
      <c r="R1770" s="12" t="str">
        <f ca="1">IFERROR(__xludf.DUMMYFUNCTION("""COMPUTED_VALUE"""),"Legally Blonde 2: Red, White &amp; Blonde ")</f>
        <v>Legally Blonde 2: Red, White &amp; Blonde </v>
      </c>
      <c r="S1770" s="12">
        <f t="shared" si="63"/>
        <v>1400000</v>
      </c>
    </row>
    <row r="1771" spans="1:19" x14ac:dyDescent="0.3">
      <c r="A1771" s="2" t="s">
        <v>1458</v>
      </c>
      <c r="B1771" s="2">
        <v>88</v>
      </c>
      <c r="C1771" s="3">
        <v>57887882</v>
      </c>
      <c r="D1771" s="3" t="s">
        <v>5807</v>
      </c>
      <c r="E1771" s="2" t="s">
        <v>1459</v>
      </c>
      <c r="F1771" s="2" t="s">
        <v>10</v>
      </c>
      <c r="G1771" s="2" t="s">
        <v>11</v>
      </c>
      <c r="H1771" s="2">
        <v>50000000</v>
      </c>
      <c r="I1771" s="2">
        <v>4.9000000000000004</v>
      </c>
      <c r="J1771" s="3">
        <v>20035310</v>
      </c>
      <c r="K1771">
        <f t="shared" si="62"/>
        <v>1.3775047412552699E-3</v>
      </c>
      <c r="R1771" s="12" t="str">
        <f ca="1">IFERROR(__xludf.DUMMYFUNCTION("""COMPUTED_VALUE"""),"Parental Guidance ")</f>
        <v>Parental Guidance </v>
      </c>
      <c r="S1771" s="12">
        <f t="shared" si="63"/>
        <v>-61363463</v>
      </c>
    </row>
    <row r="1772" spans="1:19" x14ac:dyDescent="0.3">
      <c r="A1772" s="2" t="s">
        <v>3418</v>
      </c>
      <c r="B1772" s="2">
        <v>123</v>
      </c>
      <c r="C1772" s="3">
        <v>21426805</v>
      </c>
      <c r="D1772" s="3" t="s">
        <v>5912</v>
      </c>
      <c r="E1772" s="2" t="s">
        <v>3419</v>
      </c>
      <c r="F1772" s="2" t="s">
        <v>10</v>
      </c>
      <c r="G1772" s="2" t="s">
        <v>16</v>
      </c>
      <c r="H1772" s="2">
        <v>15000000</v>
      </c>
      <c r="I1772" s="2">
        <v>7.7</v>
      </c>
      <c r="J1772" s="3">
        <v>20047715</v>
      </c>
      <c r="K1772">
        <f t="shared" si="62"/>
        <v>1.3775047412552699E-3</v>
      </c>
      <c r="R1772" s="12" t="str">
        <f ca="1">IFERROR(__xludf.DUMMYFUNCTION("""COMPUTED_VALUE"""),"No Strings Attached ")</f>
        <v>No Strings Attached </v>
      </c>
      <c r="S1772" s="12">
        <f t="shared" si="63"/>
        <v>-25595247</v>
      </c>
    </row>
    <row r="1773" spans="1:19" x14ac:dyDescent="0.3">
      <c r="A1773" s="2" t="s">
        <v>295</v>
      </c>
      <c r="B1773" s="2">
        <v>135</v>
      </c>
      <c r="C1773" s="3">
        <v>8047690</v>
      </c>
      <c r="D1773" s="3" t="s">
        <v>6260</v>
      </c>
      <c r="E1773" s="2" t="s">
        <v>296</v>
      </c>
      <c r="F1773" s="2" t="s">
        <v>10</v>
      </c>
      <c r="G1773" s="2" t="s">
        <v>11</v>
      </c>
      <c r="H1773" s="2">
        <v>150000000</v>
      </c>
      <c r="I1773" s="2">
        <v>6.8</v>
      </c>
      <c r="J1773" s="3">
        <v>20101861</v>
      </c>
      <c r="K1773">
        <f t="shared" si="62"/>
        <v>1.3775047412552699E-3</v>
      </c>
      <c r="R1773" s="12" t="str">
        <f ca="1">IFERROR(__xludf.DUMMYFUNCTION("""COMPUTED_VALUE"""),"Tombstone ")</f>
        <v>Tombstone </v>
      </c>
      <c r="S1773" s="12">
        <f t="shared" si="63"/>
        <v>-11919884</v>
      </c>
    </row>
    <row r="1774" spans="1:19" x14ac:dyDescent="0.3">
      <c r="A1774" s="2" t="s">
        <v>4420</v>
      </c>
      <c r="B1774" s="2">
        <v>118</v>
      </c>
      <c r="C1774" s="3">
        <v>11533945</v>
      </c>
      <c r="D1774" s="3" t="s">
        <v>5778</v>
      </c>
      <c r="E1774" s="2" t="s">
        <v>4421</v>
      </c>
      <c r="F1774" s="2" t="s">
        <v>10</v>
      </c>
      <c r="G1774" s="2" t="s">
        <v>11</v>
      </c>
      <c r="H1774" s="2">
        <v>7000000</v>
      </c>
      <c r="I1774" s="2">
        <v>6</v>
      </c>
      <c r="J1774" s="3">
        <v>20113965</v>
      </c>
      <c r="K1774">
        <f t="shared" si="62"/>
        <v>1.3775047412552699E-3</v>
      </c>
      <c r="R1774" s="12" t="str">
        <f ca="1">IFERROR(__xludf.DUMMYFUNCTION("""COMPUTED_VALUE"""),"Romeo Must Die ")</f>
        <v>Romeo Must Die </v>
      </c>
      <c r="S1774" s="12">
        <f t="shared" si="63"/>
        <v>-25626175</v>
      </c>
    </row>
    <row r="1775" spans="1:19" x14ac:dyDescent="0.3">
      <c r="A1775" s="2" t="s">
        <v>799</v>
      </c>
      <c r="B1775" s="2">
        <v>97</v>
      </c>
      <c r="C1775" s="3">
        <v>92115211</v>
      </c>
      <c r="D1775" s="3" t="s">
        <v>5869</v>
      </c>
      <c r="E1775" s="2" t="s">
        <v>4854</v>
      </c>
      <c r="F1775" s="2" t="s">
        <v>10</v>
      </c>
      <c r="G1775" s="2" t="s">
        <v>11</v>
      </c>
      <c r="H1775" s="2">
        <v>3500000</v>
      </c>
      <c r="I1775" s="2">
        <v>7.3</v>
      </c>
      <c r="J1775" s="3">
        <v>20167424</v>
      </c>
      <c r="K1775">
        <f t="shared" si="62"/>
        <v>1.3775047412552699E-3</v>
      </c>
      <c r="R1775" s="12" t="str">
        <f ca="1">IFERROR(__xludf.DUMMYFUNCTION("""COMPUTED_VALUE"""),"Final Destination 3 ")</f>
        <v>Final Destination 3 </v>
      </c>
      <c r="S1775" s="12">
        <f t="shared" si="63"/>
        <v>-3768898</v>
      </c>
    </row>
    <row r="1776" spans="1:19" x14ac:dyDescent="0.3">
      <c r="A1776" s="2" t="s">
        <v>337</v>
      </c>
      <c r="B1776" s="2">
        <v>94</v>
      </c>
      <c r="C1776" s="3">
        <v>38542418</v>
      </c>
      <c r="D1776" s="3" t="s">
        <v>5865</v>
      </c>
      <c r="E1776" s="2" t="s">
        <v>559</v>
      </c>
      <c r="F1776" s="2" t="s">
        <v>10</v>
      </c>
      <c r="G1776" s="2" t="s">
        <v>11</v>
      </c>
      <c r="H1776" s="2">
        <v>90000000</v>
      </c>
      <c r="I1776" s="2">
        <v>7</v>
      </c>
      <c r="J1776" s="3">
        <v>20218921</v>
      </c>
      <c r="K1776">
        <f t="shared" si="62"/>
        <v>1.3775047412552699E-3</v>
      </c>
      <c r="R1776" s="12" t="str">
        <f ca="1">IFERROR(__xludf.DUMMYFUNCTION("""COMPUTED_VALUE"""),"The Lucky One ")</f>
        <v>The Lucky One </v>
      </c>
      <c r="S1776" s="12">
        <f t="shared" si="63"/>
        <v>47032279</v>
      </c>
    </row>
    <row r="1777" spans="1:19" x14ac:dyDescent="0.3">
      <c r="A1777" s="2" t="s">
        <v>2597</v>
      </c>
      <c r="B1777" s="2">
        <v>101</v>
      </c>
      <c r="C1777" s="3">
        <v>30012990</v>
      </c>
      <c r="D1777" s="3" t="s">
        <v>6266</v>
      </c>
      <c r="E1777" s="2" t="s">
        <v>3019</v>
      </c>
      <c r="F1777" s="2" t="s">
        <v>10</v>
      </c>
      <c r="G1777" s="2" t="s">
        <v>11</v>
      </c>
      <c r="H1777" s="2">
        <v>20000000</v>
      </c>
      <c r="I1777" s="2">
        <v>6.6</v>
      </c>
      <c r="J1777" s="3">
        <v>20241395</v>
      </c>
      <c r="K1777">
        <f t="shared" si="62"/>
        <v>1.3775047412552699E-3</v>
      </c>
      <c r="R1777" s="12" t="str">
        <f ca="1">IFERROR(__xludf.DUMMYFUNCTION("""COMPUTED_VALUE"""),"Bridge to Terabithia ")</f>
        <v>Bridge to Terabithia </v>
      </c>
      <c r="S1777" s="12">
        <f t="shared" si="63"/>
        <v>-329288</v>
      </c>
    </row>
    <row r="1778" spans="1:19" x14ac:dyDescent="0.3">
      <c r="A1778" s="2" t="s">
        <v>1017</v>
      </c>
      <c r="B1778" s="2">
        <v>114</v>
      </c>
      <c r="C1778" s="3">
        <v>41400000</v>
      </c>
      <c r="D1778" s="3" t="s">
        <v>6260</v>
      </c>
      <c r="E1778" s="2" t="s">
        <v>1018</v>
      </c>
      <c r="F1778" s="2" t="s">
        <v>10</v>
      </c>
      <c r="G1778" s="2" t="s">
        <v>11</v>
      </c>
      <c r="H1778" s="2">
        <v>62000000</v>
      </c>
      <c r="I1778" s="2">
        <v>6.8</v>
      </c>
      <c r="J1778" s="3">
        <v>20246959</v>
      </c>
      <c r="K1778">
        <f t="shared" si="62"/>
        <v>1.3775047412552699E-3</v>
      </c>
      <c r="R1778" s="12" t="str">
        <f ca="1">IFERROR(__xludf.DUMMYFUNCTION("""COMPUTED_VALUE"""),"Finding Neverland ")</f>
        <v>Finding Neverland </v>
      </c>
      <c r="S1778" s="12">
        <f t="shared" si="63"/>
        <v>-460186644</v>
      </c>
    </row>
    <row r="1779" spans="1:19" x14ac:dyDescent="0.3">
      <c r="A1779" s="2" t="s">
        <v>228</v>
      </c>
      <c r="B1779" s="2">
        <v>116</v>
      </c>
      <c r="C1779" s="3">
        <v>65182182</v>
      </c>
      <c r="D1779" s="3" t="s">
        <v>1703</v>
      </c>
      <c r="E1779" s="2" t="s">
        <v>878</v>
      </c>
      <c r="F1779" s="2" t="s">
        <v>10</v>
      </c>
      <c r="G1779" s="2" t="s">
        <v>11</v>
      </c>
      <c r="H1779" s="2">
        <v>70000000</v>
      </c>
      <c r="I1779" s="2">
        <v>5.8</v>
      </c>
      <c r="J1779" s="3">
        <v>20257000</v>
      </c>
      <c r="K1779">
        <f t="shared" si="62"/>
        <v>1.3775047412552699E-3</v>
      </c>
      <c r="R1779" s="12" t="str">
        <f ca="1">IFERROR(__xludf.DUMMYFUNCTION("""COMPUTED_VALUE"""),"A Madea Christmas ")</f>
        <v>A Madea Christmas </v>
      </c>
      <c r="S1779" s="12">
        <f t="shared" si="63"/>
        <v>96030725</v>
      </c>
    </row>
    <row r="1780" spans="1:19" x14ac:dyDescent="0.3">
      <c r="A1780" s="2" t="s">
        <v>628</v>
      </c>
      <c r="B1780" s="2">
        <v>83</v>
      </c>
      <c r="C1780" s="3">
        <v>27545445</v>
      </c>
      <c r="D1780" s="3" t="s">
        <v>5869</v>
      </c>
      <c r="E1780" s="2" t="s">
        <v>629</v>
      </c>
      <c r="F1780" s="2" t="s">
        <v>10</v>
      </c>
      <c r="G1780" s="2" t="s">
        <v>11</v>
      </c>
      <c r="H1780" s="2">
        <v>85000000</v>
      </c>
      <c r="I1780" s="2">
        <v>6.2</v>
      </c>
      <c r="J1780" s="3">
        <v>20259297</v>
      </c>
      <c r="K1780">
        <f t="shared" si="62"/>
        <v>1.3775047412552699E-3</v>
      </c>
      <c r="R1780" s="12" t="str">
        <f ca="1">IFERROR(__xludf.DUMMYFUNCTION("""COMPUTED_VALUE"""),"The Grey ")</f>
        <v>The Grey </v>
      </c>
      <c r="S1780" s="12">
        <f t="shared" si="63"/>
        <v>-23959121</v>
      </c>
    </row>
    <row r="1781" spans="1:19" x14ac:dyDescent="0.3">
      <c r="A1781" s="2" t="s">
        <v>5489</v>
      </c>
      <c r="B1781" s="2">
        <v>86</v>
      </c>
      <c r="C1781" s="3">
        <v>14448589</v>
      </c>
      <c r="D1781" s="3" t="s">
        <v>5778</v>
      </c>
      <c r="E1781" s="2" t="s">
        <v>5490</v>
      </c>
      <c r="F1781" s="2" t="s">
        <v>10</v>
      </c>
      <c r="G1781" s="2" t="s">
        <v>11</v>
      </c>
      <c r="H1781" s="2">
        <v>500000</v>
      </c>
      <c r="I1781" s="2">
        <v>6.5</v>
      </c>
      <c r="J1781" s="3">
        <v>20275446</v>
      </c>
      <c r="K1781">
        <f t="shared" si="62"/>
        <v>1.3775047412552699E-3</v>
      </c>
      <c r="R1781" s="12" t="str">
        <f ca="1">IFERROR(__xludf.DUMMYFUNCTION("""COMPUTED_VALUE"""),"Hide and Seek ")</f>
        <v>Hide and Seek </v>
      </c>
      <c r="S1781" s="12">
        <f t="shared" si="63"/>
        <v>-57192146</v>
      </c>
    </row>
    <row r="1782" spans="1:19" x14ac:dyDescent="0.3">
      <c r="A1782" s="2" t="s">
        <v>1674</v>
      </c>
      <c r="B1782" s="2">
        <v>91</v>
      </c>
      <c r="C1782" s="3">
        <v>20259297</v>
      </c>
      <c r="D1782" s="3" t="s">
        <v>5767</v>
      </c>
      <c r="E1782" s="2" t="s">
        <v>1973</v>
      </c>
      <c r="F1782" s="2" t="s">
        <v>10</v>
      </c>
      <c r="G1782" s="2" t="s">
        <v>11</v>
      </c>
      <c r="H1782" s="2">
        <v>35000000</v>
      </c>
      <c r="I1782" s="2">
        <v>5.3</v>
      </c>
      <c r="J1782" s="3">
        <v>20285518</v>
      </c>
      <c r="K1782">
        <f t="shared" si="62"/>
        <v>1.3775047412552699E-3</v>
      </c>
      <c r="R1782" s="12" t="str">
        <f ca="1">IFERROR(__xludf.DUMMYFUNCTION("""COMPUTED_VALUE"""),"Anchorman: The Legend of Ron Burgundy ")</f>
        <v>Anchorman: The Legend of Ron Burgundy </v>
      </c>
      <c r="S1782" s="12">
        <f t="shared" si="63"/>
        <v>6221394</v>
      </c>
    </row>
    <row r="1783" spans="1:19" x14ac:dyDescent="0.3">
      <c r="A1783" s="2" t="s">
        <v>427</v>
      </c>
      <c r="B1783" s="2">
        <v>120</v>
      </c>
      <c r="C1783" s="3">
        <v>11146409</v>
      </c>
      <c r="D1783" s="3" t="s">
        <v>5869</v>
      </c>
      <c r="E1783" s="2" t="s">
        <v>428</v>
      </c>
      <c r="F1783" s="2" t="s">
        <v>10</v>
      </c>
      <c r="G1783" s="2" t="s">
        <v>11</v>
      </c>
      <c r="H1783" s="2">
        <v>110000000</v>
      </c>
      <c r="I1783" s="2">
        <v>5.8</v>
      </c>
      <c r="J1783" s="3">
        <v>20300000</v>
      </c>
      <c r="K1783">
        <f t="shared" si="62"/>
        <v>1.3775047412552699E-3</v>
      </c>
      <c r="R1783" s="12" t="str">
        <f ca="1">IFERROR(__xludf.DUMMYFUNCTION("""COMPUTED_VALUE"""),"Goodfellas ")</f>
        <v>Goodfellas </v>
      </c>
      <c r="S1783" s="12">
        <f t="shared" si="63"/>
        <v>20079316</v>
      </c>
    </row>
    <row r="1784" spans="1:19" x14ac:dyDescent="0.3">
      <c r="A1784" s="2" t="s">
        <v>2035</v>
      </c>
      <c r="B1784" s="2">
        <v>121</v>
      </c>
      <c r="C1784" s="3">
        <v>11169531</v>
      </c>
      <c r="D1784" s="3" t="s">
        <v>5975</v>
      </c>
      <c r="E1784" s="2" t="s">
        <v>2528</v>
      </c>
      <c r="F1784" s="2" t="s">
        <v>10</v>
      </c>
      <c r="G1784" s="2" t="s">
        <v>16</v>
      </c>
      <c r="H1784" s="2">
        <v>25000000</v>
      </c>
      <c r="I1784" s="2">
        <v>7.3</v>
      </c>
      <c r="J1784" s="3">
        <v>20302961</v>
      </c>
      <c r="K1784">
        <f t="shared" si="62"/>
        <v>1.3775047412552699E-3</v>
      </c>
      <c r="R1784" s="12" t="str">
        <f ca="1">IFERROR(__xludf.DUMMYFUNCTION("""COMPUTED_VALUE"""),"Agent Cody Banks ")</f>
        <v>Agent Cody Banks </v>
      </c>
      <c r="S1784" s="12">
        <f t="shared" si="63"/>
        <v>-1960131</v>
      </c>
    </row>
    <row r="1785" spans="1:19" x14ac:dyDescent="0.3">
      <c r="A1785" s="2" t="s">
        <v>2220</v>
      </c>
      <c r="B1785" s="2">
        <v>124</v>
      </c>
      <c r="C1785" s="3">
        <v>548712</v>
      </c>
      <c r="D1785" s="3" t="s">
        <v>6126</v>
      </c>
      <c r="E1785" s="2" t="s">
        <v>2221</v>
      </c>
      <c r="F1785" s="2" t="s">
        <v>10</v>
      </c>
      <c r="G1785" s="2" t="s">
        <v>11</v>
      </c>
      <c r="H1785" s="2">
        <v>30000000</v>
      </c>
      <c r="I1785" s="2">
        <v>7.6</v>
      </c>
      <c r="J1785" s="3">
        <v>20315324</v>
      </c>
      <c r="K1785">
        <f t="shared" si="62"/>
        <v>1.3775047412552699E-3</v>
      </c>
      <c r="R1785" s="12" t="str">
        <f ca="1">IFERROR(__xludf.DUMMYFUNCTION("""COMPUTED_VALUE"""),"Nanny McPhee ")</f>
        <v>Nanny McPhee </v>
      </c>
      <c r="S1785" s="12">
        <f t="shared" si="63"/>
        <v>6178353</v>
      </c>
    </row>
    <row r="1786" spans="1:19" x14ac:dyDescent="0.3">
      <c r="A1786" s="2" t="s">
        <v>1363</v>
      </c>
      <c r="B1786" s="2">
        <v>91</v>
      </c>
      <c r="C1786" s="3">
        <v>52792307</v>
      </c>
      <c r="D1786" s="3" t="s">
        <v>5910</v>
      </c>
      <c r="E1786" s="2" t="s">
        <v>4879</v>
      </c>
      <c r="F1786" s="2" t="s">
        <v>10</v>
      </c>
      <c r="G1786" s="2" t="s">
        <v>11</v>
      </c>
      <c r="H1786" s="2">
        <v>3500000</v>
      </c>
      <c r="I1786" s="2">
        <v>5.3</v>
      </c>
      <c r="J1786" s="3">
        <v>20338609</v>
      </c>
      <c r="K1786">
        <f t="shared" si="62"/>
        <v>1.3775047412552699E-3</v>
      </c>
      <c r="R1786" s="12" t="str">
        <f ca="1">IFERROR(__xludf.DUMMYFUNCTION("""COMPUTED_VALUE"""),"Scarface ")</f>
        <v>Scarface </v>
      </c>
      <c r="S1786" s="12">
        <f t="shared" si="63"/>
        <v>32854909</v>
      </c>
    </row>
    <row r="1787" spans="1:19" x14ac:dyDescent="0.3">
      <c r="A1787" s="2" t="s">
        <v>79</v>
      </c>
      <c r="B1787" s="2">
        <v>124</v>
      </c>
      <c r="C1787" s="3">
        <v>53302314</v>
      </c>
      <c r="D1787" s="3" t="s">
        <v>6144</v>
      </c>
      <c r="E1787" s="2" t="s">
        <v>378</v>
      </c>
      <c r="F1787" s="2" t="s">
        <v>10</v>
      </c>
      <c r="G1787" s="2" t="s">
        <v>11</v>
      </c>
      <c r="H1787" s="2">
        <v>120000000</v>
      </c>
      <c r="I1787" s="2">
        <v>7</v>
      </c>
      <c r="J1787" s="3">
        <v>20339754</v>
      </c>
      <c r="K1787">
        <f t="shared" si="62"/>
        <v>1.3775047412552699E-3</v>
      </c>
      <c r="R1787" s="12" t="str">
        <f ca="1">IFERROR(__xludf.DUMMYFUNCTION("""COMPUTED_VALUE"""),"Nothing to Lose ")</f>
        <v>Nothing to Lose </v>
      </c>
      <c r="S1787" s="12">
        <f t="shared" si="63"/>
        <v>-46929689</v>
      </c>
    </row>
    <row r="1788" spans="1:19" x14ac:dyDescent="0.3">
      <c r="A1788" s="2" t="s">
        <v>5168</v>
      </c>
      <c r="B1788" s="2">
        <v>100</v>
      </c>
      <c r="C1788" s="3">
        <v>52700832</v>
      </c>
      <c r="D1788" s="3" t="s">
        <v>6134</v>
      </c>
      <c r="E1788" s="2" t="s">
        <v>5169</v>
      </c>
      <c r="F1788" s="2" t="s">
        <v>10</v>
      </c>
      <c r="G1788" s="2" t="s">
        <v>16</v>
      </c>
      <c r="H1788" s="2">
        <v>1000000</v>
      </c>
      <c r="I1788" s="2">
        <v>6.9</v>
      </c>
      <c r="J1788" s="3">
        <v>20384136</v>
      </c>
      <c r="K1788">
        <f t="shared" si="62"/>
        <v>1.3775047412552699E-3</v>
      </c>
      <c r="R1788" s="12" t="str">
        <f ca="1">IFERROR(__xludf.DUMMYFUNCTION("""COMPUTED_VALUE"""),"The Last Emperor ")</f>
        <v>The Last Emperor </v>
      </c>
      <c r="S1788" s="12">
        <f t="shared" si="63"/>
        <v>1958500</v>
      </c>
    </row>
    <row r="1789" spans="1:19" x14ac:dyDescent="0.3">
      <c r="A1789" s="2" t="s">
        <v>4369</v>
      </c>
      <c r="B1789" s="2">
        <v>89</v>
      </c>
      <c r="C1789" s="3">
        <v>6462576</v>
      </c>
      <c r="D1789" s="3" t="s">
        <v>6267</v>
      </c>
      <c r="E1789" s="2" t="s">
        <v>4370</v>
      </c>
      <c r="F1789" s="2" t="s">
        <v>10</v>
      </c>
      <c r="G1789" s="2" t="s">
        <v>11</v>
      </c>
      <c r="H1789" s="2">
        <v>7000000</v>
      </c>
      <c r="I1789" s="2">
        <v>4</v>
      </c>
      <c r="J1789" s="3">
        <v>20389967</v>
      </c>
      <c r="K1789">
        <f t="shared" si="62"/>
        <v>1.3775047412552699E-3</v>
      </c>
      <c r="R1789" s="12" t="str">
        <f ca="1">IFERROR(__xludf.DUMMYFUNCTION("""COMPUTED_VALUE"""),"Contraband ")</f>
        <v>Contraband </v>
      </c>
      <c r="S1789" s="12">
        <f t="shared" si="63"/>
        <v>-21474166</v>
      </c>
    </row>
    <row r="1790" spans="1:19" x14ac:dyDescent="0.3">
      <c r="A1790" s="2" t="s">
        <v>5462</v>
      </c>
      <c r="B1790" s="2">
        <v>103</v>
      </c>
      <c r="C1790" s="3">
        <v>70836296</v>
      </c>
      <c r="D1790" s="3" t="s">
        <v>5819</v>
      </c>
      <c r="E1790" s="2" t="s">
        <v>5463</v>
      </c>
      <c r="F1790" s="2" t="s">
        <v>10</v>
      </c>
      <c r="G1790" s="2" t="s">
        <v>11</v>
      </c>
      <c r="H1790" s="2">
        <v>600000</v>
      </c>
      <c r="I1790" s="2">
        <v>5.6</v>
      </c>
      <c r="J1790" s="3">
        <v>20400000</v>
      </c>
      <c r="K1790">
        <f t="shared" si="62"/>
        <v>1.3775047412552699E-3</v>
      </c>
      <c r="R1790" s="12" t="str">
        <f ca="1">IFERROR(__xludf.DUMMYFUNCTION("""COMPUTED_VALUE"""),"Money Talks ")</f>
        <v>Money Talks </v>
      </c>
      <c r="S1790" s="12">
        <f t="shared" si="63"/>
        <v>-11512238</v>
      </c>
    </row>
    <row r="1791" spans="1:19" x14ac:dyDescent="0.3">
      <c r="A1791" s="2" t="s">
        <v>367</v>
      </c>
      <c r="B1791" s="2">
        <v>120</v>
      </c>
      <c r="C1791" s="3">
        <v>8026971</v>
      </c>
      <c r="D1791" s="3" t="s">
        <v>6268</v>
      </c>
      <c r="E1791" s="2" t="s">
        <v>1469</v>
      </c>
      <c r="F1791" s="2" t="s">
        <v>10</v>
      </c>
      <c r="G1791" s="2" t="s">
        <v>11</v>
      </c>
      <c r="H1791" s="2">
        <v>49000000</v>
      </c>
      <c r="I1791" s="2">
        <v>6.9</v>
      </c>
      <c r="J1791" s="3">
        <v>20400913</v>
      </c>
      <c r="K1791">
        <f t="shared" si="62"/>
        <v>1.3775047412552699E-3</v>
      </c>
      <c r="R1791" s="12" t="str">
        <f ca="1">IFERROR(__xludf.DUMMYFUNCTION("""COMPUTED_VALUE"""),"There Will Be Blood ")</f>
        <v>There Will Be Blood </v>
      </c>
      <c r="S1791" s="12">
        <f t="shared" si="63"/>
        <v>25952428</v>
      </c>
    </row>
    <row r="1792" spans="1:19" x14ac:dyDescent="0.3">
      <c r="A1792" s="2" t="s">
        <v>1147</v>
      </c>
      <c r="B1792" s="2">
        <v>91</v>
      </c>
      <c r="C1792" s="2">
        <v>14218868</v>
      </c>
      <c r="D1792" s="3" t="s">
        <v>6269</v>
      </c>
      <c r="E1792" s="2" t="s">
        <v>1148</v>
      </c>
      <c r="F1792" s="2" t="s">
        <v>10</v>
      </c>
      <c r="G1792" s="2" t="s">
        <v>11</v>
      </c>
      <c r="H1792" s="2">
        <v>65000000</v>
      </c>
      <c r="I1792" s="2">
        <v>4.8</v>
      </c>
      <c r="J1792" s="3">
        <v>20422207</v>
      </c>
      <c r="K1792">
        <f t="shared" si="62"/>
        <v>1.3775047412552699E-3</v>
      </c>
      <c r="R1792" s="12" t="str">
        <f ca="1">IFERROR(__xludf.DUMMYFUNCTION("""COMPUTED_VALUE"""),"The Wild Thornberrys Movie ")</f>
        <v>The Wild Thornberrys Movie </v>
      </c>
      <c r="S1792" s="12">
        <f t="shared" si="63"/>
        <v>-31791922</v>
      </c>
    </row>
    <row r="1793" spans="1:19" x14ac:dyDescent="0.3">
      <c r="A1793" s="2" t="s">
        <v>1816</v>
      </c>
      <c r="B1793" s="2">
        <v>109</v>
      </c>
      <c r="C1793" s="3">
        <v>32616869</v>
      </c>
      <c r="D1793" s="3" t="s">
        <v>5894</v>
      </c>
      <c r="E1793" s="2" t="s">
        <v>2453</v>
      </c>
      <c r="F1793" s="2" t="s">
        <v>10</v>
      </c>
      <c r="G1793" s="2" t="s">
        <v>11</v>
      </c>
      <c r="H1793" s="2">
        <v>27000000</v>
      </c>
      <c r="I1793" s="2">
        <v>6.2</v>
      </c>
      <c r="J1793" s="3">
        <v>20433940</v>
      </c>
      <c r="K1793">
        <f t="shared" si="62"/>
        <v>1.3775047412552699E-3</v>
      </c>
      <c r="R1793" s="12" t="str">
        <f ca="1">IFERROR(__xludf.DUMMYFUNCTION("""COMPUTED_VALUE"""),"Rugrats Go Wild ")</f>
        <v>Rugrats Go Wild </v>
      </c>
      <c r="S1793" s="12">
        <f t="shared" si="63"/>
        <v>7887882</v>
      </c>
    </row>
    <row r="1794" spans="1:19" x14ac:dyDescent="0.3">
      <c r="A1794" s="2" t="s">
        <v>4256</v>
      </c>
      <c r="B1794" s="2">
        <v>142</v>
      </c>
      <c r="C1794" s="3">
        <v>6619173</v>
      </c>
      <c r="D1794" s="3" t="s">
        <v>6270</v>
      </c>
      <c r="E1794" s="2" t="s">
        <v>4257</v>
      </c>
      <c r="F1794" s="2" t="s">
        <v>10</v>
      </c>
      <c r="G1794" s="2" t="s">
        <v>16</v>
      </c>
      <c r="H1794" s="2">
        <v>7000000</v>
      </c>
      <c r="I1794" s="2">
        <v>6.8</v>
      </c>
      <c r="J1794" s="3">
        <v>20488579</v>
      </c>
      <c r="K1794">
        <f t="shared" ref="K1794:K1857" si="64">CORREL(H$2:H$3941,J$2:J$3941)</f>
        <v>1.3775047412552699E-3</v>
      </c>
      <c r="R1794" s="12" t="str">
        <f ca="1">IFERROR(__xludf.DUMMYFUNCTION("""COMPUTED_VALUE"""),"Undercover Brother ")</f>
        <v>Undercover Brother </v>
      </c>
      <c r="S1794" s="12">
        <f t="shared" si="63"/>
        <v>6426805</v>
      </c>
    </row>
    <row r="1795" spans="1:19" x14ac:dyDescent="0.3">
      <c r="A1795" s="2" t="s">
        <v>3946</v>
      </c>
      <c r="B1795" s="2">
        <v>98</v>
      </c>
      <c r="C1795" s="3">
        <v>4700361</v>
      </c>
      <c r="D1795" s="3" t="s">
        <v>6035</v>
      </c>
      <c r="E1795" s="2" t="s">
        <v>3947</v>
      </c>
      <c r="F1795" s="2" t="s">
        <v>10</v>
      </c>
      <c r="G1795" s="2" t="s">
        <v>16</v>
      </c>
      <c r="H1795" s="2">
        <v>7000000</v>
      </c>
      <c r="I1795" s="2">
        <v>5.5</v>
      </c>
      <c r="J1795" s="3">
        <v>20550712</v>
      </c>
      <c r="K1795">
        <f t="shared" si="64"/>
        <v>1.3775047412552699E-3</v>
      </c>
      <c r="R1795" s="12" t="str">
        <f ca="1">IFERROR(__xludf.DUMMYFUNCTION("""COMPUTED_VALUE"""),"The Sisterhood of the Traveling Pants ")</f>
        <v>The Sisterhood of the Traveling Pants </v>
      </c>
      <c r="S1795" s="12">
        <f t="shared" si="63"/>
        <v>-141952310</v>
      </c>
    </row>
    <row r="1796" spans="1:19" x14ac:dyDescent="0.3">
      <c r="A1796" s="2" t="s">
        <v>3252</v>
      </c>
      <c r="B1796" s="2">
        <v>82</v>
      </c>
      <c r="C1796" s="3">
        <v>38536376</v>
      </c>
      <c r="D1796" s="3" t="s">
        <v>5910</v>
      </c>
      <c r="E1796" s="2" t="s">
        <v>3253</v>
      </c>
      <c r="F1796" s="2" t="s">
        <v>10</v>
      </c>
      <c r="G1796" s="2" t="s">
        <v>11</v>
      </c>
      <c r="H1796" s="2">
        <v>17000000</v>
      </c>
      <c r="I1796" s="2">
        <v>6.2</v>
      </c>
      <c r="J1796" s="3">
        <v>20566327</v>
      </c>
      <c r="K1796">
        <f t="shared" si="64"/>
        <v>1.3775047412552699E-3</v>
      </c>
      <c r="R1796" s="12" t="str">
        <f ca="1">IFERROR(__xludf.DUMMYFUNCTION("""COMPUTED_VALUE"""),"Kiss of the Dragon ")</f>
        <v>Kiss of the Dragon </v>
      </c>
      <c r="S1796" s="12">
        <f t="shared" si="63"/>
        <v>4533945</v>
      </c>
    </row>
    <row r="1797" spans="1:19" x14ac:dyDescent="0.3">
      <c r="A1797" s="2" t="s">
        <v>4473</v>
      </c>
      <c r="B1797" s="2">
        <v>129</v>
      </c>
      <c r="C1797" s="3">
        <v>36283504</v>
      </c>
      <c r="D1797" s="3" t="s">
        <v>885</v>
      </c>
      <c r="E1797" s="2" t="s">
        <v>4559</v>
      </c>
      <c r="F1797" s="2" t="s">
        <v>10</v>
      </c>
      <c r="G1797" s="2" t="s">
        <v>11</v>
      </c>
      <c r="H1797" s="2">
        <v>5500000</v>
      </c>
      <c r="I1797" s="2">
        <v>8.3000000000000007</v>
      </c>
      <c r="J1797" s="3">
        <v>20627372</v>
      </c>
      <c r="K1797">
        <f t="shared" si="64"/>
        <v>1.3775047412552699E-3</v>
      </c>
      <c r="R1797" s="12" t="str">
        <f ca="1">IFERROR(__xludf.DUMMYFUNCTION("""COMPUTED_VALUE"""),"The House Bunny ")</f>
        <v>The House Bunny </v>
      </c>
      <c r="S1797" s="12">
        <f t="shared" si="63"/>
        <v>88615211</v>
      </c>
    </row>
    <row r="1798" spans="1:19" x14ac:dyDescent="0.3">
      <c r="A1798" s="2" t="s">
        <v>3037</v>
      </c>
      <c r="B1798" s="2">
        <v>94</v>
      </c>
      <c r="C1798" s="3">
        <v>26814957</v>
      </c>
      <c r="D1798" s="3" t="s">
        <v>5849</v>
      </c>
      <c r="E1798" s="2" t="s">
        <v>4188</v>
      </c>
      <c r="F1798" s="2" t="s">
        <v>10</v>
      </c>
      <c r="G1798" s="2" t="s">
        <v>11</v>
      </c>
      <c r="H1798" s="2">
        <v>9000000</v>
      </c>
      <c r="I1798" s="2">
        <v>4.5</v>
      </c>
      <c r="J1798" s="3">
        <v>20668843</v>
      </c>
      <c r="K1798">
        <f t="shared" si="64"/>
        <v>1.3775047412552699E-3</v>
      </c>
      <c r="R1798" s="12" t="str">
        <f ca="1">IFERROR(__xludf.DUMMYFUNCTION("""COMPUTED_VALUE"""),"Million Dollar Arm ")</f>
        <v>Million Dollar Arm </v>
      </c>
      <c r="S1798" s="12">
        <f t="shared" si="63"/>
        <v>-51457582</v>
      </c>
    </row>
    <row r="1799" spans="1:19" x14ac:dyDescent="0.3">
      <c r="A1799" s="2" t="s">
        <v>4073</v>
      </c>
      <c r="B1799" s="2">
        <v>106</v>
      </c>
      <c r="C1799" s="3">
        <v>77086030</v>
      </c>
      <c r="D1799" s="3" t="s">
        <v>6271</v>
      </c>
      <c r="E1799" s="2" t="s">
        <v>4074</v>
      </c>
      <c r="F1799" s="2" t="s">
        <v>10</v>
      </c>
      <c r="G1799" s="2" t="s">
        <v>11</v>
      </c>
      <c r="H1799" s="2">
        <v>10000000</v>
      </c>
      <c r="I1799" s="2">
        <v>7.1</v>
      </c>
      <c r="J1799" s="3">
        <v>20733485</v>
      </c>
      <c r="K1799">
        <f t="shared" si="64"/>
        <v>1.3775047412552699E-3</v>
      </c>
      <c r="R1799" s="12" t="str">
        <f ca="1">IFERROR(__xludf.DUMMYFUNCTION("""COMPUTED_VALUE"""),"The Giver ")</f>
        <v>The Giver </v>
      </c>
      <c r="S1799" s="12">
        <f t="shared" si="63"/>
        <v>10012990</v>
      </c>
    </row>
    <row r="1800" spans="1:19" x14ac:dyDescent="0.3">
      <c r="A1800" s="2" t="s">
        <v>197</v>
      </c>
      <c r="B1800" s="2">
        <v>206</v>
      </c>
      <c r="C1800" s="3">
        <v>25776062</v>
      </c>
      <c r="D1800" s="3" t="s">
        <v>6026</v>
      </c>
      <c r="E1800" s="2" t="s">
        <v>1696</v>
      </c>
      <c r="F1800" s="2" t="s">
        <v>10</v>
      </c>
      <c r="G1800" s="2" t="s">
        <v>504</v>
      </c>
      <c r="H1800" s="2">
        <v>40000000</v>
      </c>
      <c r="I1800" s="2">
        <v>8</v>
      </c>
      <c r="J1800" s="3">
        <v>20763013</v>
      </c>
      <c r="K1800">
        <f t="shared" si="64"/>
        <v>1.3775047412552699E-3</v>
      </c>
      <c r="R1800" s="12" t="str">
        <f ca="1">IFERROR(__xludf.DUMMYFUNCTION("""COMPUTED_VALUE"""),"What a Girl Wants ")</f>
        <v>What a Girl Wants </v>
      </c>
      <c r="S1800" s="12">
        <f t="shared" si="63"/>
        <v>-20600000</v>
      </c>
    </row>
    <row r="1801" spans="1:19" x14ac:dyDescent="0.3">
      <c r="A1801" s="2" t="s">
        <v>1827</v>
      </c>
      <c r="B1801" s="2">
        <v>101</v>
      </c>
      <c r="C1801" s="3">
        <v>83906114</v>
      </c>
      <c r="D1801" s="3" t="s">
        <v>5849</v>
      </c>
      <c r="E1801" s="2" t="s">
        <v>3967</v>
      </c>
      <c r="F1801" s="2" t="s">
        <v>10</v>
      </c>
      <c r="G1801" s="2" t="s">
        <v>16</v>
      </c>
      <c r="H1801" s="2">
        <v>10000000</v>
      </c>
      <c r="I1801" s="2">
        <v>5.5</v>
      </c>
      <c r="J1801" s="3">
        <v>20772796</v>
      </c>
      <c r="K1801">
        <f t="shared" si="64"/>
        <v>1.3775047412552699E-3</v>
      </c>
      <c r="R1801" s="12" t="str">
        <f ca="1">IFERROR(__xludf.DUMMYFUNCTION("""COMPUTED_VALUE"""),"Jeepers Creepers II ")</f>
        <v>Jeepers Creepers II </v>
      </c>
      <c r="S1801" s="12">
        <f t="shared" si="63"/>
        <v>-4817818</v>
      </c>
    </row>
    <row r="1802" spans="1:19" x14ac:dyDescent="0.3">
      <c r="A1802" s="2" t="s">
        <v>4957</v>
      </c>
      <c r="B1802" s="2">
        <v>110</v>
      </c>
      <c r="C1802" s="3">
        <v>128769345</v>
      </c>
      <c r="D1802" s="3" t="s">
        <v>6191</v>
      </c>
      <c r="E1802" s="2" t="s">
        <v>4958</v>
      </c>
      <c r="F1802" s="2" t="s">
        <v>10</v>
      </c>
      <c r="G1802" s="2" t="s">
        <v>11</v>
      </c>
      <c r="H1802" s="2">
        <v>3500000</v>
      </c>
      <c r="I1802" s="2">
        <v>6.3</v>
      </c>
      <c r="J1802" s="3">
        <v>20773070</v>
      </c>
      <c r="K1802">
        <f t="shared" si="64"/>
        <v>1.3775047412552699E-3</v>
      </c>
      <c r="R1802" s="12" t="str">
        <f ca="1">IFERROR(__xludf.DUMMYFUNCTION("""COMPUTED_VALUE"""),"Good Luck Chuck ")</f>
        <v>Good Luck Chuck </v>
      </c>
      <c r="S1802" s="12">
        <f t="shared" si="63"/>
        <v>-57454555</v>
      </c>
    </row>
    <row r="1803" spans="1:19" x14ac:dyDescent="0.3">
      <c r="A1803" s="2" t="s">
        <v>3758</v>
      </c>
      <c r="B1803" s="2">
        <v>148</v>
      </c>
      <c r="C1803" s="3">
        <v>38413606</v>
      </c>
      <c r="D1803" s="3" t="s">
        <v>5930</v>
      </c>
      <c r="E1803" s="2" t="s">
        <v>3759</v>
      </c>
      <c r="F1803" s="2" t="s">
        <v>3760</v>
      </c>
      <c r="G1803" s="2" t="s">
        <v>1840</v>
      </c>
      <c r="H1803" s="2">
        <v>12800000</v>
      </c>
      <c r="I1803" s="2">
        <v>8.1</v>
      </c>
      <c r="J1803" s="3">
        <v>20801344</v>
      </c>
      <c r="K1803">
        <f t="shared" si="64"/>
        <v>1.3775047412552699E-3</v>
      </c>
      <c r="R1803" s="12" t="str">
        <f ca="1">IFERROR(__xludf.DUMMYFUNCTION("""COMPUTED_VALUE"""),"Cradle 2 the Grave ")</f>
        <v>Cradle 2 the Grave </v>
      </c>
      <c r="S1803" s="12">
        <f t="shared" si="63"/>
        <v>13948589</v>
      </c>
    </row>
    <row r="1804" spans="1:19" x14ac:dyDescent="0.3">
      <c r="A1804" s="2" t="s">
        <v>1488</v>
      </c>
      <c r="B1804" s="2">
        <v>128</v>
      </c>
      <c r="C1804" s="3">
        <v>85300000</v>
      </c>
      <c r="D1804" s="3" t="s">
        <v>6272</v>
      </c>
      <c r="E1804" s="2" t="s">
        <v>1777</v>
      </c>
      <c r="F1804" s="2" t="s">
        <v>10</v>
      </c>
      <c r="G1804" s="2" t="s">
        <v>11</v>
      </c>
      <c r="H1804" s="2">
        <v>40000000</v>
      </c>
      <c r="I1804" s="2">
        <v>6.1</v>
      </c>
      <c r="J1804" s="3">
        <v>20803237</v>
      </c>
      <c r="K1804">
        <f t="shared" si="64"/>
        <v>1.3775047412552699E-3</v>
      </c>
      <c r="R1804" s="12" t="str">
        <f ca="1">IFERROR(__xludf.DUMMYFUNCTION("""COMPUTED_VALUE"""),"The Hours ")</f>
        <v>The Hours </v>
      </c>
      <c r="S1804" s="12">
        <f t="shared" si="63"/>
        <v>-14740703</v>
      </c>
    </row>
    <row r="1805" spans="1:19" x14ac:dyDescent="0.3">
      <c r="A1805" s="2" t="s">
        <v>3975</v>
      </c>
      <c r="B1805" s="2">
        <v>153</v>
      </c>
      <c r="C1805" s="3">
        <v>20950820</v>
      </c>
      <c r="D1805" s="3" t="s">
        <v>5773</v>
      </c>
      <c r="E1805" s="2" t="s">
        <v>3976</v>
      </c>
      <c r="F1805" s="2" t="s">
        <v>10</v>
      </c>
      <c r="G1805" s="2" t="s">
        <v>16</v>
      </c>
      <c r="H1805" s="2">
        <v>10000000</v>
      </c>
      <c r="I1805" s="2">
        <v>7.5</v>
      </c>
      <c r="J1805" s="3">
        <v>20819129</v>
      </c>
      <c r="K1805">
        <f t="shared" si="64"/>
        <v>1.3775047412552699E-3</v>
      </c>
      <c r="R1805" s="12" t="str">
        <f ca="1">IFERROR(__xludf.DUMMYFUNCTION("""COMPUTED_VALUE"""),"She's the Man ")</f>
        <v>She's the Man </v>
      </c>
      <c r="S1805" s="12">
        <f t="shared" si="63"/>
        <v>-98853591</v>
      </c>
    </row>
    <row r="1806" spans="1:19" x14ac:dyDescent="0.3">
      <c r="A1806" s="2" t="s">
        <v>940</v>
      </c>
      <c r="B1806" s="2">
        <v>101</v>
      </c>
      <c r="C1806" s="3">
        <v>9094451</v>
      </c>
      <c r="D1806" s="3" t="s">
        <v>6273</v>
      </c>
      <c r="E1806" s="2" t="s">
        <v>1110</v>
      </c>
      <c r="F1806" s="2" t="s">
        <v>10</v>
      </c>
      <c r="G1806" s="2" t="s">
        <v>11</v>
      </c>
      <c r="H1806" s="2">
        <v>60000000</v>
      </c>
      <c r="I1806" s="2">
        <v>6.2</v>
      </c>
      <c r="J1806" s="3">
        <v>20915465</v>
      </c>
      <c r="K1806">
        <f t="shared" si="64"/>
        <v>1.3775047412552699E-3</v>
      </c>
      <c r="R1806" s="12" t="str">
        <f ca="1">IFERROR(__xludf.DUMMYFUNCTION("""COMPUTED_VALUE"""),"Mr. Bean's Holiday ")</f>
        <v>Mr. Bean's Holiday </v>
      </c>
      <c r="S1806" s="12">
        <f t="shared" si="63"/>
        <v>-13830469</v>
      </c>
    </row>
    <row r="1807" spans="1:19" x14ac:dyDescent="0.3">
      <c r="A1807" s="2" t="s">
        <v>5345</v>
      </c>
      <c r="B1807" s="2">
        <v>93</v>
      </c>
      <c r="C1807" s="3">
        <v>29975979</v>
      </c>
      <c r="D1807" s="3" t="s">
        <v>520</v>
      </c>
      <c r="E1807" s="2" t="s">
        <v>5346</v>
      </c>
      <c r="F1807" s="2" t="s">
        <v>10</v>
      </c>
      <c r="G1807" s="2" t="s">
        <v>2058</v>
      </c>
      <c r="H1807" s="2">
        <v>1000000</v>
      </c>
      <c r="I1807" s="2">
        <v>6.8</v>
      </c>
      <c r="J1807" s="3">
        <v>20916309</v>
      </c>
      <c r="K1807">
        <f t="shared" si="64"/>
        <v>1.3775047412552699E-3</v>
      </c>
      <c r="R1807" s="12" t="str">
        <f ca="1">IFERROR(__xludf.DUMMYFUNCTION("""COMPUTED_VALUE"""),"Anacondas: The Hunt for the Blood Orchid ")</f>
        <v>Anacondas: The Hunt for the Blood Orchid </v>
      </c>
      <c r="S1807" s="12">
        <f t="shared" si="63"/>
        <v>-29451288</v>
      </c>
    </row>
    <row r="1808" spans="1:19" x14ac:dyDescent="0.3">
      <c r="A1808" s="2" t="s">
        <v>5373</v>
      </c>
      <c r="B1808" s="2">
        <v>90</v>
      </c>
      <c r="C1808" s="3">
        <v>1029017</v>
      </c>
      <c r="D1808" s="3" t="s">
        <v>5773</v>
      </c>
      <c r="E1808" s="2" t="s">
        <v>5374</v>
      </c>
      <c r="F1808" s="2" t="s">
        <v>10</v>
      </c>
      <c r="G1808" s="2" t="s">
        <v>11</v>
      </c>
      <c r="H1808" s="2">
        <v>1000000</v>
      </c>
      <c r="I1808" s="2">
        <v>2.8</v>
      </c>
      <c r="J1808" s="3">
        <v>20950820</v>
      </c>
      <c r="K1808">
        <f t="shared" si="64"/>
        <v>1.3775047412552699E-3</v>
      </c>
      <c r="R1808" s="12" t="str">
        <f ca="1">IFERROR(__xludf.DUMMYFUNCTION("""COMPUTED_VALUE"""),"Blood Ties ")</f>
        <v>Blood Ties </v>
      </c>
      <c r="S1808" s="12">
        <f t="shared" si="63"/>
        <v>49292307</v>
      </c>
    </row>
    <row r="1809" spans="1:19" x14ac:dyDescent="0.3">
      <c r="A1809" s="2" t="s">
        <v>574</v>
      </c>
      <c r="B1809" s="2">
        <v>101</v>
      </c>
      <c r="C1809" s="3">
        <v>95720716</v>
      </c>
      <c r="D1809" s="3" t="s">
        <v>6274</v>
      </c>
      <c r="E1809" s="2" t="s">
        <v>676</v>
      </c>
      <c r="F1809" s="2" t="s">
        <v>10</v>
      </c>
      <c r="G1809" s="2" t="s">
        <v>11</v>
      </c>
      <c r="H1809" s="2">
        <v>80000000</v>
      </c>
      <c r="I1809" s="2">
        <v>5.4</v>
      </c>
      <c r="J1809" s="3">
        <v>20966644</v>
      </c>
      <c r="K1809">
        <f t="shared" si="64"/>
        <v>1.3775047412552699E-3</v>
      </c>
      <c r="R1809" s="12" t="str">
        <f ca="1">IFERROR(__xludf.DUMMYFUNCTION("""COMPUTED_VALUE"""),"August Rush ")</f>
        <v>August Rush </v>
      </c>
      <c r="S1809" s="12">
        <f t="shared" si="63"/>
        <v>-66697686</v>
      </c>
    </row>
    <row r="1810" spans="1:19" x14ac:dyDescent="0.3">
      <c r="A1810" s="2" t="s">
        <v>2459</v>
      </c>
      <c r="B1810" s="2">
        <v>103</v>
      </c>
      <c r="C1810" s="3">
        <v>14334645</v>
      </c>
      <c r="D1810" s="3" t="s">
        <v>885</v>
      </c>
      <c r="E1810" s="2" t="s">
        <v>2977</v>
      </c>
      <c r="F1810" s="2" t="s">
        <v>10</v>
      </c>
      <c r="G1810" s="2" t="s">
        <v>11</v>
      </c>
      <c r="H1810" s="2">
        <v>20000000</v>
      </c>
      <c r="I1810" s="2">
        <v>6.6</v>
      </c>
      <c r="J1810" s="3">
        <v>20981633</v>
      </c>
      <c r="K1810">
        <f t="shared" si="64"/>
        <v>1.3775047412552699E-3</v>
      </c>
      <c r="R1810" s="12" t="str">
        <f ca="1">IFERROR(__xludf.DUMMYFUNCTION("""COMPUTED_VALUE"""),"Elizabeth ")</f>
        <v>Elizabeth </v>
      </c>
      <c r="S1810" s="12">
        <f t="shared" si="63"/>
        <v>51700832</v>
      </c>
    </row>
    <row r="1811" spans="1:19" x14ac:dyDescent="0.3">
      <c r="A1811" s="2" t="s">
        <v>900</v>
      </c>
      <c r="B1811" s="2">
        <v>118</v>
      </c>
      <c r="C1811" s="3">
        <v>13208023</v>
      </c>
      <c r="D1811" s="3" t="s">
        <v>6275</v>
      </c>
      <c r="E1811" s="2" t="s">
        <v>2157</v>
      </c>
      <c r="F1811" s="2" t="s">
        <v>10</v>
      </c>
      <c r="G1811" s="2" t="s">
        <v>11</v>
      </c>
      <c r="H1811" s="2">
        <v>31000000</v>
      </c>
      <c r="I1811" s="2">
        <v>7.3</v>
      </c>
      <c r="J1811" s="3">
        <v>20991497</v>
      </c>
      <c r="K1811">
        <f t="shared" si="64"/>
        <v>1.3775047412552699E-3</v>
      </c>
      <c r="R1811" s="12" t="str">
        <f ca="1">IFERROR(__xludf.DUMMYFUNCTION("""COMPUTED_VALUE"""),"Bride of Chucky ")</f>
        <v>Bride of Chucky </v>
      </c>
      <c r="S1811" s="12">
        <f t="shared" si="63"/>
        <v>-537424</v>
      </c>
    </row>
    <row r="1812" spans="1:19" x14ac:dyDescent="0.3">
      <c r="A1812" s="2" t="s">
        <v>4858</v>
      </c>
      <c r="B1812" s="2">
        <v>92</v>
      </c>
      <c r="C1812" s="3">
        <v>38400000</v>
      </c>
      <c r="D1812" s="3" t="s">
        <v>6001</v>
      </c>
      <c r="E1812" s="2" t="s">
        <v>4859</v>
      </c>
      <c r="F1812" s="2" t="s">
        <v>10</v>
      </c>
      <c r="G1812" s="2" t="s">
        <v>11</v>
      </c>
      <c r="H1812" s="2">
        <v>3500000</v>
      </c>
      <c r="I1812" s="2">
        <v>6.8</v>
      </c>
      <c r="J1812" s="3">
        <v>20998709</v>
      </c>
      <c r="K1812">
        <f t="shared" si="64"/>
        <v>1.3775047412552699E-3</v>
      </c>
      <c r="R1812" s="12" t="str">
        <f ca="1">IFERROR(__xludf.DUMMYFUNCTION("""COMPUTED_VALUE"""),"Tora! Tora! Tora! ")</f>
        <v>Tora! Tora! Tora! </v>
      </c>
      <c r="S1812" s="12">
        <f t="shared" si="63"/>
        <v>70236296</v>
      </c>
    </row>
    <row r="1813" spans="1:19" x14ac:dyDescent="0.3">
      <c r="A1813" s="2" t="s">
        <v>5578</v>
      </c>
      <c r="B1813" s="2">
        <v>102</v>
      </c>
      <c r="C1813" s="3">
        <v>11433134</v>
      </c>
      <c r="D1813" s="3" t="s">
        <v>1703</v>
      </c>
      <c r="E1813" s="2" t="s">
        <v>5579</v>
      </c>
      <c r="F1813" s="2" t="s">
        <v>10</v>
      </c>
      <c r="G1813" s="2" t="s">
        <v>1845</v>
      </c>
      <c r="H1813" s="2">
        <v>300000</v>
      </c>
      <c r="I1813" s="2">
        <v>7.6</v>
      </c>
      <c r="J1813" s="3">
        <v>20999103</v>
      </c>
      <c r="K1813">
        <f t="shared" si="64"/>
        <v>1.3775047412552699E-3</v>
      </c>
      <c r="R1813" s="12" t="str">
        <f ca="1">IFERROR(__xludf.DUMMYFUNCTION("""COMPUTED_VALUE"""),"Spice World ")</f>
        <v>Spice World </v>
      </c>
      <c r="S1813" s="12">
        <f t="shared" si="63"/>
        <v>-40973029</v>
      </c>
    </row>
    <row r="1814" spans="1:19" x14ac:dyDescent="0.3">
      <c r="A1814" s="2" t="s">
        <v>1369</v>
      </c>
      <c r="B1814" s="2">
        <v>95</v>
      </c>
      <c r="C1814" s="3">
        <v>65173160</v>
      </c>
      <c r="D1814" s="3" t="s">
        <v>5849</v>
      </c>
      <c r="E1814" s="2" t="s">
        <v>4353</v>
      </c>
      <c r="F1814" s="2" t="s">
        <v>10</v>
      </c>
      <c r="G1814" s="2" t="s">
        <v>11</v>
      </c>
      <c r="H1814" s="2">
        <v>4000000</v>
      </c>
      <c r="I1814" s="2">
        <v>6.1</v>
      </c>
      <c r="J1814" s="3">
        <v>21000000</v>
      </c>
      <c r="K1814">
        <f t="shared" si="64"/>
        <v>1.3775047412552699E-3</v>
      </c>
      <c r="R1814" s="12" t="str">
        <f ca="1">IFERROR(__xludf.DUMMYFUNCTION("""COMPUTED_VALUE"""),"Dance Flick ")</f>
        <v>Dance Flick </v>
      </c>
      <c r="S1814" s="12">
        <f t="shared" si="63"/>
        <v>-50781132</v>
      </c>
    </row>
    <row r="1815" spans="1:19" x14ac:dyDescent="0.3">
      <c r="A1815" s="2" t="s">
        <v>1117</v>
      </c>
      <c r="B1815" s="2">
        <v>95</v>
      </c>
      <c r="C1815" s="3">
        <v>70496802</v>
      </c>
      <c r="D1815" s="3" t="s">
        <v>5973</v>
      </c>
      <c r="E1815" s="2" t="s">
        <v>1739</v>
      </c>
      <c r="F1815" s="2" t="s">
        <v>10</v>
      </c>
      <c r="G1815" s="2" t="s">
        <v>11</v>
      </c>
      <c r="H1815" s="2">
        <v>40000000</v>
      </c>
      <c r="I1815" s="2">
        <v>5.2</v>
      </c>
      <c r="J1815" s="3">
        <v>21005329</v>
      </c>
      <c r="K1815">
        <f t="shared" si="64"/>
        <v>1.3775047412552699E-3</v>
      </c>
      <c r="R1815" s="12" t="str">
        <f ca="1">IFERROR(__xludf.DUMMYFUNCTION("""COMPUTED_VALUE"""),"The Shawshank Redemption ")</f>
        <v>The Shawshank Redemption </v>
      </c>
      <c r="S1815" s="12">
        <f t="shared" si="63"/>
        <v>5616869</v>
      </c>
    </row>
    <row r="1816" spans="1:19" x14ac:dyDescent="0.3">
      <c r="A1816" s="2" t="s">
        <v>114</v>
      </c>
      <c r="B1816" s="2">
        <v>100</v>
      </c>
      <c r="C1816" s="3">
        <v>1346503</v>
      </c>
      <c r="D1816" s="3" t="s">
        <v>5849</v>
      </c>
      <c r="E1816" s="2" t="s">
        <v>163</v>
      </c>
      <c r="F1816" s="2" t="s">
        <v>10</v>
      </c>
      <c r="G1816" s="2" t="s">
        <v>11</v>
      </c>
      <c r="H1816" s="2">
        <v>165000000</v>
      </c>
      <c r="I1816" s="2">
        <v>6.6</v>
      </c>
      <c r="J1816" s="3">
        <v>21009180</v>
      </c>
      <c r="K1816">
        <f t="shared" si="64"/>
        <v>1.3775047412552699E-3</v>
      </c>
      <c r="R1816" s="12" t="str">
        <f ca="1">IFERROR(__xludf.DUMMYFUNCTION("""COMPUTED_VALUE"""),"Crocodile Dundee in Los Angeles ")</f>
        <v>Crocodile Dundee in Los Angeles </v>
      </c>
      <c r="S1816" s="12">
        <f t="shared" si="63"/>
        <v>-380827</v>
      </c>
    </row>
    <row r="1817" spans="1:19" x14ac:dyDescent="0.3">
      <c r="A1817" s="2" t="s">
        <v>4457</v>
      </c>
      <c r="B1817" s="2">
        <v>116</v>
      </c>
      <c r="C1817" s="2">
        <v>2268296</v>
      </c>
      <c r="D1817" s="3" t="s">
        <v>5951</v>
      </c>
      <c r="E1817" s="2" t="s">
        <v>4458</v>
      </c>
      <c r="F1817" s="2" t="s">
        <v>10</v>
      </c>
      <c r="G1817" s="2" t="s">
        <v>16</v>
      </c>
      <c r="H1817" s="2">
        <v>6500000</v>
      </c>
      <c r="I1817" s="2">
        <v>6.9</v>
      </c>
      <c r="J1817" s="3">
        <v>21078145</v>
      </c>
      <c r="K1817">
        <f t="shared" si="64"/>
        <v>1.3775047412552699E-3</v>
      </c>
      <c r="R1817" s="12" t="str">
        <f ca="1">IFERROR(__xludf.DUMMYFUNCTION("""COMPUTED_VALUE"""),"Kingpin ")</f>
        <v>Kingpin </v>
      </c>
      <c r="S1817" s="12">
        <f t="shared" ref="S1817:S1880" si="65">C1795-H1795</f>
        <v>-2299639</v>
      </c>
    </row>
    <row r="1818" spans="1:19" x14ac:dyDescent="0.3">
      <c r="A1818" s="2" t="s">
        <v>542</v>
      </c>
      <c r="B1818" s="2">
        <v>94</v>
      </c>
      <c r="C1818" s="3">
        <v>47000000</v>
      </c>
      <c r="D1818" s="3" t="s">
        <v>5818</v>
      </c>
      <c r="E1818" s="2" t="s">
        <v>1228</v>
      </c>
      <c r="F1818" s="2" t="s">
        <v>10</v>
      </c>
      <c r="G1818" s="2" t="s">
        <v>11</v>
      </c>
      <c r="H1818" s="2">
        <v>55000000</v>
      </c>
      <c r="I1818" s="2">
        <v>6</v>
      </c>
      <c r="J1818" s="3">
        <v>21088568</v>
      </c>
      <c r="K1818">
        <f t="shared" si="64"/>
        <v>1.3775047412552699E-3</v>
      </c>
      <c r="R1818" s="12" t="str">
        <f ca="1">IFERROR(__xludf.DUMMYFUNCTION("""COMPUTED_VALUE"""),"The Gambler ")</f>
        <v>The Gambler </v>
      </c>
      <c r="S1818" s="12">
        <f t="shared" si="65"/>
        <v>21536376</v>
      </c>
    </row>
    <row r="1819" spans="1:19" x14ac:dyDescent="0.3">
      <c r="A1819" s="2" t="s">
        <v>2655</v>
      </c>
      <c r="B1819" s="2">
        <v>105</v>
      </c>
      <c r="C1819" s="3">
        <v>18090181</v>
      </c>
      <c r="D1819" s="3" t="s">
        <v>6276</v>
      </c>
      <c r="E1819" s="2" t="s">
        <v>3341</v>
      </c>
      <c r="F1819" s="2" t="s">
        <v>10</v>
      </c>
      <c r="G1819" s="2" t="s">
        <v>11</v>
      </c>
      <c r="H1819" s="2">
        <v>20000000</v>
      </c>
      <c r="I1819" s="2">
        <v>5.2</v>
      </c>
      <c r="J1819" s="3">
        <v>21129348</v>
      </c>
      <c r="K1819">
        <f t="shared" si="64"/>
        <v>1.3775047412552699E-3</v>
      </c>
      <c r="R1819" s="12" t="str">
        <f ca="1">IFERROR(__xludf.DUMMYFUNCTION("""COMPUTED_VALUE"""),"August: Osage County ")</f>
        <v>August: Osage County </v>
      </c>
      <c r="S1819" s="12">
        <f t="shared" si="65"/>
        <v>30783504</v>
      </c>
    </row>
    <row r="1820" spans="1:19" x14ac:dyDescent="0.3">
      <c r="A1820" s="2" t="s">
        <v>1272</v>
      </c>
      <c r="B1820" s="2">
        <v>155</v>
      </c>
      <c r="C1820" s="3">
        <v>46815748</v>
      </c>
      <c r="D1820" s="3" t="s">
        <v>6163</v>
      </c>
      <c r="E1820" s="2" t="s">
        <v>1682</v>
      </c>
      <c r="F1820" s="2" t="s">
        <v>10</v>
      </c>
      <c r="G1820" s="2" t="s">
        <v>11</v>
      </c>
      <c r="H1820" s="2">
        <v>40000000</v>
      </c>
      <c r="I1820" s="2">
        <v>7.5</v>
      </c>
      <c r="J1820" s="3">
        <v>21133087</v>
      </c>
      <c r="K1820">
        <f t="shared" si="64"/>
        <v>1.3775047412552699E-3</v>
      </c>
      <c r="R1820" s="12" t="str">
        <f ca="1">IFERROR(__xludf.DUMMYFUNCTION("""COMPUTED_VALUE"""),"A Lot Like Love ")</f>
        <v>A Lot Like Love </v>
      </c>
      <c r="S1820" s="12">
        <f t="shared" si="65"/>
        <v>17814957</v>
      </c>
    </row>
    <row r="1821" spans="1:19" x14ac:dyDescent="0.3">
      <c r="A1821" s="2" t="s">
        <v>4659</v>
      </c>
      <c r="B1821" s="2">
        <v>86</v>
      </c>
      <c r="C1821" s="3">
        <v>11144518</v>
      </c>
      <c r="D1821" s="3" t="s">
        <v>885</v>
      </c>
      <c r="E1821" s="2" t="s">
        <v>5001</v>
      </c>
      <c r="F1821" s="2" t="s">
        <v>10</v>
      </c>
      <c r="G1821" s="2" t="s">
        <v>11</v>
      </c>
      <c r="H1821" s="2">
        <v>2500000</v>
      </c>
      <c r="I1821" s="2">
        <v>5.0999999999999996</v>
      </c>
      <c r="J1821" s="3">
        <v>21176322</v>
      </c>
      <c r="K1821">
        <f t="shared" si="64"/>
        <v>1.3775047412552699E-3</v>
      </c>
      <c r="R1821" s="12" t="str">
        <f ca="1">IFERROR(__xludf.DUMMYFUNCTION("""COMPUTED_VALUE"""),"Eddie the Eagle ")</f>
        <v>Eddie the Eagle </v>
      </c>
      <c r="S1821" s="12">
        <f t="shared" si="65"/>
        <v>67086030</v>
      </c>
    </row>
    <row r="1822" spans="1:19" x14ac:dyDescent="0.3">
      <c r="A1822" s="2" t="s">
        <v>5082</v>
      </c>
      <c r="B1822" s="2">
        <v>96</v>
      </c>
      <c r="C1822" s="3">
        <v>77324422</v>
      </c>
      <c r="D1822" s="3" t="s">
        <v>6026</v>
      </c>
      <c r="E1822" s="2" t="s">
        <v>5083</v>
      </c>
      <c r="F1822" s="2" t="s">
        <v>10</v>
      </c>
      <c r="G1822" s="2" t="s">
        <v>16</v>
      </c>
      <c r="H1822" s="2">
        <v>2000000</v>
      </c>
      <c r="I1822" s="2">
        <v>6.1</v>
      </c>
      <c r="J1822" s="3">
        <v>21197315</v>
      </c>
      <c r="K1822">
        <f t="shared" si="64"/>
        <v>1.3775047412552699E-3</v>
      </c>
      <c r="R1822" s="12" t="str">
        <f ca="1">IFERROR(__xludf.DUMMYFUNCTION("""COMPUTED_VALUE"""),"He Got Game ")</f>
        <v>He Got Game </v>
      </c>
      <c r="S1822" s="12">
        <f t="shared" si="65"/>
        <v>-14223938</v>
      </c>
    </row>
    <row r="1823" spans="1:19" x14ac:dyDescent="0.3">
      <c r="A1823" s="2" t="s">
        <v>108</v>
      </c>
      <c r="B1823" s="2">
        <v>122</v>
      </c>
      <c r="C1823" s="3">
        <v>29997095</v>
      </c>
      <c r="D1823" s="3" t="s">
        <v>6277</v>
      </c>
      <c r="E1823" s="2" t="s">
        <v>109</v>
      </c>
      <c r="F1823" s="2" t="s">
        <v>10</v>
      </c>
      <c r="G1823" s="2" t="s">
        <v>11</v>
      </c>
      <c r="H1823" s="2">
        <v>185000000</v>
      </c>
      <c r="I1823" s="2">
        <v>7.5</v>
      </c>
      <c r="J1823" s="3">
        <v>21200000</v>
      </c>
      <c r="K1823">
        <f t="shared" si="64"/>
        <v>1.3775047412552699E-3</v>
      </c>
      <c r="R1823" s="12" t="str">
        <f ca="1">IFERROR(__xludf.DUMMYFUNCTION("""COMPUTED_VALUE"""),"Don Juan DeMarco ")</f>
        <v>Don Juan DeMarco </v>
      </c>
      <c r="S1823" s="12">
        <f t="shared" si="65"/>
        <v>73906114</v>
      </c>
    </row>
    <row r="1824" spans="1:19" x14ac:dyDescent="0.3">
      <c r="A1824" s="2" t="s">
        <v>2097</v>
      </c>
      <c r="B1824" s="2">
        <v>94</v>
      </c>
      <c r="C1824" s="3">
        <v>95328937</v>
      </c>
      <c r="D1824" s="3" t="s">
        <v>5865</v>
      </c>
      <c r="E1824" s="2" t="s">
        <v>2098</v>
      </c>
      <c r="F1824" s="2" t="s">
        <v>10</v>
      </c>
      <c r="G1824" s="2" t="s">
        <v>11</v>
      </c>
      <c r="H1824" s="2">
        <v>30000000</v>
      </c>
      <c r="I1824" s="2">
        <v>6.5</v>
      </c>
      <c r="J1824" s="3">
        <v>21244913</v>
      </c>
      <c r="K1824">
        <f t="shared" si="64"/>
        <v>1.3775047412552699E-3</v>
      </c>
      <c r="R1824" s="12" t="str">
        <f ca="1">IFERROR(__xludf.DUMMYFUNCTION("""COMPUTED_VALUE"""),"Dear John ")</f>
        <v>Dear John </v>
      </c>
      <c r="S1824" s="12">
        <f t="shared" si="65"/>
        <v>125269345</v>
      </c>
    </row>
    <row r="1825" spans="1:19" x14ac:dyDescent="0.3">
      <c r="A1825" s="2" t="s">
        <v>376</v>
      </c>
      <c r="B1825" s="2">
        <v>138</v>
      </c>
      <c r="C1825" s="3">
        <v>6543194</v>
      </c>
      <c r="D1825" s="3" t="s">
        <v>6134</v>
      </c>
      <c r="E1825" s="2" t="s">
        <v>383</v>
      </c>
      <c r="F1825" s="2" t="s">
        <v>10</v>
      </c>
      <c r="G1825" s="2" t="s">
        <v>11</v>
      </c>
      <c r="H1825" s="2">
        <v>120000000</v>
      </c>
      <c r="I1825" s="2">
        <v>6.7</v>
      </c>
      <c r="J1825" s="3">
        <v>21283440</v>
      </c>
      <c r="K1825">
        <f t="shared" si="64"/>
        <v>1.3775047412552699E-3</v>
      </c>
      <c r="R1825" s="12" t="str">
        <f ca="1">IFERROR(__xludf.DUMMYFUNCTION("""COMPUTED_VALUE"""),"The Losers ")</f>
        <v>The Losers </v>
      </c>
      <c r="S1825" s="12">
        <f t="shared" si="65"/>
        <v>25613606</v>
      </c>
    </row>
    <row r="1826" spans="1:19" x14ac:dyDescent="0.3">
      <c r="A1826" s="2" t="s">
        <v>4243</v>
      </c>
      <c r="B1826" s="2">
        <v>95</v>
      </c>
      <c r="C1826" s="3">
        <v>107225164</v>
      </c>
      <c r="D1826" s="3" t="s">
        <v>5931</v>
      </c>
      <c r="E1826" s="2" t="s">
        <v>4244</v>
      </c>
      <c r="F1826" s="2" t="s">
        <v>10</v>
      </c>
      <c r="G1826" s="2" t="s">
        <v>11</v>
      </c>
      <c r="H1826" s="2">
        <v>8000000</v>
      </c>
      <c r="I1826" s="2">
        <v>3.5</v>
      </c>
      <c r="J1826" s="3">
        <v>21300000</v>
      </c>
      <c r="K1826">
        <f t="shared" si="64"/>
        <v>1.3775047412552699E-3</v>
      </c>
      <c r="R1826" s="12" t="str">
        <f ca="1">IFERROR(__xludf.DUMMYFUNCTION("""COMPUTED_VALUE"""),"Don't Be Afraid of the Dark ")</f>
        <v>Don't Be Afraid of the Dark </v>
      </c>
      <c r="S1826" s="12">
        <f t="shared" si="65"/>
        <v>45300000</v>
      </c>
    </row>
    <row r="1827" spans="1:19" x14ac:dyDescent="0.3">
      <c r="A1827" s="2" t="s">
        <v>3080</v>
      </c>
      <c r="B1827" s="2">
        <v>101</v>
      </c>
      <c r="C1827" s="3">
        <v>50024083</v>
      </c>
      <c r="D1827" s="3" t="s">
        <v>6026</v>
      </c>
      <c r="E1827" s="2" t="s">
        <v>3081</v>
      </c>
      <c r="F1827" s="2" t="s">
        <v>10</v>
      </c>
      <c r="G1827" s="2" t="s">
        <v>11</v>
      </c>
      <c r="H1827" s="3">
        <v>56702901</v>
      </c>
      <c r="I1827" s="2">
        <v>6.2</v>
      </c>
      <c r="J1827" s="3">
        <v>21370057</v>
      </c>
      <c r="K1827">
        <f t="shared" si="64"/>
        <v>1.3775047412552699E-3</v>
      </c>
      <c r="R1827" s="12" t="str">
        <f ca="1">IFERROR(__xludf.DUMMYFUNCTION("""COMPUTED_VALUE"""),"War ")</f>
        <v>War </v>
      </c>
      <c r="S1827" s="12">
        <f t="shared" si="65"/>
        <v>10950820</v>
      </c>
    </row>
    <row r="1828" spans="1:19" x14ac:dyDescent="0.3">
      <c r="A1828" s="2" t="s">
        <v>2726</v>
      </c>
      <c r="B1828" s="2">
        <v>120</v>
      </c>
      <c r="C1828" s="3">
        <v>52885587</v>
      </c>
      <c r="D1828" s="3" t="s">
        <v>6278</v>
      </c>
      <c r="E1828" s="2" t="s">
        <v>2727</v>
      </c>
      <c r="F1828" s="2" t="s">
        <v>10</v>
      </c>
      <c r="G1828" s="2" t="s">
        <v>16</v>
      </c>
      <c r="H1828" s="2">
        <v>24000000</v>
      </c>
      <c r="I1828" s="2">
        <v>5.0999999999999996</v>
      </c>
      <c r="J1828" s="3">
        <v>21371425</v>
      </c>
      <c r="K1828">
        <f t="shared" si="64"/>
        <v>1.3775047412552699E-3</v>
      </c>
      <c r="R1828" s="12" t="str">
        <f ca="1">IFERROR(__xludf.DUMMYFUNCTION("""COMPUTED_VALUE"""),"Punch-Drunk Love ")</f>
        <v>Punch-Drunk Love </v>
      </c>
      <c r="S1828" s="12">
        <f t="shared" si="65"/>
        <v>-50905549</v>
      </c>
    </row>
    <row r="1829" spans="1:19" x14ac:dyDescent="0.3">
      <c r="A1829" s="2" t="s">
        <v>3214</v>
      </c>
      <c r="B1829" s="2">
        <v>127</v>
      </c>
      <c r="C1829" s="3">
        <v>33386128</v>
      </c>
      <c r="D1829" s="3" t="s">
        <v>5898</v>
      </c>
      <c r="E1829" s="2" t="s">
        <v>4158</v>
      </c>
      <c r="F1829" s="2" t="s">
        <v>751</v>
      </c>
      <c r="G1829" s="2" t="s">
        <v>504</v>
      </c>
      <c r="H1829" s="2">
        <v>8900000</v>
      </c>
      <c r="I1829" s="2">
        <v>7.9</v>
      </c>
      <c r="J1829" s="3">
        <v>21378000</v>
      </c>
      <c r="K1829">
        <f t="shared" si="64"/>
        <v>1.3775047412552699E-3</v>
      </c>
      <c r="R1829" s="12" t="str">
        <f ca="1">IFERROR(__xludf.DUMMYFUNCTION("""COMPUTED_VALUE"""),"EuroTrip ")</f>
        <v>EuroTrip </v>
      </c>
      <c r="S1829" s="12">
        <f t="shared" si="65"/>
        <v>28975979</v>
      </c>
    </row>
    <row r="1830" spans="1:19" x14ac:dyDescent="0.3">
      <c r="A1830" s="2" t="s">
        <v>1628</v>
      </c>
      <c r="B1830" s="2">
        <v>119</v>
      </c>
      <c r="C1830" s="3">
        <v>63260</v>
      </c>
      <c r="D1830" s="3" t="s">
        <v>6004</v>
      </c>
      <c r="E1830" s="2" t="s">
        <v>1629</v>
      </c>
      <c r="F1830" s="2" t="s">
        <v>10</v>
      </c>
      <c r="G1830" s="2" t="s">
        <v>11</v>
      </c>
      <c r="H1830" s="2">
        <v>32000000</v>
      </c>
      <c r="I1830" s="2">
        <v>6.5</v>
      </c>
      <c r="J1830" s="3">
        <v>21379315</v>
      </c>
      <c r="K1830">
        <f t="shared" si="64"/>
        <v>1.3775047412552699E-3</v>
      </c>
      <c r="R1830" s="12" t="str">
        <f ca="1">IFERROR(__xludf.DUMMYFUNCTION("""COMPUTED_VALUE"""),"Half Past Dead ")</f>
        <v>Half Past Dead </v>
      </c>
      <c r="S1830" s="12">
        <f t="shared" si="65"/>
        <v>29017</v>
      </c>
    </row>
    <row r="1831" spans="1:19" x14ac:dyDescent="0.3">
      <c r="A1831" s="2" t="s">
        <v>922</v>
      </c>
      <c r="B1831" s="2">
        <v>113</v>
      </c>
      <c r="C1831" s="3">
        <v>38553833</v>
      </c>
      <c r="D1831" s="3" t="s">
        <v>6279</v>
      </c>
      <c r="E1831" s="2" t="s">
        <v>2245</v>
      </c>
      <c r="F1831" s="2" t="s">
        <v>10</v>
      </c>
      <c r="G1831" s="2" t="s">
        <v>11</v>
      </c>
      <c r="H1831" s="2">
        <v>32000000</v>
      </c>
      <c r="I1831" s="2">
        <v>6.6</v>
      </c>
      <c r="J1831" s="3">
        <v>21383298</v>
      </c>
      <c r="K1831">
        <f t="shared" si="64"/>
        <v>1.3775047412552699E-3</v>
      </c>
      <c r="R1831" s="12" t="str">
        <f ca="1">IFERROR(__xludf.DUMMYFUNCTION("""COMPUTED_VALUE"""),"Unaccompanied Minors ")</f>
        <v>Unaccompanied Minors </v>
      </c>
      <c r="S1831" s="12">
        <f t="shared" si="65"/>
        <v>15720716</v>
      </c>
    </row>
    <row r="1832" spans="1:19" x14ac:dyDescent="0.3">
      <c r="A1832" s="2" t="s">
        <v>341</v>
      </c>
      <c r="B1832" s="2">
        <v>128</v>
      </c>
      <c r="C1832" s="3">
        <v>29802761</v>
      </c>
      <c r="D1832" s="3" t="s">
        <v>5892</v>
      </c>
      <c r="E1832" s="2" t="s">
        <v>569</v>
      </c>
      <c r="F1832" s="2" t="s">
        <v>10</v>
      </c>
      <c r="G1832" s="2" t="s">
        <v>11</v>
      </c>
      <c r="H1832" s="2">
        <v>90000000</v>
      </c>
      <c r="I1832" s="2">
        <v>7.6</v>
      </c>
      <c r="J1832" s="3">
        <v>21413105</v>
      </c>
      <c r="K1832">
        <f t="shared" si="64"/>
        <v>1.3775047412552699E-3</v>
      </c>
      <c r="R1832" s="12" t="str">
        <f ca="1">IFERROR(__xludf.DUMMYFUNCTION("""COMPUTED_VALUE"""),"Bright Lights, Big City ")</f>
        <v>Bright Lights, Big City </v>
      </c>
      <c r="S1832" s="12">
        <f t="shared" si="65"/>
        <v>-5665355</v>
      </c>
    </row>
    <row r="1833" spans="1:19" x14ac:dyDescent="0.3">
      <c r="A1833" s="2" t="s">
        <v>501</v>
      </c>
      <c r="B1833" s="2">
        <v>95</v>
      </c>
      <c r="C1833" s="3">
        <v>6755271</v>
      </c>
      <c r="D1833" s="3" t="s">
        <v>6163</v>
      </c>
      <c r="E1833" s="2" t="s">
        <v>502</v>
      </c>
      <c r="F1833" s="2" t="s">
        <v>10</v>
      </c>
      <c r="G1833" s="2" t="s">
        <v>11</v>
      </c>
      <c r="H1833" s="2">
        <v>100000000</v>
      </c>
      <c r="I1833" s="2">
        <v>3.8</v>
      </c>
      <c r="J1833" s="3">
        <v>21413502</v>
      </c>
      <c r="K1833">
        <f t="shared" si="64"/>
        <v>1.3775047412552699E-3</v>
      </c>
      <c r="R1833" s="12" t="str">
        <f ca="1">IFERROR(__xludf.DUMMYFUNCTION("""COMPUTED_VALUE"""),"The Adventures of Pinocchio ")</f>
        <v>The Adventures of Pinocchio </v>
      </c>
      <c r="S1833" s="12">
        <f t="shared" si="65"/>
        <v>-17791977</v>
      </c>
    </row>
    <row r="1834" spans="1:19" x14ac:dyDescent="0.3">
      <c r="A1834" s="2" t="s">
        <v>3851</v>
      </c>
      <c r="B1834" s="2">
        <v>172</v>
      </c>
      <c r="C1834" s="3">
        <v>15294553</v>
      </c>
      <c r="D1834" s="3" t="s">
        <v>5849</v>
      </c>
      <c r="E1834" s="2" t="s">
        <v>3852</v>
      </c>
      <c r="F1834" s="2" t="s">
        <v>2623</v>
      </c>
      <c r="G1834" s="2" t="s">
        <v>2336</v>
      </c>
      <c r="H1834" s="2">
        <v>9200000</v>
      </c>
      <c r="I1834" s="2">
        <v>7.7</v>
      </c>
      <c r="J1834" s="3">
        <v>21426805</v>
      </c>
      <c r="K1834">
        <f t="shared" si="64"/>
        <v>1.3775047412552699E-3</v>
      </c>
      <c r="R1834" s="12" t="str">
        <f ca="1">IFERROR(__xludf.DUMMYFUNCTION("""COMPUTED_VALUE"""),"The Box ")</f>
        <v>The Box </v>
      </c>
      <c r="S1834" s="12">
        <f t="shared" si="65"/>
        <v>34900000</v>
      </c>
    </row>
    <row r="1835" spans="1:19" x14ac:dyDescent="0.3">
      <c r="A1835" s="2" t="s">
        <v>4697</v>
      </c>
      <c r="B1835" s="2">
        <v>90</v>
      </c>
      <c r="C1835" s="3">
        <v>38432823</v>
      </c>
      <c r="D1835" s="3" t="s">
        <v>5813</v>
      </c>
      <c r="E1835" s="2" t="s">
        <v>5544</v>
      </c>
      <c r="F1835" s="2" t="s">
        <v>10</v>
      </c>
      <c r="G1835" s="2" t="s">
        <v>11</v>
      </c>
      <c r="H1835" s="2">
        <v>1066167</v>
      </c>
      <c r="I1835" s="2">
        <v>7.1</v>
      </c>
      <c r="J1835" s="3">
        <v>21468807</v>
      </c>
      <c r="K1835">
        <f t="shared" si="64"/>
        <v>1.3775047412552699E-3</v>
      </c>
      <c r="R1835" s="12" t="str">
        <f ca="1">IFERROR(__xludf.DUMMYFUNCTION("""COMPUTED_VALUE"""),"The Ruins ")</f>
        <v>The Ruins </v>
      </c>
      <c r="S1835" s="12">
        <f t="shared" si="65"/>
        <v>11133134</v>
      </c>
    </row>
    <row r="1836" spans="1:19" x14ac:dyDescent="0.3">
      <c r="A1836" s="2" t="s">
        <v>1313</v>
      </c>
      <c r="B1836" s="2">
        <v>90</v>
      </c>
      <c r="C1836" s="3">
        <v>1028658</v>
      </c>
      <c r="D1836" s="3" t="s">
        <v>5940</v>
      </c>
      <c r="E1836" s="2" t="s">
        <v>2176</v>
      </c>
      <c r="F1836" s="2" t="s">
        <v>10</v>
      </c>
      <c r="G1836" s="2" t="s">
        <v>11</v>
      </c>
      <c r="H1836" s="2">
        <v>30000000</v>
      </c>
      <c r="I1836" s="2">
        <v>6.3</v>
      </c>
      <c r="J1836" s="3">
        <v>21471685</v>
      </c>
      <c r="K1836">
        <f t="shared" si="64"/>
        <v>1.3775047412552699E-3</v>
      </c>
      <c r="R1836" s="12" t="str">
        <f ca="1">IFERROR(__xludf.DUMMYFUNCTION("""COMPUTED_VALUE"""),"The Next Best Thing ")</f>
        <v>The Next Best Thing </v>
      </c>
      <c r="S1836" s="12">
        <f t="shared" si="65"/>
        <v>61173160</v>
      </c>
    </row>
    <row r="1837" spans="1:19" x14ac:dyDescent="0.3">
      <c r="A1837" s="2" t="s">
        <v>401</v>
      </c>
      <c r="B1837" s="2">
        <v>125</v>
      </c>
      <c r="C1837" s="3">
        <v>32453345</v>
      </c>
      <c r="D1837" s="3" t="s">
        <v>5778</v>
      </c>
      <c r="E1837" s="2" t="s">
        <v>3073</v>
      </c>
      <c r="F1837" s="2" t="s">
        <v>10</v>
      </c>
      <c r="G1837" s="2" t="s">
        <v>98</v>
      </c>
      <c r="H1837" s="2">
        <v>40000000</v>
      </c>
      <c r="I1837" s="2">
        <v>7.1</v>
      </c>
      <c r="J1837" s="3">
        <v>21483154</v>
      </c>
      <c r="K1837">
        <f t="shared" si="64"/>
        <v>1.3775047412552699E-3</v>
      </c>
      <c r="R1837" s="12" t="str">
        <f ca="1">IFERROR(__xludf.DUMMYFUNCTION("""COMPUTED_VALUE"""),"My Soul to Take ")</f>
        <v>My Soul to Take </v>
      </c>
      <c r="S1837" s="12">
        <f t="shared" si="65"/>
        <v>30496802</v>
      </c>
    </row>
    <row r="1838" spans="1:19" x14ac:dyDescent="0.3">
      <c r="A1838" s="2" t="s">
        <v>4315</v>
      </c>
      <c r="B1838" s="2">
        <v>90</v>
      </c>
      <c r="C1838" s="3">
        <v>20550712</v>
      </c>
      <c r="D1838" s="3" t="s">
        <v>6181</v>
      </c>
      <c r="E1838" s="2" t="s">
        <v>4316</v>
      </c>
      <c r="F1838" s="2" t="s">
        <v>10</v>
      </c>
      <c r="G1838" s="2" t="s">
        <v>98</v>
      </c>
      <c r="H1838" s="2">
        <v>10000000</v>
      </c>
      <c r="I1838" s="2">
        <v>6.5</v>
      </c>
      <c r="J1838" s="3">
        <v>21500000</v>
      </c>
      <c r="K1838">
        <f t="shared" si="64"/>
        <v>1.3775047412552699E-3</v>
      </c>
      <c r="R1838" s="12" t="str">
        <f ca="1">IFERROR(__xludf.DUMMYFUNCTION("""COMPUTED_VALUE"""),"The Girl Next Door ")</f>
        <v>The Girl Next Door </v>
      </c>
      <c r="S1838" s="12">
        <f t="shared" si="65"/>
        <v>-163653497</v>
      </c>
    </row>
    <row r="1839" spans="1:19" x14ac:dyDescent="0.3">
      <c r="A1839" s="2" t="s">
        <v>519</v>
      </c>
      <c r="B1839" s="2">
        <v>95</v>
      </c>
      <c r="C1839" s="3">
        <v>76806312</v>
      </c>
      <c r="D1839" s="3" t="s">
        <v>6015</v>
      </c>
      <c r="E1839" s="2" t="s">
        <v>1934</v>
      </c>
      <c r="F1839" s="2" t="s">
        <v>10</v>
      </c>
      <c r="G1839" s="2" t="s">
        <v>11</v>
      </c>
      <c r="H1839" s="2">
        <v>33000000</v>
      </c>
      <c r="I1839" s="2">
        <v>6.6</v>
      </c>
      <c r="J1839" s="3">
        <v>21501098</v>
      </c>
      <c r="K1839">
        <f t="shared" si="64"/>
        <v>1.3775047412552699E-3</v>
      </c>
      <c r="R1839" s="12" t="str">
        <f ca="1">IFERROR(__xludf.DUMMYFUNCTION("""COMPUTED_VALUE"""),"Maximum Risk ")</f>
        <v>Maximum Risk </v>
      </c>
      <c r="S1839" s="12">
        <f t="shared" si="65"/>
        <v>-4231704</v>
      </c>
    </row>
    <row r="1840" spans="1:19" x14ac:dyDescent="0.3">
      <c r="A1840" s="2" t="s">
        <v>371</v>
      </c>
      <c r="B1840" s="2">
        <v>117</v>
      </c>
      <c r="C1840" s="3">
        <v>23225911</v>
      </c>
      <c r="D1840" s="3" t="s">
        <v>5869</v>
      </c>
      <c r="E1840" s="2" t="s">
        <v>372</v>
      </c>
      <c r="F1840" s="2" t="s">
        <v>10</v>
      </c>
      <c r="G1840" s="2" t="s">
        <v>11</v>
      </c>
      <c r="H1840" s="2">
        <v>100000000</v>
      </c>
      <c r="I1840" s="2">
        <v>6.2</v>
      </c>
      <c r="J1840" s="3">
        <v>21554585</v>
      </c>
      <c r="K1840">
        <f t="shared" si="64"/>
        <v>1.3775047412552699E-3</v>
      </c>
      <c r="R1840" s="12" t="str">
        <f ca="1">IFERROR(__xludf.DUMMYFUNCTION("""COMPUTED_VALUE"""),"Stealing Harvard ")</f>
        <v>Stealing Harvard </v>
      </c>
      <c r="S1840" s="12">
        <f t="shared" si="65"/>
        <v>-8000000</v>
      </c>
    </row>
    <row r="1841" spans="1:19" x14ac:dyDescent="0.3">
      <c r="A1841" s="2" t="s">
        <v>2621</v>
      </c>
      <c r="B1841" s="2">
        <v>90</v>
      </c>
      <c r="C1841" s="3">
        <v>6531491</v>
      </c>
      <c r="D1841" s="3" t="s">
        <v>5865</v>
      </c>
      <c r="E1841" s="2" t="s">
        <v>2622</v>
      </c>
      <c r="F1841" s="2" t="s">
        <v>2623</v>
      </c>
      <c r="G1841" s="2" t="s">
        <v>16</v>
      </c>
      <c r="H1841" s="2">
        <v>25000000</v>
      </c>
      <c r="I1841" s="2">
        <v>5.3</v>
      </c>
      <c r="J1841" s="3">
        <v>21557240</v>
      </c>
      <c r="K1841">
        <f t="shared" si="64"/>
        <v>1.3775047412552699E-3</v>
      </c>
      <c r="R1841" s="12" t="str">
        <f ca="1">IFERROR(__xludf.DUMMYFUNCTION("""COMPUTED_VALUE"""),"Legend ")</f>
        <v>Legend </v>
      </c>
      <c r="S1841" s="12">
        <f t="shared" si="65"/>
        <v>-1909819</v>
      </c>
    </row>
    <row r="1842" spans="1:19" x14ac:dyDescent="0.3">
      <c r="A1842" s="2" t="s">
        <v>477</v>
      </c>
      <c r="B1842" s="2">
        <v>103</v>
      </c>
      <c r="C1842" s="3">
        <v>59365105</v>
      </c>
      <c r="D1842" s="3" t="s">
        <v>5890</v>
      </c>
      <c r="E1842" s="2" t="s">
        <v>478</v>
      </c>
      <c r="F1842" s="2" t="s">
        <v>10</v>
      </c>
      <c r="G1842" s="2" t="s">
        <v>11</v>
      </c>
      <c r="H1842" s="2">
        <v>100000000</v>
      </c>
      <c r="I1842" s="2">
        <v>6</v>
      </c>
      <c r="J1842" s="3">
        <v>21564616</v>
      </c>
      <c r="K1842">
        <f t="shared" si="64"/>
        <v>1.3775047412552699E-3</v>
      </c>
      <c r="R1842" s="12" t="str">
        <f ca="1">IFERROR(__xludf.DUMMYFUNCTION("""COMPUTED_VALUE"""),"Shark Night 3D ")</f>
        <v>Shark Night 3D </v>
      </c>
      <c r="S1842" s="12">
        <f t="shared" si="65"/>
        <v>6815748</v>
      </c>
    </row>
    <row r="1843" spans="1:19" x14ac:dyDescent="0.3">
      <c r="A1843" s="2" t="s">
        <v>290</v>
      </c>
      <c r="B1843" s="2">
        <v>112</v>
      </c>
      <c r="C1843" s="3">
        <v>54557348</v>
      </c>
      <c r="D1843" s="3" t="s">
        <v>5818</v>
      </c>
      <c r="E1843" s="2" t="s">
        <v>3775</v>
      </c>
      <c r="F1843" s="2" t="s">
        <v>10</v>
      </c>
      <c r="G1843" s="2" t="s">
        <v>11</v>
      </c>
      <c r="H1843" s="2">
        <v>12000000</v>
      </c>
      <c r="I1843" s="2">
        <v>7.4</v>
      </c>
      <c r="J1843" s="3">
        <v>21569041</v>
      </c>
      <c r="K1843">
        <f t="shared" si="64"/>
        <v>1.3775047412552699E-3</v>
      </c>
      <c r="R1843" s="12" t="str">
        <f ca="1">IFERROR(__xludf.DUMMYFUNCTION("""COMPUTED_VALUE"""),"Angela's Ashes ")</f>
        <v>Angela's Ashes </v>
      </c>
      <c r="S1843" s="12">
        <f t="shared" si="65"/>
        <v>8644518</v>
      </c>
    </row>
    <row r="1844" spans="1:19" x14ac:dyDescent="0.3">
      <c r="A1844" s="2" t="s">
        <v>1000</v>
      </c>
      <c r="B1844" s="2">
        <v>103</v>
      </c>
      <c r="C1844" s="3">
        <v>53300852</v>
      </c>
      <c r="D1844" s="3" t="s">
        <v>5919</v>
      </c>
      <c r="E1844" s="2" t="s">
        <v>1159</v>
      </c>
      <c r="F1844" s="2" t="s">
        <v>10</v>
      </c>
      <c r="G1844" s="2" t="s">
        <v>11</v>
      </c>
      <c r="H1844" s="2">
        <v>60000000</v>
      </c>
      <c r="I1844" s="2">
        <v>4.8</v>
      </c>
      <c r="J1844" s="3">
        <v>21589307</v>
      </c>
      <c r="K1844">
        <f t="shared" si="64"/>
        <v>1.3775047412552699E-3</v>
      </c>
      <c r="R1844" s="12" t="str">
        <f ca="1">IFERROR(__xludf.DUMMYFUNCTION("""COMPUTED_VALUE"""),"Draft Day ")</f>
        <v>Draft Day </v>
      </c>
      <c r="S1844" s="12">
        <f t="shared" si="65"/>
        <v>75324422</v>
      </c>
    </row>
    <row r="1845" spans="1:19" x14ac:dyDescent="0.3">
      <c r="A1845" s="2" t="s">
        <v>4747</v>
      </c>
      <c r="B1845" s="2">
        <v>110</v>
      </c>
      <c r="C1845" s="3">
        <v>15785632</v>
      </c>
      <c r="D1845" s="3" t="s">
        <v>6280</v>
      </c>
      <c r="E1845" s="2" t="s">
        <v>4748</v>
      </c>
      <c r="F1845" s="2" t="s">
        <v>1933</v>
      </c>
      <c r="G1845" s="2" t="s">
        <v>1008</v>
      </c>
      <c r="H1845" s="2">
        <v>35000000</v>
      </c>
      <c r="I1845" s="2">
        <v>7.3</v>
      </c>
      <c r="J1845" s="3">
        <v>21784432</v>
      </c>
      <c r="K1845">
        <f t="shared" si="64"/>
        <v>1.3775047412552699E-3</v>
      </c>
      <c r="R1845" s="12" t="str">
        <f ca="1">IFERROR(__xludf.DUMMYFUNCTION("""COMPUTED_VALUE"""),"The Conspirator ")</f>
        <v>The Conspirator </v>
      </c>
      <c r="S1845" s="12">
        <f t="shared" si="65"/>
        <v>-155002905</v>
      </c>
    </row>
    <row r="1846" spans="1:19" x14ac:dyDescent="0.3">
      <c r="A1846" s="2" t="s">
        <v>5261</v>
      </c>
      <c r="B1846" s="2">
        <v>88</v>
      </c>
      <c r="C1846" s="3">
        <v>18081626</v>
      </c>
      <c r="D1846" s="3" t="s">
        <v>5913</v>
      </c>
      <c r="E1846" s="2" t="s">
        <v>5262</v>
      </c>
      <c r="F1846" s="2" t="s">
        <v>10</v>
      </c>
      <c r="G1846" s="2" t="s">
        <v>11</v>
      </c>
      <c r="H1846" s="2">
        <v>1200000</v>
      </c>
      <c r="I1846" s="2">
        <v>6.1</v>
      </c>
      <c r="J1846" s="3">
        <v>21800302</v>
      </c>
      <c r="K1846">
        <f t="shared" si="64"/>
        <v>1.3775047412552699E-3</v>
      </c>
      <c r="R1846" s="12" t="str">
        <f ca="1">IFERROR(__xludf.DUMMYFUNCTION("""COMPUTED_VALUE"""),"Lords of Dogtown ")</f>
        <v>Lords of Dogtown </v>
      </c>
      <c r="S1846" s="12">
        <f t="shared" si="65"/>
        <v>65328937</v>
      </c>
    </row>
    <row r="1847" spans="1:19" x14ac:dyDescent="0.3">
      <c r="A1847" s="2" t="s">
        <v>1633</v>
      </c>
      <c r="B1847" s="2">
        <v>100</v>
      </c>
      <c r="C1847" s="3">
        <v>23219748</v>
      </c>
      <c r="D1847" s="3" t="s">
        <v>5865</v>
      </c>
      <c r="E1847" s="2" t="s">
        <v>5077</v>
      </c>
      <c r="F1847" s="2" t="s">
        <v>10</v>
      </c>
      <c r="G1847" s="2" t="s">
        <v>11</v>
      </c>
      <c r="H1847" s="2">
        <v>1500000</v>
      </c>
      <c r="I1847" s="2">
        <v>6.8</v>
      </c>
      <c r="J1847" s="3">
        <v>21835784</v>
      </c>
      <c r="K1847">
        <f t="shared" si="64"/>
        <v>1.3775047412552699E-3</v>
      </c>
      <c r="R1847" s="12" t="str">
        <f ca="1">IFERROR(__xludf.DUMMYFUNCTION("""COMPUTED_VALUE"""),"The 33 ")</f>
        <v>The 33 </v>
      </c>
      <c r="S1847" s="12">
        <f t="shared" si="65"/>
        <v>-113456806</v>
      </c>
    </row>
    <row r="1848" spans="1:19" x14ac:dyDescent="0.3">
      <c r="A1848" s="2" t="s">
        <v>1697</v>
      </c>
      <c r="B1848" s="2">
        <v>86</v>
      </c>
      <c r="C1848" s="3">
        <v>25615792</v>
      </c>
      <c r="D1848" s="3" t="s">
        <v>885</v>
      </c>
      <c r="E1848" s="2" t="s">
        <v>3420</v>
      </c>
      <c r="F1848" s="2" t="s">
        <v>10</v>
      </c>
      <c r="G1848" s="2" t="s">
        <v>11</v>
      </c>
      <c r="H1848" s="2">
        <v>16000000</v>
      </c>
      <c r="I1848" s="2">
        <v>5.0999999999999996</v>
      </c>
      <c r="J1848" s="3">
        <v>21973182</v>
      </c>
      <c r="K1848">
        <f t="shared" si="64"/>
        <v>1.3775047412552699E-3</v>
      </c>
      <c r="R1848" s="12" t="str">
        <f ca="1">IFERROR(__xludf.DUMMYFUNCTION("""COMPUTED_VALUE"""),"Big Trouble in Little China ")</f>
        <v>Big Trouble in Little China </v>
      </c>
      <c r="S1848" s="12">
        <f t="shared" si="65"/>
        <v>99225164</v>
      </c>
    </row>
    <row r="1849" spans="1:19" x14ac:dyDescent="0.3">
      <c r="A1849" s="2" t="s">
        <v>1889</v>
      </c>
      <c r="B1849" s="2">
        <v>112</v>
      </c>
      <c r="C1849" s="3">
        <v>76600000</v>
      </c>
      <c r="D1849" s="3" t="s">
        <v>6281</v>
      </c>
      <c r="E1849" s="2" t="s">
        <v>1890</v>
      </c>
      <c r="F1849" s="2" t="s">
        <v>10</v>
      </c>
      <c r="G1849" s="2" t="s">
        <v>11</v>
      </c>
      <c r="H1849" s="2">
        <v>38000000</v>
      </c>
      <c r="I1849" s="2">
        <v>5.2</v>
      </c>
      <c r="J1849" s="3">
        <v>21994911</v>
      </c>
      <c r="K1849">
        <f t="shared" si="64"/>
        <v>1.3775047412552699E-3</v>
      </c>
      <c r="R1849" s="12" t="str">
        <f ca="1">IFERROR(__xludf.DUMMYFUNCTION("""COMPUTED_VALUE"""),"Warrior ")</f>
        <v>Warrior </v>
      </c>
      <c r="S1849" s="12">
        <f t="shared" si="65"/>
        <v>-6678818</v>
      </c>
    </row>
    <row r="1850" spans="1:19" x14ac:dyDescent="0.3">
      <c r="A1850" s="2" t="s">
        <v>1288</v>
      </c>
      <c r="B1850" s="2">
        <v>102</v>
      </c>
      <c r="C1850" s="3">
        <v>9203192</v>
      </c>
      <c r="D1850" s="3" t="s">
        <v>5894</v>
      </c>
      <c r="E1850" s="2" t="s">
        <v>2376</v>
      </c>
      <c r="F1850" s="2" t="s">
        <v>10</v>
      </c>
      <c r="G1850" s="2" t="s">
        <v>11</v>
      </c>
      <c r="H1850" s="2">
        <v>29000000</v>
      </c>
      <c r="I1850" s="2">
        <v>6.4</v>
      </c>
      <c r="J1850" s="3">
        <v>22108977</v>
      </c>
      <c r="K1850">
        <f t="shared" si="64"/>
        <v>1.3775047412552699E-3</v>
      </c>
      <c r="R1850" s="12" t="str">
        <f ca="1">IFERROR(__xludf.DUMMYFUNCTION("""COMPUTED_VALUE"""),"Michael Collins ")</f>
        <v>Michael Collins </v>
      </c>
      <c r="S1850" s="12">
        <f t="shared" si="65"/>
        <v>28885587</v>
      </c>
    </row>
    <row r="1851" spans="1:19" x14ac:dyDescent="0.3">
      <c r="A1851" s="2" t="s">
        <v>5202</v>
      </c>
      <c r="B1851" s="2">
        <v>80</v>
      </c>
      <c r="C1851" s="3">
        <v>50921738</v>
      </c>
      <c r="D1851" s="3" t="s">
        <v>5940</v>
      </c>
      <c r="E1851" s="2" t="s">
        <v>5203</v>
      </c>
      <c r="F1851" s="2" t="s">
        <v>10</v>
      </c>
      <c r="G1851" s="2" t="s">
        <v>11</v>
      </c>
      <c r="H1851" s="2">
        <v>1500000</v>
      </c>
      <c r="I1851" s="2">
        <v>6.2</v>
      </c>
      <c r="J1851" s="3">
        <v>22160085</v>
      </c>
      <c r="K1851">
        <f t="shared" si="64"/>
        <v>1.3775047412552699E-3</v>
      </c>
      <c r="R1851" s="12" t="str">
        <f ca="1">IFERROR(__xludf.DUMMYFUNCTION("""COMPUTED_VALUE"""),"Gettysburg ")</f>
        <v>Gettysburg </v>
      </c>
      <c r="S1851" s="12">
        <f t="shared" si="65"/>
        <v>24486128</v>
      </c>
    </row>
    <row r="1852" spans="1:19" x14ac:dyDescent="0.3">
      <c r="A1852" s="2" t="s">
        <v>542</v>
      </c>
      <c r="B1852" s="2">
        <v>97</v>
      </c>
      <c r="C1852" s="3">
        <v>70492685</v>
      </c>
      <c r="D1852" s="3" t="s">
        <v>6069</v>
      </c>
      <c r="E1852" s="2" t="s">
        <v>3149</v>
      </c>
      <c r="F1852" s="2" t="s">
        <v>10</v>
      </c>
      <c r="G1852" s="2" t="s">
        <v>11</v>
      </c>
      <c r="H1852" s="2">
        <v>17000000</v>
      </c>
      <c r="I1852" s="2">
        <v>7</v>
      </c>
      <c r="J1852" s="3">
        <v>22168359</v>
      </c>
      <c r="K1852">
        <f t="shared" si="64"/>
        <v>1.3775047412552699E-3</v>
      </c>
      <c r="R1852" s="12" t="str">
        <f ca="1">IFERROR(__xludf.DUMMYFUNCTION("""COMPUTED_VALUE"""),"Stop-Loss ")</f>
        <v>Stop-Loss </v>
      </c>
      <c r="S1852" s="12">
        <f t="shared" si="65"/>
        <v>-31936740</v>
      </c>
    </row>
    <row r="1853" spans="1:19" x14ac:dyDescent="0.3">
      <c r="A1853" s="2" t="s">
        <v>1540</v>
      </c>
      <c r="B1853" s="2">
        <v>95</v>
      </c>
      <c r="C1853" s="3">
        <v>38372662</v>
      </c>
      <c r="D1853" s="3" t="s">
        <v>5910</v>
      </c>
      <c r="E1853" s="2" t="s">
        <v>4638</v>
      </c>
      <c r="F1853" s="2" t="s">
        <v>10</v>
      </c>
      <c r="G1853" s="2" t="s">
        <v>11</v>
      </c>
      <c r="H1853" s="2">
        <v>5000000</v>
      </c>
      <c r="I1853" s="2">
        <v>6.6</v>
      </c>
      <c r="J1853" s="3">
        <v>22189039</v>
      </c>
      <c r="K1853">
        <f t="shared" si="64"/>
        <v>1.3775047412552699E-3</v>
      </c>
      <c r="R1853" s="12" t="str">
        <f ca="1">IFERROR(__xludf.DUMMYFUNCTION("""COMPUTED_VALUE"""),"Abandon ")</f>
        <v>Abandon </v>
      </c>
      <c r="S1853" s="12">
        <f t="shared" si="65"/>
        <v>6553833</v>
      </c>
    </row>
    <row r="1854" spans="1:19" x14ac:dyDescent="0.3">
      <c r="A1854" s="2" t="s">
        <v>804</v>
      </c>
      <c r="B1854" s="2">
        <v>95</v>
      </c>
      <c r="C1854" s="3">
        <v>23272306</v>
      </c>
      <c r="D1854" s="3" t="s">
        <v>5802</v>
      </c>
      <c r="E1854" s="2" t="s">
        <v>2711</v>
      </c>
      <c r="F1854" s="2" t="s">
        <v>10</v>
      </c>
      <c r="G1854" s="2" t="s">
        <v>11</v>
      </c>
      <c r="H1854" s="2">
        <v>24000000</v>
      </c>
      <c r="I1854" s="2">
        <v>5.6</v>
      </c>
      <c r="J1854" s="3">
        <v>22200000</v>
      </c>
      <c r="K1854">
        <f t="shared" si="64"/>
        <v>1.3775047412552699E-3</v>
      </c>
      <c r="R1854" s="12" t="str">
        <f ca="1">IFERROR(__xludf.DUMMYFUNCTION("""COMPUTED_VALUE"""),"Brokedown Palace ")</f>
        <v>Brokedown Palace </v>
      </c>
      <c r="S1854" s="12">
        <f t="shared" si="65"/>
        <v>-60197239</v>
      </c>
    </row>
    <row r="1855" spans="1:19" x14ac:dyDescent="0.3">
      <c r="A1855" s="2" t="s">
        <v>74</v>
      </c>
      <c r="B1855" s="2">
        <v>119</v>
      </c>
      <c r="C1855" s="3">
        <v>101978840</v>
      </c>
      <c r="D1855" s="3" t="s">
        <v>5767</v>
      </c>
      <c r="E1855" s="2" t="s">
        <v>2733</v>
      </c>
      <c r="F1855" s="2" t="s">
        <v>10</v>
      </c>
      <c r="G1855" s="2" t="s">
        <v>11</v>
      </c>
      <c r="H1855" s="2">
        <v>19000000</v>
      </c>
      <c r="I1855" s="2">
        <v>6.8</v>
      </c>
      <c r="J1855" s="3">
        <v>22201636</v>
      </c>
      <c r="K1855">
        <f t="shared" si="64"/>
        <v>1.3775047412552699E-3</v>
      </c>
      <c r="R1855" s="12" t="str">
        <f ca="1">IFERROR(__xludf.DUMMYFUNCTION("""COMPUTED_VALUE"""),"The Possession ")</f>
        <v>The Possession </v>
      </c>
      <c r="S1855" s="12">
        <f t="shared" si="65"/>
        <v>-93244729</v>
      </c>
    </row>
    <row r="1856" spans="1:19" x14ac:dyDescent="0.3">
      <c r="A1856" s="2" t="s">
        <v>3329</v>
      </c>
      <c r="B1856" s="2">
        <v>90</v>
      </c>
      <c r="C1856" s="3">
        <v>102308900</v>
      </c>
      <c r="D1856" s="3" t="s">
        <v>6181</v>
      </c>
      <c r="E1856" s="2" t="s">
        <v>3840</v>
      </c>
      <c r="F1856" s="2" t="s">
        <v>10</v>
      </c>
      <c r="G1856" s="2" t="s">
        <v>11</v>
      </c>
      <c r="H1856" s="2">
        <v>12000000</v>
      </c>
      <c r="I1856" s="2">
        <v>2.1</v>
      </c>
      <c r="J1856" s="3">
        <v>22202612</v>
      </c>
      <c r="K1856">
        <f t="shared" si="64"/>
        <v>1.3775047412552699E-3</v>
      </c>
      <c r="R1856" s="12" t="str">
        <f ca="1">IFERROR(__xludf.DUMMYFUNCTION("""COMPUTED_VALUE"""),"Mrs. Winterbourne ")</f>
        <v>Mrs. Winterbourne </v>
      </c>
      <c r="S1856" s="12">
        <f t="shared" si="65"/>
        <v>6094553</v>
      </c>
    </row>
    <row r="1857" spans="1:19" x14ac:dyDescent="0.3">
      <c r="A1857" s="2" t="s">
        <v>5369</v>
      </c>
      <c r="B1857" s="2">
        <v>96</v>
      </c>
      <c r="C1857" s="3">
        <v>43290977</v>
      </c>
      <c r="D1857" s="3" t="s">
        <v>5887</v>
      </c>
      <c r="E1857" s="2" t="s">
        <v>5370</v>
      </c>
      <c r="F1857" s="2" t="s">
        <v>10</v>
      </c>
      <c r="G1857" s="2" t="s">
        <v>11</v>
      </c>
      <c r="H1857" s="2">
        <v>1000000</v>
      </c>
      <c r="I1857" s="2">
        <v>5.8</v>
      </c>
      <c r="J1857" s="3">
        <v>22235901</v>
      </c>
      <c r="K1857">
        <f t="shared" si="64"/>
        <v>1.3775047412552699E-3</v>
      </c>
      <c r="R1857" s="12" t="str">
        <f ca="1">IFERROR(__xludf.DUMMYFUNCTION("""COMPUTED_VALUE"""),"Straw Dogs ")</f>
        <v>Straw Dogs </v>
      </c>
      <c r="S1857" s="12">
        <f t="shared" si="65"/>
        <v>37366656</v>
      </c>
    </row>
    <row r="1858" spans="1:19" x14ac:dyDescent="0.3">
      <c r="A1858" s="2" t="s">
        <v>3568</v>
      </c>
      <c r="B1858" s="2">
        <v>105</v>
      </c>
      <c r="C1858" s="3">
        <v>32600000</v>
      </c>
      <c r="D1858" s="3" t="s">
        <v>6026</v>
      </c>
      <c r="E1858" s="2" t="s">
        <v>3569</v>
      </c>
      <c r="F1858" s="2" t="s">
        <v>10</v>
      </c>
      <c r="G1858" s="2" t="s">
        <v>199</v>
      </c>
      <c r="H1858" s="2">
        <v>25000000</v>
      </c>
      <c r="I1858" s="2">
        <v>4.5</v>
      </c>
      <c r="J1858" s="3">
        <v>22245861</v>
      </c>
      <c r="K1858">
        <f t="shared" ref="K1858:K1921" si="66">CORREL(H$2:H$3941,J$2:J$3941)</f>
        <v>1.3775047412552699E-3</v>
      </c>
      <c r="R1858" s="12" t="str">
        <f ca="1">IFERROR(__xludf.DUMMYFUNCTION("""COMPUTED_VALUE"""),"The Hoax ")</f>
        <v>The Hoax </v>
      </c>
      <c r="S1858" s="12">
        <f t="shared" si="65"/>
        <v>-28971342</v>
      </c>
    </row>
    <row r="1859" spans="1:19" x14ac:dyDescent="0.3">
      <c r="A1859" s="2" t="s">
        <v>1425</v>
      </c>
      <c r="B1859" s="2">
        <v>101</v>
      </c>
      <c r="C1859" s="3">
        <v>26400000</v>
      </c>
      <c r="D1859" s="3" t="s">
        <v>6148</v>
      </c>
      <c r="E1859" s="2" t="s">
        <v>3244</v>
      </c>
      <c r="F1859" s="2" t="s">
        <v>10</v>
      </c>
      <c r="G1859" s="2" t="s">
        <v>11</v>
      </c>
      <c r="H1859" s="2">
        <v>300000</v>
      </c>
      <c r="I1859" s="2">
        <v>7.9</v>
      </c>
      <c r="J1859" s="3">
        <v>22264487</v>
      </c>
      <c r="K1859">
        <f t="shared" si="66"/>
        <v>1.3775047412552699E-3</v>
      </c>
      <c r="R1859" s="12" t="str">
        <f ca="1">IFERROR(__xludf.DUMMYFUNCTION("""COMPUTED_VALUE"""),"Stone Cold ")</f>
        <v>Stone Cold </v>
      </c>
      <c r="S1859" s="12">
        <f t="shared" si="65"/>
        <v>-7546655</v>
      </c>
    </row>
    <row r="1860" spans="1:19" x14ac:dyDescent="0.3">
      <c r="A1860" s="2" t="s">
        <v>33</v>
      </c>
      <c r="B1860" s="2">
        <v>129</v>
      </c>
      <c r="C1860" s="3">
        <v>26906039</v>
      </c>
      <c r="D1860" s="3" t="s">
        <v>6282</v>
      </c>
      <c r="E1860" s="2" t="s">
        <v>2351</v>
      </c>
      <c r="F1860" s="2" t="s">
        <v>10</v>
      </c>
      <c r="G1860" s="2" t="s">
        <v>11</v>
      </c>
      <c r="H1860" s="2">
        <v>30000000</v>
      </c>
      <c r="I1860" s="2">
        <v>6.8</v>
      </c>
      <c r="J1860" s="3">
        <v>22294341</v>
      </c>
      <c r="K1860">
        <f t="shared" si="66"/>
        <v>1.3775047412552699E-3</v>
      </c>
      <c r="R1860" s="12" t="str">
        <f ca="1">IFERROR(__xludf.DUMMYFUNCTION("""COMPUTED_VALUE"""),"The Road ")</f>
        <v>The Road </v>
      </c>
      <c r="S1860" s="12">
        <f t="shared" si="65"/>
        <v>10550712</v>
      </c>
    </row>
    <row r="1861" spans="1:19" x14ac:dyDescent="0.3">
      <c r="A1861" s="2" t="s">
        <v>282</v>
      </c>
      <c r="B1861" s="2">
        <v>129</v>
      </c>
      <c r="C1861" s="3">
        <v>11100000</v>
      </c>
      <c r="D1861" s="3" t="s">
        <v>5869</v>
      </c>
      <c r="E1861" s="2" t="s">
        <v>587</v>
      </c>
      <c r="F1861" s="2" t="s">
        <v>10</v>
      </c>
      <c r="G1861" s="2" t="s">
        <v>11</v>
      </c>
      <c r="H1861" s="2">
        <v>90000000</v>
      </c>
      <c r="I1861" s="2">
        <v>6.9</v>
      </c>
      <c r="J1861" s="3">
        <v>22326247</v>
      </c>
      <c r="K1861">
        <f t="shared" si="66"/>
        <v>1.3775047412552699E-3</v>
      </c>
      <c r="R1861" s="12" t="str">
        <f ca="1">IFERROR(__xludf.DUMMYFUNCTION("""COMPUTED_VALUE"""),"Underclassman ")</f>
        <v>Underclassman </v>
      </c>
      <c r="S1861" s="12">
        <f t="shared" si="65"/>
        <v>43806312</v>
      </c>
    </row>
    <row r="1862" spans="1:19" x14ac:dyDescent="0.3">
      <c r="A1862" s="2" t="s">
        <v>330</v>
      </c>
      <c r="B1862" s="2">
        <v>135</v>
      </c>
      <c r="C1862" s="3">
        <v>47379090</v>
      </c>
      <c r="D1862" s="3" t="s">
        <v>5818</v>
      </c>
      <c r="E1862" s="2" t="s">
        <v>1766</v>
      </c>
      <c r="F1862" s="2" t="s">
        <v>10</v>
      </c>
      <c r="G1862" s="2" t="s">
        <v>11</v>
      </c>
      <c r="H1862" s="2">
        <v>40000000</v>
      </c>
      <c r="I1862" s="2">
        <v>7</v>
      </c>
      <c r="J1862" s="3">
        <v>22331028</v>
      </c>
      <c r="K1862">
        <f t="shared" si="66"/>
        <v>1.3775047412552699E-3</v>
      </c>
      <c r="R1862" s="12" t="str">
        <f ca="1">IFERROR(__xludf.DUMMYFUNCTION("""COMPUTED_VALUE"""),"Say It Isn't So ")</f>
        <v>Say It Isn't So </v>
      </c>
      <c r="S1862" s="12">
        <f t="shared" si="65"/>
        <v>-76774089</v>
      </c>
    </row>
    <row r="1863" spans="1:19" x14ac:dyDescent="0.3">
      <c r="A1863" s="2" t="s">
        <v>2706</v>
      </c>
      <c r="B1863" s="2">
        <v>94</v>
      </c>
      <c r="C1863" s="3">
        <v>18996755</v>
      </c>
      <c r="D1863" s="3" t="s">
        <v>6207</v>
      </c>
      <c r="E1863" s="2" t="s">
        <v>2707</v>
      </c>
      <c r="F1863" s="2" t="s">
        <v>10</v>
      </c>
      <c r="G1863" s="2" t="s">
        <v>11</v>
      </c>
      <c r="H1863" s="2">
        <v>25000000</v>
      </c>
      <c r="I1863" s="2">
        <v>6.2</v>
      </c>
      <c r="J1863" s="3">
        <v>22359293</v>
      </c>
      <c r="K1863">
        <f t="shared" si="66"/>
        <v>1.3775047412552699E-3</v>
      </c>
      <c r="R1863" s="12" t="str">
        <f ca="1">IFERROR(__xludf.DUMMYFUNCTION("""COMPUTED_VALUE"""),"The World's Fastest Indian ")</f>
        <v>The World's Fastest Indian </v>
      </c>
      <c r="S1863" s="12">
        <f t="shared" si="65"/>
        <v>-18468509</v>
      </c>
    </row>
    <row r="1864" spans="1:19" x14ac:dyDescent="0.3">
      <c r="A1864" s="2" t="s">
        <v>2051</v>
      </c>
      <c r="B1864" s="2">
        <v>89</v>
      </c>
      <c r="C1864" s="3">
        <v>3950029</v>
      </c>
      <c r="D1864" s="3" t="s">
        <v>520</v>
      </c>
      <c r="E1864" s="2" t="s">
        <v>2586</v>
      </c>
      <c r="F1864" s="2" t="s">
        <v>10</v>
      </c>
      <c r="G1864" s="2" t="s">
        <v>71</v>
      </c>
      <c r="H1864" s="2">
        <v>25000000</v>
      </c>
      <c r="I1864" s="2">
        <v>5.3</v>
      </c>
      <c r="J1864" s="3">
        <v>22362500</v>
      </c>
      <c r="K1864">
        <f t="shared" si="66"/>
        <v>1.3775047412552699E-3</v>
      </c>
      <c r="R1864" s="12" t="str">
        <f ca="1">IFERROR(__xludf.DUMMYFUNCTION("""COMPUTED_VALUE"""),"Tank Girl ")</f>
        <v>Tank Girl </v>
      </c>
      <c r="S1864" s="12">
        <f t="shared" si="65"/>
        <v>-40634895</v>
      </c>
    </row>
    <row r="1865" spans="1:19" x14ac:dyDescent="0.3">
      <c r="A1865" s="2" t="s">
        <v>3366</v>
      </c>
      <c r="B1865" s="2">
        <v>122</v>
      </c>
      <c r="C1865" s="3">
        <v>381225</v>
      </c>
      <c r="D1865" s="3" t="s">
        <v>6211</v>
      </c>
      <c r="E1865" s="2" t="s">
        <v>3367</v>
      </c>
      <c r="F1865" s="2" t="s">
        <v>10</v>
      </c>
      <c r="G1865" s="2" t="s">
        <v>11</v>
      </c>
      <c r="H1865" s="2">
        <v>16000000</v>
      </c>
      <c r="I1865" s="2">
        <v>6.6</v>
      </c>
      <c r="J1865" s="3">
        <v>22406362</v>
      </c>
      <c r="K1865">
        <f t="shared" si="66"/>
        <v>1.3775047412552699E-3</v>
      </c>
      <c r="R1865" s="12" t="str">
        <f ca="1">IFERROR(__xludf.DUMMYFUNCTION("""COMPUTED_VALUE"""),"King's Ransom ")</f>
        <v>King's Ransom </v>
      </c>
      <c r="S1865" s="12">
        <f t="shared" si="65"/>
        <v>42557348</v>
      </c>
    </row>
    <row r="1866" spans="1:19" x14ac:dyDescent="0.3">
      <c r="A1866" s="2" t="s">
        <v>456</v>
      </c>
      <c r="B1866" s="2">
        <v>95</v>
      </c>
      <c r="C1866" s="3">
        <v>11043445</v>
      </c>
      <c r="D1866" s="3" t="s">
        <v>6148</v>
      </c>
      <c r="E1866" s="2" t="s">
        <v>3765</v>
      </c>
      <c r="F1866" s="2" t="s">
        <v>10</v>
      </c>
      <c r="G1866" s="2" t="s">
        <v>11</v>
      </c>
      <c r="H1866" s="2">
        <v>11000000</v>
      </c>
      <c r="I1866" s="2">
        <v>7</v>
      </c>
      <c r="J1866" s="3">
        <v>22433915</v>
      </c>
      <c r="K1866">
        <f t="shared" si="66"/>
        <v>1.3775047412552699E-3</v>
      </c>
      <c r="R1866" s="12" t="str">
        <f ca="1">IFERROR(__xludf.DUMMYFUNCTION("""COMPUTED_VALUE"""),"Blindness ")</f>
        <v>Blindness </v>
      </c>
      <c r="S1866" s="12">
        <f t="shared" si="65"/>
        <v>-6699148</v>
      </c>
    </row>
    <row r="1867" spans="1:19" x14ac:dyDescent="0.3">
      <c r="A1867" s="2" t="s">
        <v>1492</v>
      </c>
      <c r="B1867" s="2">
        <v>113</v>
      </c>
      <c r="C1867" s="3">
        <v>12995673</v>
      </c>
      <c r="D1867" s="3" t="s">
        <v>5849</v>
      </c>
      <c r="E1867" s="2" t="s">
        <v>2930</v>
      </c>
      <c r="F1867" s="2" t="s">
        <v>10</v>
      </c>
      <c r="G1867" s="2" t="s">
        <v>16</v>
      </c>
      <c r="H1867" s="2">
        <v>20000000</v>
      </c>
      <c r="I1867" s="2">
        <v>7.6</v>
      </c>
      <c r="J1867" s="3">
        <v>22450975</v>
      </c>
      <c r="K1867">
        <f t="shared" si="66"/>
        <v>1.3775047412552699E-3</v>
      </c>
      <c r="R1867" s="12" t="str">
        <f ca="1">IFERROR(__xludf.DUMMYFUNCTION("""COMPUTED_VALUE"""),"BloodRayne ")</f>
        <v>BloodRayne </v>
      </c>
      <c r="S1867" s="12">
        <f t="shared" si="65"/>
        <v>-19214368</v>
      </c>
    </row>
    <row r="1868" spans="1:19" x14ac:dyDescent="0.3">
      <c r="A1868" s="2" t="s">
        <v>369</v>
      </c>
      <c r="B1868" s="2">
        <v>108</v>
      </c>
      <c r="C1868" s="3">
        <v>33472850</v>
      </c>
      <c r="D1868" s="3" t="s">
        <v>5869</v>
      </c>
      <c r="E1868" s="2" t="s">
        <v>3603</v>
      </c>
      <c r="F1868" s="2" t="s">
        <v>10</v>
      </c>
      <c r="G1868" s="2" t="s">
        <v>11</v>
      </c>
      <c r="H1868" s="2">
        <v>14000000</v>
      </c>
      <c r="I1868" s="2">
        <v>6.5</v>
      </c>
      <c r="J1868" s="3">
        <v>22452209</v>
      </c>
      <c r="K1868">
        <f t="shared" si="66"/>
        <v>1.3775047412552699E-3</v>
      </c>
      <c r="R1868" s="12" t="str">
        <f ca="1">IFERROR(__xludf.DUMMYFUNCTION("""COMPUTED_VALUE"""),"Where the Truth Lies ")</f>
        <v>Where the Truth Lies </v>
      </c>
      <c r="S1868" s="12">
        <f t="shared" si="65"/>
        <v>16881626</v>
      </c>
    </row>
    <row r="1869" spans="1:19" x14ac:dyDescent="0.3">
      <c r="A1869" s="2" t="s">
        <v>4604</v>
      </c>
      <c r="B1869" s="2">
        <v>135</v>
      </c>
      <c r="C1869" s="3">
        <v>23360779</v>
      </c>
      <c r="D1869" s="3" t="s">
        <v>6251</v>
      </c>
      <c r="E1869" s="2" t="s">
        <v>4605</v>
      </c>
      <c r="F1869" s="2" t="s">
        <v>10</v>
      </c>
      <c r="G1869" s="2" t="s">
        <v>11</v>
      </c>
      <c r="H1869" s="2">
        <v>5000000</v>
      </c>
      <c r="I1869" s="2">
        <v>6.8</v>
      </c>
      <c r="J1869" s="3">
        <v>22466994</v>
      </c>
      <c r="K1869">
        <f t="shared" si="66"/>
        <v>1.3775047412552699E-3</v>
      </c>
      <c r="R1869" s="12" t="str">
        <f ca="1">IFERROR(__xludf.DUMMYFUNCTION("""COMPUTED_VALUE"""),"Without Limits ")</f>
        <v>Without Limits </v>
      </c>
      <c r="S1869" s="12">
        <f t="shared" si="65"/>
        <v>21719748</v>
      </c>
    </row>
    <row r="1870" spans="1:19" x14ac:dyDescent="0.3">
      <c r="A1870" s="2" t="s">
        <v>2352</v>
      </c>
      <c r="B1870" s="2">
        <v>94</v>
      </c>
      <c r="C1870" s="3">
        <v>20488579</v>
      </c>
      <c r="D1870" s="3" t="s">
        <v>6283</v>
      </c>
      <c r="E1870" s="2" t="s">
        <v>4051</v>
      </c>
      <c r="F1870" s="2" t="s">
        <v>10</v>
      </c>
      <c r="G1870" s="2" t="s">
        <v>11</v>
      </c>
      <c r="H1870" s="2">
        <v>6000000</v>
      </c>
      <c r="I1870" s="2">
        <v>4.3</v>
      </c>
      <c r="J1870" s="3">
        <v>22494487</v>
      </c>
      <c r="K1870">
        <f t="shared" si="66"/>
        <v>1.3775047412552699E-3</v>
      </c>
      <c r="R1870" s="12" t="str">
        <f ca="1">IFERROR(__xludf.DUMMYFUNCTION("""COMPUTED_VALUE"""),"Me and Orson Welles ")</f>
        <v>Me and Orson Welles </v>
      </c>
      <c r="S1870" s="12">
        <f t="shared" si="65"/>
        <v>9615792</v>
      </c>
    </row>
    <row r="1871" spans="1:19" x14ac:dyDescent="0.3">
      <c r="A1871" s="2" t="s">
        <v>613</v>
      </c>
      <c r="B1871" s="2">
        <v>105</v>
      </c>
      <c r="C1871" s="3">
        <v>3753806</v>
      </c>
      <c r="D1871" s="3" t="s">
        <v>5776</v>
      </c>
      <c r="E1871" s="2" t="s">
        <v>753</v>
      </c>
      <c r="F1871" s="2" t="s">
        <v>10</v>
      </c>
      <c r="G1871" s="2" t="s">
        <v>71</v>
      </c>
      <c r="H1871" s="2">
        <v>80000000</v>
      </c>
      <c r="I1871" s="2">
        <v>5.6</v>
      </c>
      <c r="J1871" s="3">
        <v>22518325</v>
      </c>
      <c r="K1871">
        <f t="shared" si="66"/>
        <v>1.3775047412552699E-3</v>
      </c>
      <c r="R1871" s="12" t="str">
        <f ca="1">IFERROR(__xludf.DUMMYFUNCTION("""COMPUTED_VALUE"""),"The Best Offer ")</f>
        <v>The Best Offer </v>
      </c>
      <c r="S1871" s="12">
        <f t="shared" si="65"/>
        <v>38600000</v>
      </c>
    </row>
    <row r="1872" spans="1:19" x14ac:dyDescent="0.3">
      <c r="A1872" s="2" t="s">
        <v>3351</v>
      </c>
      <c r="B1872" s="2">
        <v>118</v>
      </c>
      <c r="C1872" s="3">
        <v>16101109</v>
      </c>
      <c r="D1872" s="3" t="s">
        <v>5857</v>
      </c>
      <c r="E1872" s="2" t="s">
        <v>3352</v>
      </c>
      <c r="F1872" s="2" t="s">
        <v>10</v>
      </c>
      <c r="G1872" s="2" t="s">
        <v>11</v>
      </c>
      <c r="H1872" s="2">
        <v>16000000</v>
      </c>
      <c r="I1872" s="2">
        <v>7.2</v>
      </c>
      <c r="J1872" s="3">
        <v>22525921</v>
      </c>
      <c r="K1872">
        <f t="shared" si="66"/>
        <v>1.3775047412552699E-3</v>
      </c>
      <c r="R1872" s="12" t="str">
        <f ca="1">IFERROR(__xludf.DUMMYFUNCTION("""COMPUTED_VALUE"""),"Bad Lieutenant: Port of Call New Orleans ")</f>
        <v>Bad Lieutenant: Port of Call New Orleans </v>
      </c>
      <c r="S1872" s="12">
        <f t="shared" si="65"/>
        <v>-19796808</v>
      </c>
    </row>
    <row r="1873" spans="1:19" x14ac:dyDescent="0.3">
      <c r="A1873" s="2" t="s">
        <v>421</v>
      </c>
      <c r="B1873" s="2">
        <v>116</v>
      </c>
      <c r="C1873" s="3">
        <v>17848322</v>
      </c>
      <c r="D1873" s="3" t="s">
        <v>5869</v>
      </c>
      <c r="E1873" s="2" t="s">
        <v>2166</v>
      </c>
      <c r="F1873" s="2" t="s">
        <v>10</v>
      </c>
      <c r="G1873" s="2" t="s">
        <v>11</v>
      </c>
      <c r="H1873" s="2">
        <v>25000000</v>
      </c>
      <c r="I1873" s="2">
        <v>7.2</v>
      </c>
      <c r="J1873" s="3">
        <v>22526144</v>
      </c>
      <c r="K1873">
        <f t="shared" si="66"/>
        <v>1.3775047412552699E-3</v>
      </c>
      <c r="R1873" s="12" t="str">
        <f ca="1">IFERROR(__xludf.DUMMYFUNCTION("""COMPUTED_VALUE"""),"Little White Lies ")</f>
        <v>Little White Lies </v>
      </c>
      <c r="S1873" s="12">
        <f t="shared" si="65"/>
        <v>49421738</v>
      </c>
    </row>
    <row r="1874" spans="1:19" x14ac:dyDescent="0.3">
      <c r="A1874" s="2" t="s">
        <v>3503</v>
      </c>
      <c r="B1874" s="2">
        <v>107</v>
      </c>
      <c r="C1874" s="3">
        <v>8025872</v>
      </c>
      <c r="D1874" s="3" t="s">
        <v>6284</v>
      </c>
      <c r="E1874" s="2" t="s">
        <v>3504</v>
      </c>
      <c r="F1874" s="2" t="s">
        <v>10</v>
      </c>
      <c r="G1874" s="2" t="s">
        <v>11</v>
      </c>
      <c r="H1874" s="2">
        <v>15000000</v>
      </c>
      <c r="I1874" s="2">
        <v>5.4</v>
      </c>
      <c r="J1874" s="3">
        <v>22531698</v>
      </c>
      <c r="K1874">
        <f t="shared" si="66"/>
        <v>1.3775047412552699E-3</v>
      </c>
      <c r="R1874" s="12" t="str">
        <f ca="1">IFERROR(__xludf.DUMMYFUNCTION("""COMPUTED_VALUE"""),"Love Ranch ")</f>
        <v>Love Ranch </v>
      </c>
      <c r="S1874" s="12">
        <f t="shared" si="65"/>
        <v>53492685</v>
      </c>
    </row>
    <row r="1875" spans="1:19" x14ac:dyDescent="0.3">
      <c r="A1875" s="2" t="s">
        <v>1117</v>
      </c>
      <c r="B1875" s="2">
        <v>103</v>
      </c>
      <c r="C1875" s="3">
        <v>60470220</v>
      </c>
      <c r="D1875" s="3" t="s">
        <v>6285</v>
      </c>
      <c r="E1875" s="2" t="s">
        <v>2409</v>
      </c>
      <c r="F1875" s="2" t="s">
        <v>10</v>
      </c>
      <c r="G1875" s="2" t="s">
        <v>11</v>
      </c>
      <c r="H1875" s="2">
        <v>28000000</v>
      </c>
      <c r="I1875" s="2">
        <v>5.3</v>
      </c>
      <c r="J1875" s="3">
        <v>22551000</v>
      </c>
      <c r="K1875">
        <f t="shared" si="66"/>
        <v>1.3775047412552699E-3</v>
      </c>
      <c r="R1875" s="12" t="str">
        <f ca="1">IFERROR(__xludf.DUMMYFUNCTION("""COMPUTED_VALUE"""),"The Counselor ")</f>
        <v>The Counselor </v>
      </c>
      <c r="S1875" s="12">
        <f t="shared" si="65"/>
        <v>33372662</v>
      </c>
    </row>
    <row r="1876" spans="1:19" x14ac:dyDescent="0.3">
      <c r="A1876" s="2" t="s">
        <v>5133</v>
      </c>
      <c r="B1876" s="2">
        <v>95</v>
      </c>
      <c r="C1876" s="3">
        <v>11041228</v>
      </c>
      <c r="D1876" s="3" t="s">
        <v>6035</v>
      </c>
      <c r="E1876" s="2" t="s">
        <v>5134</v>
      </c>
      <c r="F1876" s="2" t="s">
        <v>751</v>
      </c>
      <c r="G1876" s="2" t="s">
        <v>504</v>
      </c>
      <c r="H1876" s="2">
        <v>1400000</v>
      </c>
      <c r="I1876" s="2">
        <v>5.8</v>
      </c>
      <c r="J1876" s="3">
        <v>22717758</v>
      </c>
      <c r="K1876">
        <f t="shared" si="66"/>
        <v>1.3775047412552699E-3</v>
      </c>
      <c r="R1876" s="12" t="str">
        <f ca="1">IFERROR(__xludf.DUMMYFUNCTION("""COMPUTED_VALUE"""),"Kung Fu Killer ")</f>
        <v>Kung Fu Killer </v>
      </c>
      <c r="S1876" s="12">
        <f t="shared" si="65"/>
        <v>-727694</v>
      </c>
    </row>
    <row r="1877" spans="1:19" x14ac:dyDescent="0.3">
      <c r="A1877" s="2" t="s">
        <v>3410</v>
      </c>
      <c r="B1877" s="2">
        <v>98</v>
      </c>
      <c r="C1877" s="3">
        <v>35007180</v>
      </c>
      <c r="D1877" s="3" t="s">
        <v>6147</v>
      </c>
      <c r="E1877" s="2" t="s">
        <v>3411</v>
      </c>
      <c r="F1877" s="2" t="s">
        <v>10</v>
      </c>
      <c r="G1877" s="2" t="s">
        <v>11</v>
      </c>
      <c r="H1877" s="2">
        <v>15000000</v>
      </c>
      <c r="I1877" s="2">
        <v>6.2</v>
      </c>
      <c r="J1877" s="3">
        <v>22734486</v>
      </c>
      <c r="K1877">
        <f t="shared" si="66"/>
        <v>1.3775047412552699E-3</v>
      </c>
      <c r="R1877" s="12" t="str">
        <f ca="1">IFERROR(__xludf.DUMMYFUNCTION("""COMPUTED_VALUE"""),"Dangerous Liaisons ")</f>
        <v>Dangerous Liaisons </v>
      </c>
      <c r="S1877" s="12">
        <f t="shared" si="65"/>
        <v>82978840</v>
      </c>
    </row>
    <row r="1878" spans="1:19" x14ac:dyDescent="0.3">
      <c r="A1878" s="2" t="s">
        <v>348</v>
      </c>
      <c r="B1878" s="2">
        <v>135</v>
      </c>
      <c r="C1878" s="3">
        <v>1316074</v>
      </c>
      <c r="D1878" s="3" t="s">
        <v>5869</v>
      </c>
      <c r="E1878" s="2" t="s">
        <v>349</v>
      </c>
      <c r="F1878" s="2" t="s">
        <v>10</v>
      </c>
      <c r="G1878" s="2" t="s">
        <v>11</v>
      </c>
      <c r="H1878" s="2">
        <v>125000000</v>
      </c>
      <c r="I1878" s="2">
        <v>6.7</v>
      </c>
      <c r="J1878" s="3">
        <v>22751979</v>
      </c>
      <c r="K1878">
        <f t="shared" si="66"/>
        <v>1.3775047412552699E-3</v>
      </c>
      <c r="R1878" s="12" t="str">
        <f ca="1">IFERROR(__xludf.DUMMYFUNCTION("""COMPUTED_VALUE"""),"On the Road ")</f>
        <v>On the Road </v>
      </c>
      <c r="S1878" s="12">
        <f t="shared" si="65"/>
        <v>90308900</v>
      </c>
    </row>
    <row r="1879" spans="1:19" x14ac:dyDescent="0.3">
      <c r="A1879" s="2" t="s">
        <v>852</v>
      </c>
      <c r="B1879" s="2">
        <v>97</v>
      </c>
      <c r="C1879" s="3">
        <v>184031112</v>
      </c>
      <c r="D1879" s="3" t="s">
        <v>6199</v>
      </c>
      <c r="E1879" s="2" t="s">
        <v>896</v>
      </c>
      <c r="F1879" s="2" t="s">
        <v>10</v>
      </c>
      <c r="G1879" s="2" t="s">
        <v>11</v>
      </c>
      <c r="H1879" s="2">
        <v>70000000</v>
      </c>
      <c r="I1879" s="2">
        <v>5.4</v>
      </c>
      <c r="J1879" s="3">
        <v>22757819</v>
      </c>
      <c r="K1879">
        <f t="shared" si="66"/>
        <v>1.3775047412552699E-3</v>
      </c>
      <c r="R1879" s="12" t="str">
        <f ca="1">IFERROR(__xludf.DUMMYFUNCTION("""COMPUTED_VALUE"""),"Star Trek IV: The Voyage Home ")</f>
        <v>Star Trek IV: The Voyage Home </v>
      </c>
      <c r="S1879" s="12">
        <f t="shared" si="65"/>
        <v>42290977</v>
      </c>
    </row>
    <row r="1880" spans="1:19" x14ac:dyDescent="0.3">
      <c r="A1880" s="2" t="s">
        <v>45</v>
      </c>
      <c r="B1880" s="2">
        <v>172</v>
      </c>
      <c r="C1880" s="3">
        <v>12570442</v>
      </c>
      <c r="D1880" s="3" t="s">
        <v>6156</v>
      </c>
      <c r="E1880" s="2" t="s">
        <v>533</v>
      </c>
      <c r="F1880" s="2" t="s">
        <v>10</v>
      </c>
      <c r="G1880" s="2" t="s">
        <v>11</v>
      </c>
      <c r="H1880" s="2">
        <v>94000000</v>
      </c>
      <c r="I1880" s="2">
        <v>8.6999999999999993</v>
      </c>
      <c r="J1880" s="3">
        <v>22770864</v>
      </c>
      <c r="K1880">
        <f t="shared" si="66"/>
        <v>1.3775047412552699E-3</v>
      </c>
      <c r="R1880" s="12" t="str">
        <f ca="1">IFERROR(__xludf.DUMMYFUNCTION("""COMPUTED_VALUE"""),"Rocky Balboa ")</f>
        <v>Rocky Balboa </v>
      </c>
      <c r="S1880" s="12">
        <f t="shared" si="65"/>
        <v>7600000</v>
      </c>
    </row>
    <row r="1881" spans="1:19" x14ac:dyDescent="0.3">
      <c r="A1881" s="2" t="s">
        <v>3584</v>
      </c>
      <c r="B1881" s="2">
        <v>108</v>
      </c>
      <c r="C1881" s="3">
        <v>60491560</v>
      </c>
      <c r="D1881" s="3" t="s">
        <v>5975</v>
      </c>
      <c r="E1881" s="2" t="s">
        <v>3585</v>
      </c>
      <c r="F1881" s="2" t="s">
        <v>10</v>
      </c>
      <c r="G1881" s="2" t="s">
        <v>98</v>
      </c>
      <c r="H1881" s="2">
        <v>15800000</v>
      </c>
      <c r="I1881" s="2">
        <v>5.5</v>
      </c>
      <c r="J1881" s="3">
        <v>22800000</v>
      </c>
      <c r="K1881">
        <f t="shared" si="66"/>
        <v>1.3775047412552699E-3</v>
      </c>
      <c r="R1881" s="12" t="str">
        <f ca="1">IFERROR(__xludf.DUMMYFUNCTION("""COMPUTED_VALUE"""),"Scream 2 ")</f>
        <v>Scream 2 </v>
      </c>
      <c r="S1881" s="12">
        <f t="shared" ref="S1881:S1944" si="67">C1859-H1859</f>
        <v>26100000</v>
      </c>
    </row>
    <row r="1882" spans="1:19" x14ac:dyDescent="0.3">
      <c r="A1882" s="2" t="s">
        <v>2398</v>
      </c>
      <c r="B1882" s="2">
        <v>81</v>
      </c>
      <c r="C1882" s="3">
        <v>5023275</v>
      </c>
      <c r="D1882" s="3" t="s">
        <v>6286</v>
      </c>
      <c r="E1882" s="2" t="s">
        <v>2399</v>
      </c>
      <c r="F1882" s="2" t="s">
        <v>10</v>
      </c>
      <c r="G1882" s="2" t="s">
        <v>11</v>
      </c>
      <c r="H1882" s="2">
        <v>28000000</v>
      </c>
      <c r="I1882" s="2">
        <v>6.2</v>
      </c>
      <c r="J1882" s="3">
        <v>22843047</v>
      </c>
      <c r="K1882">
        <f t="shared" si="66"/>
        <v>1.3775047412552699E-3</v>
      </c>
      <c r="R1882" s="12" t="str">
        <f ca="1">IFERROR(__xludf.DUMMYFUNCTION("""COMPUTED_VALUE"""),"Jane Got a Gun ")</f>
        <v>Jane Got a Gun </v>
      </c>
      <c r="S1882" s="12">
        <f t="shared" si="67"/>
        <v>-3093961</v>
      </c>
    </row>
    <row r="1883" spans="1:19" x14ac:dyDescent="0.3">
      <c r="A1883" s="2" t="s">
        <v>4848</v>
      </c>
      <c r="B1883" s="2">
        <v>99</v>
      </c>
      <c r="C1883" s="3">
        <v>43247140</v>
      </c>
      <c r="D1883" s="3" t="s">
        <v>5767</v>
      </c>
      <c r="E1883" s="2" t="s">
        <v>4849</v>
      </c>
      <c r="F1883" s="2" t="s">
        <v>10</v>
      </c>
      <c r="G1883" s="2" t="s">
        <v>4152</v>
      </c>
      <c r="H1883" s="2">
        <v>3800000</v>
      </c>
      <c r="I1883" s="2">
        <v>6.9</v>
      </c>
      <c r="J1883" s="3">
        <v>22858926</v>
      </c>
      <c r="K1883">
        <f t="shared" si="66"/>
        <v>1.3775047412552699E-3</v>
      </c>
      <c r="R1883" s="12" t="str">
        <f ca="1">IFERROR(__xludf.DUMMYFUNCTION("""COMPUTED_VALUE"""),"Think Like a Man Too ")</f>
        <v>Think Like a Man Too </v>
      </c>
      <c r="S1883" s="12">
        <f t="shared" si="67"/>
        <v>-78900000</v>
      </c>
    </row>
    <row r="1884" spans="1:19" x14ac:dyDescent="0.3">
      <c r="A1884" s="2" t="s">
        <v>5097</v>
      </c>
      <c r="B1884" s="2">
        <v>102</v>
      </c>
      <c r="C1884" s="3">
        <v>8000000</v>
      </c>
      <c r="D1884" s="3" t="s">
        <v>5778</v>
      </c>
      <c r="E1884" s="2" t="s">
        <v>5098</v>
      </c>
      <c r="F1884" s="2" t="s">
        <v>10</v>
      </c>
      <c r="G1884" s="2" t="s">
        <v>11</v>
      </c>
      <c r="H1884" s="2">
        <v>2000000</v>
      </c>
      <c r="I1884" s="2">
        <v>6.9</v>
      </c>
      <c r="J1884" s="3">
        <v>22877808</v>
      </c>
      <c r="K1884">
        <f t="shared" si="66"/>
        <v>1.3775047412552699E-3</v>
      </c>
      <c r="R1884" s="12" t="str">
        <f ca="1">IFERROR(__xludf.DUMMYFUNCTION("""COMPUTED_VALUE"""),"The Whole Nine Yards ")</f>
        <v>The Whole Nine Yards </v>
      </c>
      <c r="S1884" s="12">
        <f t="shared" si="67"/>
        <v>7379090</v>
      </c>
    </row>
    <row r="1885" spans="1:19" x14ac:dyDescent="0.3">
      <c r="A1885" s="2" t="s">
        <v>155</v>
      </c>
      <c r="B1885" s="2">
        <v>87</v>
      </c>
      <c r="C1885" s="3">
        <v>46800000</v>
      </c>
      <c r="D1885" s="3" t="s">
        <v>5794</v>
      </c>
      <c r="E1885" s="2" t="s">
        <v>675</v>
      </c>
      <c r="F1885" s="2" t="s">
        <v>10</v>
      </c>
      <c r="G1885" s="2" t="s">
        <v>11</v>
      </c>
      <c r="H1885" s="2">
        <v>75000000</v>
      </c>
      <c r="I1885" s="2">
        <v>4.4000000000000004</v>
      </c>
      <c r="J1885" s="3">
        <v>22905674</v>
      </c>
      <c r="K1885">
        <f t="shared" si="66"/>
        <v>1.3775047412552699E-3</v>
      </c>
      <c r="R1885" s="12" t="str">
        <f ca="1">IFERROR(__xludf.DUMMYFUNCTION("""COMPUTED_VALUE"""),"Footloose ")</f>
        <v>Footloose </v>
      </c>
      <c r="S1885" s="12">
        <f t="shared" si="67"/>
        <v>-6003245</v>
      </c>
    </row>
    <row r="1886" spans="1:19" x14ac:dyDescent="0.3">
      <c r="A1886" s="2" t="s">
        <v>2845</v>
      </c>
      <c r="B1886" s="2">
        <v>102</v>
      </c>
      <c r="C1886" s="3">
        <v>14337579</v>
      </c>
      <c r="D1886" s="3" t="s">
        <v>6287</v>
      </c>
      <c r="E1886" s="2" t="s">
        <v>2846</v>
      </c>
      <c r="F1886" s="2" t="s">
        <v>10</v>
      </c>
      <c r="G1886" s="2" t="s">
        <v>11</v>
      </c>
      <c r="H1886" s="2">
        <v>21000000</v>
      </c>
      <c r="I1886" s="2">
        <v>5.8</v>
      </c>
      <c r="J1886" s="3">
        <v>22913677</v>
      </c>
      <c r="K1886">
        <f t="shared" si="66"/>
        <v>1.3775047412552699E-3</v>
      </c>
      <c r="R1886" s="12" t="str">
        <f ca="1">IFERROR(__xludf.DUMMYFUNCTION("""COMPUTED_VALUE"""),"Old School ")</f>
        <v>Old School </v>
      </c>
      <c r="S1886" s="12">
        <f t="shared" si="67"/>
        <v>-21049971</v>
      </c>
    </row>
    <row r="1887" spans="1:19" x14ac:dyDescent="0.3">
      <c r="A1887" s="2" t="s">
        <v>3052</v>
      </c>
      <c r="B1887" s="2">
        <v>107</v>
      </c>
      <c r="C1887" s="3">
        <v>33423521</v>
      </c>
      <c r="D1887" s="3" t="s">
        <v>6035</v>
      </c>
      <c r="E1887" s="2" t="s">
        <v>4886</v>
      </c>
      <c r="F1887" s="2" t="s">
        <v>10</v>
      </c>
      <c r="G1887" s="2" t="s">
        <v>11</v>
      </c>
      <c r="H1887" s="2">
        <v>3500000</v>
      </c>
      <c r="I1887" s="2">
        <v>7.1</v>
      </c>
      <c r="J1887" s="3">
        <v>22927390</v>
      </c>
      <c r="K1887">
        <f t="shared" si="66"/>
        <v>1.3775047412552699E-3</v>
      </c>
      <c r="R1887" s="12" t="str">
        <f ca="1">IFERROR(__xludf.DUMMYFUNCTION("""COMPUTED_VALUE"""),"The Fisher King ")</f>
        <v>The Fisher King </v>
      </c>
      <c r="S1887" s="12">
        <f t="shared" si="67"/>
        <v>-15618775</v>
      </c>
    </row>
    <row r="1888" spans="1:19" x14ac:dyDescent="0.3">
      <c r="A1888" s="2" t="s">
        <v>2777</v>
      </c>
      <c r="B1888" s="2">
        <v>170</v>
      </c>
      <c r="C1888" s="3">
        <v>38345403</v>
      </c>
      <c r="D1888" s="3" t="s">
        <v>5751</v>
      </c>
      <c r="E1888" s="2" t="s">
        <v>2778</v>
      </c>
      <c r="F1888" s="2" t="s">
        <v>10</v>
      </c>
      <c r="G1888" s="2" t="s">
        <v>11</v>
      </c>
      <c r="H1888" s="2">
        <v>22000000</v>
      </c>
      <c r="I1888" s="2">
        <v>5.6</v>
      </c>
      <c r="J1888" s="3">
        <v>22954968</v>
      </c>
      <c r="K1888">
        <f t="shared" si="66"/>
        <v>1.3775047412552699E-3</v>
      </c>
      <c r="R1888" s="12" t="str">
        <f ca="1">IFERROR(__xludf.DUMMYFUNCTION("""COMPUTED_VALUE"""),"I Still Know What You Did Last Summer ")</f>
        <v>I Still Know What You Did Last Summer </v>
      </c>
      <c r="S1888" s="12">
        <f t="shared" si="67"/>
        <v>43445</v>
      </c>
    </row>
    <row r="1889" spans="1:19" x14ac:dyDescent="0.3">
      <c r="A1889" s="2" t="s">
        <v>5535</v>
      </c>
      <c r="B1889" s="2">
        <v>89</v>
      </c>
      <c r="C1889" s="3">
        <v>375474</v>
      </c>
      <c r="D1889" s="3" t="s">
        <v>6015</v>
      </c>
      <c r="E1889" s="2" t="s">
        <v>5536</v>
      </c>
      <c r="F1889" s="2" t="s">
        <v>10</v>
      </c>
      <c r="G1889" s="2" t="s">
        <v>11</v>
      </c>
      <c r="H1889" s="2">
        <v>439000</v>
      </c>
      <c r="I1889" s="2">
        <v>7.7</v>
      </c>
      <c r="J1889" s="3">
        <v>23014504</v>
      </c>
      <c r="K1889">
        <f t="shared" si="66"/>
        <v>1.3775047412552699E-3</v>
      </c>
      <c r="R1889" s="12" t="str">
        <f ca="1">IFERROR(__xludf.DUMMYFUNCTION("""COMPUTED_VALUE"""),"Return to Me ")</f>
        <v>Return to Me </v>
      </c>
      <c r="S1889" s="12">
        <f t="shared" si="67"/>
        <v>-7004327</v>
      </c>
    </row>
    <row r="1890" spans="1:19" x14ac:dyDescent="0.3">
      <c r="A1890" s="2" t="s">
        <v>594</v>
      </c>
      <c r="B1890" s="2">
        <v>129</v>
      </c>
      <c r="C1890" s="3">
        <v>5306447</v>
      </c>
      <c r="D1890" s="3" t="s">
        <v>5818</v>
      </c>
      <c r="E1890" s="2" t="s">
        <v>2513</v>
      </c>
      <c r="F1890" s="2" t="s">
        <v>10</v>
      </c>
      <c r="G1890" s="2" t="s">
        <v>11</v>
      </c>
      <c r="H1890" s="2">
        <v>25000000</v>
      </c>
      <c r="I1890" s="2">
        <v>6.1</v>
      </c>
      <c r="J1890" s="3">
        <v>23020488</v>
      </c>
      <c r="K1890">
        <f t="shared" si="66"/>
        <v>1.3775047412552699E-3</v>
      </c>
      <c r="R1890" s="12" t="str">
        <f ca="1">IFERROR(__xludf.DUMMYFUNCTION("""COMPUTED_VALUE"""),"Zack and Miri Make a Porno ")</f>
        <v>Zack and Miri Make a Porno </v>
      </c>
      <c r="S1890" s="12">
        <f t="shared" si="67"/>
        <v>19472850</v>
      </c>
    </row>
    <row r="1891" spans="1:19" x14ac:dyDescent="0.3">
      <c r="A1891" s="2" t="s">
        <v>600</v>
      </c>
      <c r="B1891" s="2">
        <v>129</v>
      </c>
      <c r="C1891" s="3">
        <v>77264926</v>
      </c>
      <c r="D1891" s="3" t="s">
        <v>6163</v>
      </c>
      <c r="E1891" s="2" t="s">
        <v>601</v>
      </c>
      <c r="F1891" s="2" t="s">
        <v>10</v>
      </c>
      <c r="G1891" s="2" t="s">
        <v>11</v>
      </c>
      <c r="H1891" s="2">
        <v>20000000</v>
      </c>
      <c r="I1891" s="2">
        <v>6.9</v>
      </c>
      <c r="J1891" s="3">
        <v>23031390</v>
      </c>
      <c r="K1891">
        <f t="shared" si="66"/>
        <v>1.3775047412552699E-3</v>
      </c>
      <c r="R1891" s="12" t="str">
        <f ca="1">IFERROR(__xludf.DUMMYFUNCTION("""COMPUTED_VALUE"""),"Nurse Betty ")</f>
        <v>Nurse Betty </v>
      </c>
      <c r="S1891" s="12">
        <f t="shared" si="67"/>
        <v>18360779</v>
      </c>
    </row>
    <row r="1892" spans="1:19" x14ac:dyDescent="0.3">
      <c r="A1892" s="2" t="s">
        <v>2607</v>
      </c>
      <c r="B1892" s="2">
        <v>109</v>
      </c>
      <c r="C1892" s="3">
        <v>17986000</v>
      </c>
      <c r="D1892" s="3" t="s">
        <v>885</v>
      </c>
      <c r="E1892" s="2" t="s">
        <v>3589</v>
      </c>
      <c r="F1892" s="2" t="s">
        <v>10</v>
      </c>
      <c r="G1892" s="2" t="s">
        <v>11</v>
      </c>
      <c r="H1892" s="2">
        <v>14000000</v>
      </c>
      <c r="I1892" s="2">
        <v>5.2</v>
      </c>
      <c r="J1892" s="3">
        <v>23070045</v>
      </c>
      <c r="K1892">
        <f t="shared" si="66"/>
        <v>1.3775047412552699E-3</v>
      </c>
      <c r="R1892" s="12" t="str">
        <f ca="1">IFERROR(__xludf.DUMMYFUNCTION("""COMPUTED_VALUE"""),"The Men Who Stare at Goats ")</f>
        <v>The Men Who Stare at Goats </v>
      </c>
      <c r="S1892" s="12">
        <f t="shared" si="67"/>
        <v>14488579</v>
      </c>
    </row>
    <row r="1893" spans="1:19" x14ac:dyDescent="0.3">
      <c r="A1893" s="2" t="s">
        <v>1896</v>
      </c>
      <c r="B1893" s="2">
        <v>104</v>
      </c>
      <c r="C1893" s="3">
        <v>29781453</v>
      </c>
      <c r="D1893" s="3" t="s">
        <v>6288</v>
      </c>
      <c r="E1893" s="2" t="s">
        <v>1981</v>
      </c>
      <c r="F1893" s="2" t="s">
        <v>10</v>
      </c>
      <c r="G1893" s="2" t="s">
        <v>11</v>
      </c>
      <c r="H1893" s="2">
        <v>35000000</v>
      </c>
      <c r="I1893" s="2">
        <v>6.2</v>
      </c>
      <c r="J1893" s="3">
        <v>23078294</v>
      </c>
      <c r="K1893">
        <f t="shared" si="66"/>
        <v>1.3775047412552699E-3</v>
      </c>
      <c r="R1893" s="12" t="str">
        <f ca="1">IFERROR(__xludf.DUMMYFUNCTION("""COMPUTED_VALUE"""),"Double Take ")</f>
        <v>Double Take </v>
      </c>
      <c r="S1893" s="12">
        <f t="shared" si="67"/>
        <v>-76246194</v>
      </c>
    </row>
    <row r="1894" spans="1:19" x14ac:dyDescent="0.3">
      <c r="A1894" s="2" t="s">
        <v>2196</v>
      </c>
      <c r="B1894" s="2">
        <v>126</v>
      </c>
      <c r="C1894" s="3">
        <v>38297305</v>
      </c>
      <c r="D1894" s="3" t="s">
        <v>5869</v>
      </c>
      <c r="E1894" s="2" t="s">
        <v>3242</v>
      </c>
      <c r="F1894" s="2" t="s">
        <v>10</v>
      </c>
      <c r="G1894" s="2" t="s">
        <v>11</v>
      </c>
      <c r="H1894" s="2">
        <v>12000000</v>
      </c>
      <c r="I1894" s="2">
        <v>7.5</v>
      </c>
      <c r="J1894" s="3">
        <v>23089926</v>
      </c>
      <c r="K1894">
        <f t="shared" si="66"/>
        <v>1.3775047412552699E-3</v>
      </c>
      <c r="R1894" s="12" t="str">
        <f ca="1">IFERROR(__xludf.DUMMYFUNCTION("""COMPUTED_VALUE"""),"Girl, Interrupted ")</f>
        <v>Girl, Interrupted </v>
      </c>
      <c r="S1894" s="12">
        <f t="shared" si="67"/>
        <v>101109</v>
      </c>
    </row>
    <row r="1895" spans="1:19" x14ac:dyDescent="0.3">
      <c r="A1895" s="2" t="s">
        <v>3985</v>
      </c>
      <c r="B1895" s="2">
        <v>97</v>
      </c>
      <c r="C1895" s="3">
        <v>6420319</v>
      </c>
      <c r="D1895" s="3" t="s">
        <v>6266</v>
      </c>
      <c r="E1895" s="2" t="s">
        <v>3986</v>
      </c>
      <c r="F1895" s="2" t="s">
        <v>10</v>
      </c>
      <c r="G1895" s="2" t="s">
        <v>71</v>
      </c>
      <c r="H1895" s="2">
        <v>10000000</v>
      </c>
      <c r="I1895" s="2">
        <v>6.1</v>
      </c>
      <c r="J1895" s="3">
        <v>23159305</v>
      </c>
      <c r="K1895">
        <f t="shared" si="66"/>
        <v>1.3775047412552699E-3</v>
      </c>
      <c r="R1895" s="12" t="str">
        <f ca="1">IFERROR(__xludf.DUMMYFUNCTION("""COMPUTED_VALUE"""),"Win a Date with Tad Hamilton! ")</f>
        <v>Win a Date with Tad Hamilton! </v>
      </c>
      <c r="S1895" s="12">
        <f t="shared" si="67"/>
        <v>-7151678</v>
      </c>
    </row>
    <row r="1896" spans="1:19" x14ac:dyDescent="0.3">
      <c r="A1896" s="2" t="s">
        <v>1902</v>
      </c>
      <c r="B1896" s="2">
        <v>97</v>
      </c>
      <c r="C1896" s="3">
        <v>29753944</v>
      </c>
      <c r="D1896" s="3" t="s">
        <v>5808</v>
      </c>
      <c r="E1896" s="2" t="s">
        <v>4617</v>
      </c>
      <c r="F1896" s="2" t="s">
        <v>10</v>
      </c>
      <c r="G1896" s="2" t="s">
        <v>11</v>
      </c>
      <c r="H1896" s="2">
        <v>5000000</v>
      </c>
      <c r="I1896" s="2">
        <v>7.4</v>
      </c>
      <c r="J1896" s="3">
        <v>23179303</v>
      </c>
      <c r="K1896">
        <f t="shared" si="66"/>
        <v>1.3775047412552699E-3</v>
      </c>
      <c r="R1896" s="12" t="str">
        <f ca="1">IFERROR(__xludf.DUMMYFUNCTION("""COMPUTED_VALUE"""),"Muppets from Space ")</f>
        <v>Muppets from Space </v>
      </c>
      <c r="S1896" s="12">
        <f t="shared" si="67"/>
        <v>-6974128</v>
      </c>
    </row>
    <row r="1897" spans="1:19" x14ac:dyDescent="0.3">
      <c r="A1897" s="2" t="s">
        <v>2074</v>
      </c>
      <c r="B1897" s="2">
        <v>109</v>
      </c>
      <c r="C1897" s="3">
        <v>17804273</v>
      </c>
      <c r="D1897" s="3" t="s">
        <v>5765</v>
      </c>
      <c r="E1897" s="2" t="s">
        <v>2075</v>
      </c>
      <c r="F1897" s="2" t="s">
        <v>10</v>
      </c>
      <c r="G1897" s="2" t="s">
        <v>11</v>
      </c>
      <c r="H1897" s="2">
        <v>34000000</v>
      </c>
      <c r="I1897" s="2">
        <v>5.3</v>
      </c>
      <c r="J1897" s="3">
        <v>23209440</v>
      </c>
      <c r="K1897">
        <f t="shared" si="66"/>
        <v>1.3775047412552699E-3</v>
      </c>
      <c r="R1897" s="12" t="str">
        <f ca="1">IFERROR(__xludf.DUMMYFUNCTION("""COMPUTED_VALUE"""),"The Wiz ")</f>
        <v>The Wiz </v>
      </c>
      <c r="S1897" s="12">
        <f t="shared" si="67"/>
        <v>32470220</v>
      </c>
    </row>
    <row r="1898" spans="1:19" x14ac:dyDescent="0.3">
      <c r="A1898" s="2" t="s">
        <v>1434</v>
      </c>
      <c r="B1898" s="2">
        <v>96</v>
      </c>
      <c r="C1898" s="3">
        <v>36279230</v>
      </c>
      <c r="D1898" s="3" t="s">
        <v>5940</v>
      </c>
      <c r="E1898" s="2" t="s">
        <v>2127</v>
      </c>
      <c r="F1898" s="2" t="s">
        <v>10</v>
      </c>
      <c r="G1898" s="2" t="s">
        <v>11</v>
      </c>
      <c r="H1898" s="2">
        <v>32000000</v>
      </c>
      <c r="I1898" s="2">
        <v>7.5</v>
      </c>
      <c r="J1898" s="3">
        <v>23213577</v>
      </c>
      <c r="K1898">
        <f t="shared" si="66"/>
        <v>1.3775047412552699E-3</v>
      </c>
      <c r="R1898" s="12" t="str">
        <f ca="1">IFERROR(__xludf.DUMMYFUNCTION("""COMPUTED_VALUE"""),"Ready to Rumble ")</f>
        <v>Ready to Rumble </v>
      </c>
      <c r="S1898" s="12">
        <f t="shared" si="67"/>
        <v>9641228</v>
      </c>
    </row>
    <row r="1899" spans="1:19" x14ac:dyDescent="0.3">
      <c r="A1899" s="2" t="s">
        <v>2349</v>
      </c>
      <c r="B1899" s="2">
        <v>121</v>
      </c>
      <c r="C1899" s="3">
        <v>1064277</v>
      </c>
      <c r="D1899" s="3" t="s">
        <v>5818</v>
      </c>
      <c r="E1899" s="2" t="s">
        <v>2350</v>
      </c>
      <c r="F1899" s="2" t="s">
        <v>513</v>
      </c>
      <c r="G1899" s="2" t="s">
        <v>233</v>
      </c>
      <c r="H1899" s="2">
        <v>18000000</v>
      </c>
      <c r="I1899" s="2">
        <v>6</v>
      </c>
      <c r="J1899" s="3">
        <v>23219748</v>
      </c>
      <c r="K1899">
        <f t="shared" si="66"/>
        <v>1.3775047412552699E-3</v>
      </c>
      <c r="R1899" s="12" t="str">
        <f ca="1">IFERROR(__xludf.DUMMYFUNCTION("""COMPUTED_VALUE"""),"Play It to the Bone ")</f>
        <v>Play It to the Bone </v>
      </c>
      <c r="S1899" s="12">
        <f t="shared" si="67"/>
        <v>20007180</v>
      </c>
    </row>
    <row r="1900" spans="1:19" x14ac:dyDescent="0.3">
      <c r="A1900" s="2" t="s">
        <v>1212</v>
      </c>
      <c r="B1900" s="2">
        <v>114</v>
      </c>
      <c r="C1900" s="2">
        <v>18653615</v>
      </c>
      <c r="D1900" s="3" t="s">
        <v>5754</v>
      </c>
      <c r="E1900" s="2" t="s">
        <v>2744</v>
      </c>
      <c r="F1900" s="2" t="s">
        <v>10</v>
      </c>
      <c r="G1900" s="2" t="s">
        <v>11</v>
      </c>
      <c r="H1900" s="2">
        <v>23000000</v>
      </c>
      <c r="I1900" s="2">
        <v>6.1</v>
      </c>
      <c r="J1900" s="3">
        <v>23222861</v>
      </c>
      <c r="K1900">
        <f t="shared" si="66"/>
        <v>1.3775047412552699E-3</v>
      </c>
      <c r="R1900" s="12" t="str">
        <f ca="1">IFERROR(__xludf.DUMMYFUNCTION("""COMPUTED_VALUE"""),"I Don't Know How She Does It ")</f>
        <v>I Don't Know How She Does It </v>
      </c>
      <c r="S1900" s="12">
        <f t="shared" si="67"/>
        <v>-123683926</v>
      </c>
    </row>
    <row r="1901" spans="1:19" x14ac:dyDescent="0.3">
      <c r="A1901" s="2" t="s">
        <v>1030</v>
      </c>
      <c r="B1901" s="2">
        <v>115</v>
      </c>
      <c r="C1901" s="3">
        <v>25472967</v>
      </c>
      <c r="D1901" s="3" t="s">
        <v>6234</v>
      </c>
      <c r="E1901" s="2" t="s">
        <v>1031</v>
      </c>
      <c r="F1901" s="2" t="s">
        <v>10</v>
      </c>
      <c r="G1901" s="2" t="s">
        <v>11</v>
      </c>
      <c r="H1901" s="2">
        <v>60000000</v>
      </c>
      <c r="I1901" s="2">
        <v>7.1</v>
      </c>
      <c r="J1901" s="3">
        <v>23225911</v>
      </c>
      <c r="K1901">
        <f t="shared" si="66"/>
        <v>1.3775047412552699E-3</v>
      </c>
      <c r="R1901" s="12" t="str">
        <f ca="1">IFERROR(__xludf.DUMMYFUNCTION("""COMPUTED_VALUE"""),"Piranha 3D ")</f>
        <v>Piranha 3D </v>
      </c>
      <c r="S1901" s="12">
        <f t="shared" si="67"/>
        <v>114031112</v>
      </c>
    </row>
    <row r="1902" spans="1:19" x14ac:dyDescent="0.3">
      <c r="A1902" s="2" t="s">
        <v>3188</v>
      </c>
      <c r="B1902" s="2">
        <v>91</v>
      </c>
      <c r="C1902" s="3">
        <v>70450000</v>
      </c>
      <c r="D1902" s="3" t="s">
        <v>885</v>
      </c>
      <c r="E1902" s="2" t="s">
        <v>3601</v>
      </c>
      <c r="F1902" s="2" t="s">
        <v>10</v>
      </c>
      <c r="G1902" s="2" t="s">
        <v>16</v>
      </c>
      <c r="H1902" s="2">
        <v>14000000</v>
      </c>
      <c r="I1902" s="2">
        <v>5</v>
      </c>
      <c r="J1902" s="3">
        <v>23272306</v>
      </c>
      <c r="K1902">
        <f t="shared" si="66"/>
        <v>1.3775047412552699E-3</v>
      </c>
      <c r="R1902" s="12" t="str">
        <f ca="1">IFERROR(__xludf.DUMMYFUNCTION("""COMPUTED_VALUE"""),"Beyond the Sea ")</f>
        <v>Beyond the Sea </v>
      </c>
      <c r="S1902" s="12">
        <f t="shared" si="67"/>
        <v>-81429558</v>
      </c>
    </row>
    <row r="1903" spans="1:19" x14ac:dyDescent="0.3">
      <c r="A1903" s="2" t="s">
        <v>3485</v>
      </c>
      <c r="B1903" s="2">
        <v>82</v>
      </c>
      <c r="C1903" s="3">
        <v>29959436</v>
      </c>
      <c r="D1903" s="3" t="s">
        <v>6289</v>
      </c>
      <c r="E1903" s="2" t="s">
        <v>3597</v>
      </c>
      <c r="F1903" s="2" t="s">
        <v>10</v>
      </c>
      <c r="G1903" s="2" t="s">
        <v>11</v>
      </c>
      <c r="H1903" s="2">
        <v>14000000</v>
      </c>
      <c r="I1903" s="2">
        <v>6.6</v>
      </c>
      <c r="J1903" s="3">
        <v>23292105</v>
      </c>
      <c r="K1903">
        <f t="shared" si="66"/>
        <v>1.3775047412552699E-3</v>
      </c>
      <c r="R1903" s="12" t="str">
        <f ca="1">IFERROR(__xludf.DUMMYFUNCTION("""COMPUTED_VALUE"""),"Meet the Deedles ")</f>
        <v>Meet the Deedles </v>
      </c>
      <c r="S1903" s="12">
        <f t="shared" si="67"/>
        <v>44691560</v>
      </c>
    </row>
    <row r="1904" spans="1:19" x14ac:dyDescent="0.3">
      <c r="A1904" s="2" t="s">
        <v>2091</v>
      </c>
      <c r="B1904" s="2">
        <v>97</v>
      </c>
      <c r="C1904" s="3">
        <v>5300000</v>
      </c>
      <c r="D1904" s="3" t="s">
        <v>5767</v>
      </c>
      <c r="E1904" s="2" t="s">
        <v>2092</v>
      </c>
      <c r="F1904" s="2" t="s">
        <v>10</v>
      </c>
      <c r="G1904" s="2" t="s">
        <v>11</v>
      </c>
      <c r="H1904" s="2">
        <v>33000000</v>
      </c>
      <c r="I1904" s="2">
        <v>5.3</v>
      </c>
      <c r="J1904" s="3">
        <v>23324666</v>
      </c>
      <c r="K1904">
        <f t="shared" si="66"/>
        <v>1.3775047412552699E-3</v>
      </c>
      <c r="R1904" s="12" t="str">
        <f ca="1">IFERROR(__xludf.DUMMYFUNCTION("""COMPUTED_VALUE"""),"The Princess and the Cobbler ")</f>
        <v>The Princess and the Cobbler </v>
      </c>
      <c r="S1904" s="12">
        <f t="shared" si="67"/>
        <v>-22976725</v>
      </c>
    </row>
    <row r="1905" spans="1:19" x14ac:dyDescent="0.3">
      <c r="A1905" s="2" t="s">
        <v>376</v>
      </c>
      <c r="B1905" s="2">
        <v>123</v>
      </c>
      <c r="C1905" s="3">
        <v>13101142</v>
      </c>
      <c r="D1905" s="3" t="s">
        <v>6290</v>
      </c>
      <c r="E1905" s="2" t="s">
        <v>1477</v>
      </c>
      <c r="F1905" s="2" t="s">
        <v>10</v>
      </c>
      <c r="G1905" s="2" t="s">
        <v>11</v>
      </c>
      <c r="H1905" s="2">
        <v>48000000</v>
      </c>
      <c r="I1905" s="2">
        <v>6.4</v>
      </c>
      <c r="J1905" s="3">
        <v>23360779</v>
      </c>
      <c r="K1905">
        <f t="shared" si="66"/>
        <v>1.3775047412552699E-3</v>
      </c>
      <c r="R1905" s="12" t="str">
        <f ca="1">IFERROR(__xludf.DUMMYFUNCTION("""COMPUTED_VALUE"""),"The Bridge of San Luis Rey ")</f>
        <v>The Bridge of San Luis Rey </v>
      </c>
      <c r="S1905" s="12">
        <f t="shared" si="67"/>
        <v>39447140</v>
      </c>
    </row>
    <row r="1906" spans="1:19" x14ac:dyDescent="0.3">
      <c r="A1906" s="2" t="s">
        <v>5219</v>
      </c>
      <c r="B1906" s="2">
        <v>83</v>
      </c>
      <c r="C1906" s="2">
        <v>184925485</v>
      </c>
      <c r="D1906" s="3" t="s">
        <v>5857</v>
      </c>
      <c r="E1906" s="2" t="s">
        <v>5220</v>
      </c>
      <c r="F1906" s="2" t="s">
        <v>10</v>
      </c>
      <c r="G1906" s="2" t="s">
        <v>11</v>
      </c>
      <c r="H1906" s="2">
        <v>2000000</v>
      </c>
      <c r="I1906" s="2">
        <v>7.7</v>
      </c>
      <c r="J1906" s="3">
        <v>23393765</v>
      </c>
      <c r="K1906">
        <f t="shared" si="66"/>
        <v>1.3775047412552699E-3</v>
      </c>
      <c r="R1906" s="12" t="str">
        <f ca="1">IFERROR(__xludf.DUMMYFUNCTION("""COMPUTED_VALUE"""),"Faster ")</f>
        <v>Faster </v>
      </c>
      <c r="S1906" s="12">
        <f t="shared" si="67"/>
        <v>6000000</v>
      </c>
    </row>
    <row r="1907" spans="1:19" x14ac:dyDescent="0.3">
      <c r="A1907" s="2" t="s">
        <v>8</v>
      </c>
      <c r="B1907" s="2">
        <v>178</v>
      </c>
      <c r="C1907" s="3">
        <v>34507079</v>
      </c>
      <c r="D1907" s="3" t="s">
        <v>5849</v>
      </c>
      <c r="E1907" s="2" t="s">
        <v>9</v>
      </c>
      <c r="F1907" s="2" t="s">
        <v>10</v>
      </c>
      <c r="G1907" s="2" t="s">
        <v>11</v>
      </c>
      <c r="H1907" s="2">
        <v>237000000</v>
      </c>
      <c r="I1907" s="2">
        <v>7.9</v>
      </c>
      <c r="J1907" s="3">
        <v>23472900</v>
      </c>
      <c r="K1907">
        <f t="shared" si="66"/>
        <v>1.3775047412552699E-3</v>
      </c>
      <c r="R1907" s="12" t="str">
        <f ca="1">IFERROR(__xludf.DUMMYFUNCTION("""COMPUTED_VALUE"""),"Howl's Moving Castle ")</f>
        <v>Howl's Moving Castle </v>
      </c>
      <c r="S1907" s="12">
        <f t="shared" si="67"/>
        <v>-28200000</v>
      </c>
    </row>
    <row r="1908" spans="1:19" x14ac:dyDescent="0.3">
      <c r="A1908" s="2" t="s">
        <v>3427</v>
      </c>
      <c r="B1908" s="2">
        <v>114</v>
      </c>
      <c r="C1908" s="3">
        <v>23324666</v>
      </c>
      <c r="D1908" s="3" t="s">
        <v>885</v>
      </c>
      <c r="E1908" s="2" t="s">
        <v>3428</v>
      </c>
      <c r="F1908" s="2" t="s">
        <v>10</v>
      </c>
      <c r="G1908" s="2" t="s">
        <v>11</v>
      </c>
      <c r="H1908" s="2">
        <v>15000000</v>
      </c>
      <c r="I1908" s="2">
        <v>6.6</v>
      </c>
      <c r="J1908" s="3">
        <v>23527955</v>
      </c>
      <c r="K1908">
        <f t="shared" si="66"/>
        <v>1.3775047412552699E-3</v>
      </c>
      <c r="R1908" s="12" t="str">
        <f ca="1">IFERROR(__xludf.DUMMYFUNCTION("""COMPUTED_VALUE"""),"Zombieland ")</f>
        <v>Zombieland </v>
      </c>
      <c r="S1908" s="12">
        <f t="shared" si="67"/>
        <v>-6662421</v>
      </c>
    </row>
    <row r="1909" spans="1:19" x14ac:dyDescent="0.3">
      <c r="A1909" s="2" t="s">
        <v>59</v>
      </c>
      <c r="B1909" s="2">
        <v>100</v>
      </c>
      <c r="C1909" s="3">
        <v>36200000</v>
      </c>
      <c r="D1909" s="3" t="s">
        <v>6195</v>
      </c>
      <c r="E1909" s="2" t="s">
        <v>4046</v>
      </c>
      <c r="F1909" s="2" t="s">
        <v>10</v>
      </c>
      <c r="G1909" s="2" t="s">
        <v>11</v>
      </c>
      <c r="H1909" s="2">
        <v>10000000</v>
      </c>
      <c r="I1909" s="2">
        <v>6.3</v>
      </c>
      <c r="J1909" s="3">
        <v>23618786</v>
      </c>
      <c r="K1909">
        <f t="shared" si="66"/>
        <v>1.3775047412552699E-3</v>
      </c>
      <c r="R1909" s="12" t="str">
        <f ca="1">IFERROR(__xludf.DUMMYFUNCTION("""COMPUTED_VALUE"""),"The Waterboy ")</f>
        <v>The Waterboy </v>
      </c>
      <c r="S1909" s="12">
        <f t="shared" si="67"/>
        <v>29923521</v>
      </c>
    </row>
    <row r="1910" spans="1:19" x14ac:dyDescent="0.3">
      <c r="A1910" s="2" t="s">
        <v>814</v>
      </c>
      <c r="B1910" s="2">
        <v>110</v>
      </c>
      <c r="C1910" s="3">
        <v>107503316</v>
      </c>
      <c r="D1910" s="3" t="s">
        <v>5887</v>
      </c>
      <c r="E1910" s="2" t="s">
        <v>1592</v>
      </c>
      <c r="F1910" s="2" t="s">
        <v>10</v>
      </c>
      <c r="G1910" s="2" t="s">
        <v>11</v>
      </c>
      <c r="H1910" s="2">
        <v>40000000</v>
      </c>
      <c r="I1910" s="2">
        <v>5.5</v>
      </c>
      <c r="J1910" s="3">
        <v>23650000</v>
      </c>
      <c r="K1910">
        <f t="shared" si="66"/>
        <v>1.3775047412552699E-3</v>
      </c>
      <c r="R1910" s="12" t="str">
        <f ca="1">IFERROR(__xludf.DUMMYFUNCTION("""COMPUTED_VALUE"""),"Star Wars: Episode V - The Empire Strikes Back ")</f>
        <v>Star Wars: Episode V - The Empire Strikes Back </v>
      </c>
      <c r="S1910" s="12">
        <f t="shared" si="67"/>
        <v>16345403</v>
      </c>
    </row>
    <row r="1911" spans="1:19" x14ac:dyDescent="0.3">
      <c r="A1911" s="2" t="s">
        <v>1340</v>
      </c>
      <c r="B1911" s="2">
        <v>102</v>
      </c>
      <c r="C1911" s="3">
        <v>50016394</v>
      </c>
      <c r="D1911" s="3" t="s">
        <v>6004</v>
      </c>
      <c r="E1911" s="2" t="s">
        <v>2046</v>
      </c>
      <c r="F1911" s="2" t="s">
        <v>10</v>
      </c>
      <c r="G1911" s="2" t="s">
        <v>11</v>
      </c>
      <c r="H1911" s="2">
        <v>38000000</v>
      </c>
      <c r="I1911" s="2">
        <v>5.0999999999999996</v>
      </c>
      <c r="J1911" s="3">
        <v>23978402</v>
      </c>
      <c r="K1911">
        <f t="shared" si="66"/>
        <v>1.3775047412552699E-3</v>
      </c>
      <c r="R1911" s="12" t="str">
        <f ca="1">IFERROR(__xludf.DUMMYFUNCTION("""COMPUTED_VALUE"""),"Bad Boys ")</f>
        <v>Bad Boys </v>
      </c>
      <c r="S1911" s="12">
        <f t="shared" si="67"/>
        <v>-63526</v>
      </c>
    </row>
    <row r="1912" spans="1:19" x14ac:dyDescent="0.3">
      <c r="A1912" s="2" t="s">
        <v>33</v>
      </c>
      <c r="B1912" s="2">
        <v>106</v>
      </c>
      <c r="C1912" s="3">
        <v>33404871</v>
      </c>
      <c r="D1912" s="3" t="s">
        <v>6291</v>
      </c>
      <c r="E1912" s="2" t="s">
        <v>34</v>
      </c>
      <c r="F1912" s="2" t="s">
        <v>10</v>
      </c>
      <c r="G1912" s="2" t="s">
        <v>16</v>
      </c>
      <c r="H1912" s="2">
        <v>200000000</v>
      </c>
      <c r="I1912" s="2">
        <v>6.7</v>
      </c>
      <c r="J1912" s="3">
        <v>23993605</v>
      </c>
      <c r="K1912">
        <f t="shared" si="66"/>
        <v>1.3775047412552699E-3</v>
      </c>
      <c r="R1912" s="12" t="str">
        <f ca="1">IFERROR(__xludf.DUMMYFUNCTION("""COMPUTED_VALUE"""),"The Naked Gun 2½: The Smell of Fear ")</f>
        <v>The Naked Gun 2½: The Smell of Fear </v>
      </c>
      <c r="S1912" s="12">
        <f t="shared" si="67"/>
        <v>-19693553</v>
      </c>
    </row>
    <row r="1913" spans="1:19" x14ac:dyDescent="0.3">
      <c r="A1913" s="2" t="s">
        <v>1883</v>
      </c>
      <c r="B1913" s="2">
        <v>110</v>
      </c>
      <c r="C1913" s="3">
        <v>198407</v>
      </c>
      <c r="D1913" s="3" t="s">
        <v>5869</v>
      </c>
      <c r="E1913" s="2" t="s">
        <v>1884</v>
      </c>
      <c r="F1913" s="2" t="s">
        <v>10</v>
      </c>
      <c r="G1913" s="2" t="s">
        <v>11</v>
      </c>
      <c r="H1913" s="2">
        <v>38000000</v>
      </c>
      <c r="I1913" s="2">
        <v>5.2</v>
      </c>
      <c r="J1913" s="3">
        <v>24004159</v>
      </c>
      <c r="K1913">
        <f t="shared" si="66"/>
        <v>1.3775047412552699E-3</v>
      </c>
      <c r="R1913" s="12" t="str">
        <f ca="1">IFERROR(__xludf.DUMMYFUNCTION("""COMPUTED_VALUE"""),"Final Destination ")</f>
        <v>Final Destination </v>
      </c>
      <c r="S1913" s="12">
        <f t="shared" si="67"/>
        <v>57264926</v>
      </c>
    </row>
    <row r="1914" spans="1:19" x14ac:dyDescent="0.3">
      <c r="A1914" s="2" t="s">
        <v>2404</v>
      </c>
      <c r="B1914" s="2">
        <v>120</v>
      </c>
      <c r="C1914" s="3">
        <v>6448817</v>
      </c>
      <c r="D1914" s="3" t="s">
        <v>6082</v>
      </c>
      <c r="E1914" s="2" t="s">
        <v>3355</v>
      </c>
      <c r="F1914" s="2" t="s">
        <v>10</v>
      </c>
      <c r="G1914" s="2" t="s">
        <v>11</v>
      </c>
      <c r="H1914" s="2">
        <v>16000000</v>
      </c>
      <c r="I1914" s="2">
        <v>6.6</v>
      </c>
      <c r="J1914" s="3">
        <v>24006726</v>
      </c>
      <c r="K1914">
        <f t="shared" si="66"/>
        <v>1.3775047412552699E-3</v>
      </c>
      <c r="R1914" s="12" t="str">
        <f ca="1">IFERROR(__xludf.DUMMYFUNCTION("""COMPUTED_VALUE"""),"The Ides of March ")</f>
        <v>The Ides of March </v>
      </c>
      <c r="S1914" s="12">
        <f t="shared" si="67"/>
        <v>3986000</v>
      </c>
    </row>
    <row r="1915" spans="1:19" x14ac:dyDescent="0.3">
      <c r="A1915" s="2" t="s">
        <v>1428</v>
      </c>
      <c r="B1915" s="2">
        <v>94</v>
      </c>
      <c r="C1915" s="2">
        <v>45507053</v>
      </c>
      <c r="D1915" s="3" t="s">
        <v>6214</v>
      </c>
      <c r="E1915" s="2" t="s">
        <v>3311</v>
      </c>
      <c r="F1915" s="2" t="s">
        <v>10</v>
      </c>
      <c r="G1915" s="2" t="s">
        <v>11</v>
      </c>
      <c r="H1915" s="2">
        <v>16000000</v>
      </c>
      <c r="I1915" s="2">
        <v>7.8</v>
      </c>
      <c r="J1915" s="3">
        <v>24042490</v>
      </c>
      <c r="K1915">
        <f t="shared" si="66"/>
        <v>1.3775047412552699E-3</v>
      </c>
      <c r="R1915" s="12" t="str">
        <f ca="1">IFERROR(__xludf.DUMMYFUNCTION("""COMPUTED_VALUE"""),"Pitch Black ")</f>
        <v>Pitch Black </v>
      </c>
      <c r="S1915" s="12">
        <f t="shared" si="67"/>
        <v>-5218547</v>
      </c>
    </row>
    <row r="1916" spans="1:19" x14ac:dyDescent="0.3">
      <c r="A1916" s="2" t="s">
        <v>772</v>
      </c>
      <c r="B1916" s="2">
        <v>110</v>
      </c>
      <c r="C1916" s="3">
        <v>12555230</v>
      </c>
      <c r="D1916" s="3" t="s">
        <v>6212</v>
      </c>
      <c r="E1916" s="2" t="s">
        <v>773</v>
      </c>
      <c r="F1916" s="2" t="s">
        <v>10</v>
      </c>
      <c r="G1916" s="2" t="s">
        <v>11</v>
      </c>
      <c r="H1916" s="2">
        <v>78000000</v>
      </c>
      <c r="I1916" s="2">
        <v>5.8</v>
      </c>
      <c r="J1916" s="3">
        <v>24044532</v>
      </c>
      <c r="K1916">
        <f t="shared" si="66"/>
        <v>1.3775047412552699E-3</v>
      </c>
      <c r="R1916" s="12" t="str">
        <f ca="1">IFERROR(__xludf.DUMMYFUNCTION("""COMPUTED_VALUE"""),"Someone Like You... ")</f>
        <v>Someone Like You... </v>
      </c>
      <c r="S1916" s="12">
        <f t="shared" si="67"/>
        <v>26297305</v>
      </c>
    </row>
    <row r="1917" spans="1:19" x14ac:dyDescent="0.3">
      <c r="A1917" s="2" t="s">
        <v>1530</v>
      </c>
      <c r="B1917" s="2">
        <v>129</v>
      </c>
      <c r="C1917" s="3">
        <v>17843379</v>
      </c>
      <c r="D1917" s="3" t="s">
        <v>5767</v>
      </c>
      <c r="E1917" s="2" t="s">
        <v>1531</v>
      </c>
      <c r="F1917" s="2" t="s">
        <v>10</v>
      </c>
      <c r="G1917" s="2" t="s">
        <v>16</v>
      </c>
      <c r="H1917" s="2">
        <v>45000000</v>
      </c>
      <c r="I1917" s="2">
        <v>7.7</v>
      </c>
      <c r="J1917" s="3">
        <v>24048000</v>
      </c>
      <c r="K1917">
        <f t="shared" si="66"/>
        <v>1.3775047412552699E-3</v>
      </c>
      <c r="R1917" s="12" t="str">
        <f ca="1">IFERROR(__xludf.DUMMYFUNCTION("""COMPUTED_VALUE"""),"Her ")</f>
        <v>Her </v>
      </c>
      <c r="S1917" s="12">
        <f t="shared" si="67"/>
        <v>-3579681</v>
      </c>
    </row>
    <row r="1918" spans="1:19" x14ac:dyDescent="0.3">
      <c r="A1918" s="2" t="s">
        <v>981</v>
      </c>
      <c r="B1918" s="2">
        <v>89</v>
      </c>
      <c r="C1918" s="3">
        <v>68750000</v>
      </c>
      <c r="D1918" s="3" t="s">
        <v>6108</v>
      </c>
      <c r="E1918" s="2" t="s">
        <v>3310</v>
      </c>
      <c r="F1918" s="2" t="s">
        <v>10</v>
      </c>
      <c r="G1918" s="2" t="s">
        <v>11</v>
      </c>
      <c r="H1918" s="2">
        <v>16000000</v>
      </c>
      <c r="I1918" s="2">
        <v>4.8</v>
      </c>
      <c r="J1918" s="3">
        <v>24103594</v>
      </c>
      <c r="K1918">
        <f t="shared" si="66"/>
        <v>1.3775047412552699E-3</v>
      </c>
      <c r="R1918" s="12" t="str">
        <f ca="1">IFERROR(__xludf.DUMMYFUNCTION("""COMPUTED_VALUE"""),"Joy Ride ")</f>
        <v>Joy Ride </v>
      </c>
      <c r="S1918" s="12">
        <f t="shared" si="67"/>
        <v>24753944</v>
      </c>
    </row>
    <row r="1919" spans="1:19" x14ac:dyDescent="0.3">
      <c r="A1919" s="2" t="s">
        <v>926</v>
      </c>
      <c r="B1919" s="2">
        <v>105</v>
      </c>
      <c r="C1919" s="3">
        <v>27338033</v>
      </c>
      <c r="D1919" s="3" t="s">
        <v>5940</v>
      </c>
      <c r="E1919" s="2" t="s">
        <v>927</v>
      </c>
      <c r="F1919" s="2" t="s">
        <v>10</v>
      </c>
      <c r="G1919" s="2" t="s">
        <v>11</v>
      </c>
      <c r="H1919" s="2">
        <v>68000000</v>
      </c>
      <c r="I1919" s="2">
        <v>5.6</v>
      </c>
      <c r="J1919" s="3">
        <v>24104113</v>
      </c>
      <c r="K1919">
        <f t="shared" si="66"/>
        <v>1.3775047412552699E-3</v>
      </c>
      <c r="R1919" s="12" t="str">
        <f ca="1">IFERROR(__xludf.DUMMYFUNCTION("""COMPUTED_VALUE"""),"The Adventurer: The Curse of the Midas Box ")</f>
        <v>The Adventurer: The Curse of the Midas Box </v>
      </c>
      <c r="S1919" s="12">
        <f t="shared" si="67"/>
        <v>-16195727</v>
      </c>
    </row>
    <row r="1920" spans="1:19" x14ac:dyDescent="0.3">
      <c r="A1920" s="2" t="s">
        <v>949</v>
      </c>
      <c r="B1920" s="2">
        <v>212</v>
      </c>
      <c r="C1920" s="3">
        <v>9109322</v>
      </c>
      <c r="D1920" s="3" t="s">
        <v>5930</v>
      </c>
      <c r="E1920" s="2" t="s">
        <v>1010</v>
      </c>
      <c r="F1920" s="2" t="s">
        <v>10</v>
      </c>
      <c r="G1920" s="2" t="s">
        <v>11</v>
      </c>
      <c r="H1920" s="2">
        <v>63000000</v>
      </c>
      <c r="I1920" s="2">
        <v>6.6</v>
      </c>
      <c r="J1920" s="3">
        <v>24127895</v>
      </c>
      <c r="K1920">
        <f t="shared" si="66"/>
        <v>1.3775047412552699E-3</v>
      </c>
      <c r="R1920" s="12" t="str">
        <f ca="1">IFERROR(__xludf.DUMMYFUNCTION("""COMPUTED_VALUE"""),"Anywhere But Here ")</f>
        <v>Anywhere But Here </v>
      </c>
      <c r="S1920" s="12">
        <f t="shared" si="67"/>
        <v>4279230</v>
      </c>
    </row>
    <row r="1921" spans="1:19" x14ac:dyDescent="0.3">
      <c r="A1921" s="2" t="s">
        <v>519</v>
      </c>
      <c r="B1921" s="2">
        <v>68</v>
      </c>
      <c r="C1921" s="3">
        <v>76501438</v>
      </c>
      <c r="D1921" s="3" t="s">
        <v>885</v>
      </c>
      <c r="E1921" s="2" t="s">
        <v>3142</v>
      </c>
      <c r="F1921" s="2" t="s">
        <v>10</v>
      </c>
      <c r="G1921" s="2" t="s">
        <v>11</v>
      </c>
      <c r="H1921" s="2">
        <v>17000000</v>
      </c>
      <c r="I1921" s="2">
        <v>7</v>
      </c>
      <c r="J1921" s="3">
        <v>24138847</v>
      </c>
      <c r="K1921">
        <f t="shared" si="66"/>
        <v>1.3775047412552699E-3</v>
      </c>
      <c r="R1921" s="12" t="str">
        <f ca="1">IFERROR(__xludf.DUMMYFUNCTION("""COMPUTED_VALUE"""),"The Crew ")</f>
        <v>The Crew </v>
      </c>
      <c r="S1921" s="12">
        <f t="shared" si="67"/>
        <v>-16935723</v>
      </c>
    </row>
    <row r="1922" spans="1:19" x14ac:dyDescent="0.3">
      <c r="A1922" s="2" t="s">
        <v>1014</v>
      </c>
      <c r="B1922" s="2">
        <v>83</v>
      </c>
      <c r="C1922" s="3">
        <v>16284360</v>
      </c>
      <c r="D1922" s="3" t="s">
        <v>6134</v>
      </c>
      <c r="E1922" s="2" t="s">
        <v>1520</v>
      </c>
      <c r="F1922" s="2" t="s">
        <v>10</v>
      </c>
      <c r="G1922" s="2" t="s">
        <v>11</v>
      </c>
      <c r="H1922" s="2">
        <v>45000000</v>
      </c>
      <c r="I1922" s="2">
        <v>5.2</v>
      </c>
      <c r="J1922" s="3">
        <v>24185781</v>
      </c>
      <c r="K1922">
        <f t="shared" ref="K1922:K1985" si="68">CORREL(H$2:H$3941,J$2:J$3941)</f>
        <v>1.3775047412552699E-3</v>
      </c>
      <c r="R1922" s="12" t="str">
        <f ca="1">IFERROR(__xludf.DUMMYFUNCTION("""COMPUTED_VALUE"""),"Haywire ")</f>
        <v>Haywire </v>
      </c>
      <c r="S1922" s="12">
        <f t="shared" si="67"/>
        <v>-4346385</v>
      </c>
    </row>
    <row r="1923" spans="1:19" x14ac:dyDescent="0.3">
      <c r="A1923" s="2" t="s">
        <v>5562</v>
      </c>
      <c r="B1923" s="2">
        <v>89</v>
      </c>
      <c r="C1923" s="3">
        <v>20101861</v>
      </c>
      <c r="D1923" s="3" t="s">
        <v>5843</v>
      </c>
      <c r="E1923" s="2" t="s">
        <v>5563</v>
      </c>
      <c r="F1923" s="2" t="s">
        <v>10</v>
      </c>
      <c r="G1923" s="2" t="s">
        <v>504</v>
      </c>
      <c r="H1923" s="2">
        <v>6000000</v>
      </c>
      <c r="I1923" s="2">
        <v>6.1</v>
      </c>
      <c r="J1923" s="3">
        <v>24268828</v>
      </c>
      <c r="K1923">
        <f t="shared" si="68"/>
        <v>1.3775047412552699E-3</v>
      </c>
      <c r="R1923" s="12" t="str">
        <f ca="1">IFERROR(__xludf.DUMMYFUNCTION("""COMPUTED_VALUE"""),"Jaws: The Revenge ")</f>
        <v>Jaws: The Revenge </v>
      </c>
      <c r="S1923" s="12">
        <f t="shared" si="67"/>
        <v>-34527033</v>
      </c>
    </row>
    <row r="1924" spans="1:19" x14ac:dyDescent="0.3">
      <c r="A1924" s="2" t="s">
        <v>4887</v>
      </c>
      <c r="B1924" s="2">
        <v>92</v>
      </c>
      <c r="C1924" s="3">
        <v>14294842</v>
      </c>
      <c r="D1924" s="3" t="s">
        <v>6041</v>
      </c>
      <c r="E1924" s="2" t="s">
        <v>4888</v>
      </c>
      <c r="F1924" s="2" t="s">
        <v>10</v>
      </c>
      <c r="G1924" s="2" t="s">
        <v>11</v>
      </c>
      <c r="H1924" s="2">
        <v>3000000</v>
      </c>
      <c r="I1924" s="2">
        <v>6.5</v>
      </c>
      <c r="J1924" s="3">
        <v>24276500</v>
      </c>
      <c r="K1924">
        <f t="shared" si="68"/>
        <v>1.3775047412552699E-3</v>
      </c>
      <c r="R1924" s="12" t="str">
        <f ca="1">IFERROR(__xludf.DUMMYFUNCTION("""COMPUTED_VALUE"""),"Marvin's Room ")</f>
        <v>Marvin's Room </v>
      </c>
      <c r="S1924" s="12">
        <f t="shared" si="67"/>
        <v>56450000</v>
      </c>
    </row>
    <row r="1925" spans="1:19" x14ac:dyDescent="0.3">
      <c r="A1925" s="2" t="s">
        <v>282</v>
      </c>
      <c r="B1925" s="2">
        <v>98</v>
      </c>
      <c r="C1925" s="3">
        <v>11030963</v>
      </c>
      <c r="D1925" s="3" t="s">
        <v>6101</v>
      </c>
      <c r="E1925" s="2" t="s">
        <v>3224</v>
      </c>
      <c r="F1925" s="2" t="s">
        <v>10</v>
      </c>
      <c r="G1925" s="2" t="s">
        <v>11</v>
      </c>
      <c r="H1925" s="2">
        <v>23000000</v>
      </c>
      <c r="I1925" s="2">
        <v>6.2</v>
      </c>
      <c r="J1925" s="3">
        <v>24332324</v>
      </c>
      <c r="K1925">
        <f t="shared" si="68"/>
        <v>1.3775047412552699E-3</v>
      </c>
      <c r="R1925" s="12" t="str">
        <f ca="1">IFERROR(__xludf.DUMMYFUNCTION("""COMPUTED_VALUE"""),"The Longshots ")</f>
        <v>The Longshots </v>
      </c>
      <c r="S1925" s="12">
        <f t="shared" si="67"/>
        <v>15959436</v>
      </c>
    </row>
    <row r="1926" spans="1:19" x14ac:dyDescent="0.3">
      <c r="A1926" s="2" t="s">
        <v>116</v>
      </c>
      <c r="B1926" s="2">
        <v>135</v>
      </c>
      <c r="C1926" s="3">
        <v>8000000</v>
      </c>
      <c r="D1926" s="3" t="s">
        <v>6151</v>
      </c>
      <c r="E1926" s="2" t="s">
        <v>373</v>
      </c>
      <c r="F1926" s="2" t="s">
        <v>10</v>
      </c>
      <c r="G1926" s="2" t="s">
        <v>11</v>
      </c>
      <c r="H1926" s="2">
        <v>120000000</v>
      </c>
      <c r="I1926" s="2">
        <v>6.1</v>
      </c>
      <c r="J1926" s="3">
        <v>24343673</v>
      </c>
      <c r="K1926">
        <f t="shared" si="68"/>
        <v>1.3775047412552699E-3</v>
      </c>
      <c r="R1926" s="12" t="str">
        <f ca="1">IFERROR(__xludf.DUMMYFUNCTION("""COMPUTED_VALUE"""),"The End of the Affair ")</f>
        <v>The End of the Affair </v>
      </c>
      <c r="S1926" s="12">
        <f t="shared" si="67"/>
        <v>-27700000</v>
      </c>
    </row>
    <row r="1927" spans="1:19" x14ac:dyDescent="0.3">
      <c r="A1927" s="2" t="s">
        <v>1677</v>
      </c>
      <c r="B1927" s="2">
        <v>101</v>
      </c>
      <c r="C1927" s="2">
        <v>26505000</v>
      </c>
      <c r="D1927" s="3" t="s">
        <v>520</v>
      </c>
      <c r="E1927" s="2" t="s">
        <v>1956</v>
      </c>
      <c r="F1927" s="2" t="s">
        <v>10</v>
      </c>
      <c r="G1927" s="2" t="s">
        <v>11</v>
      </c>
      <c r="H1927" s="2">
        <v>1800000</v>
      </c>
      <c r="I1927" s="2">
        <v>7.5</v>
      </c>
      <c r="J1927" s="3">
        <v>24362501</v>
      </c>
      <c r="K1927">
        <f t="shared" si="68"/>
        <v>1.3775047412552699E-3</v>
      </c>
      <c r="R1927" s="12" t="str">
        <f ca="1">IFERROR(__xludf.DUMMYFUNCTION("""COMPUTED_VALUE"""),"Harley Davidson and the Marlboro Man ")</f>
        <v>Harley Davidson and the Marlboro Man </v>
      </c>
      <c r="S1927" s="12">
        <f t="shared" si="67"/>
        <v>-34898858</v>
      </c>
    </row>
    <row r="1928" spans="1:19" x14ac:dyDescent="0.3">
      <c r="A1928" s="2" t="s">
        <v>3514</v>
      </c>
      <c r="B1928" s="2">
        <v>93</v>
      </c>
      <c r="C1928" s="3">
        <v>9059588</v>
      </c>
      <c r="D1928" s="3" t="s">
        <v>5940</v>
      </c>
      <c r="E1928" s="2" t="s">
        <v>4337</v>
      </c>
      <c r="F1928" s="2" t="s">
        <v>10</v>
      </c>
      <c r="G1928" s="2" t="s">
        <v>16</v>
      </c>
      <c r="H1928" s="2">
        <v>7500000</v>
      </c>
      <c r="I1928" s="2">
        <v>6.3</v>
      </c>
      <c r="J1928" s="3">
        <v>24375436</v>
      </c>
      <c r="K1928">
        <f t="shared" si="68"/>
        <v>1.3775047412552699E-3</v>
      </c>
      <c r="R1928" s="12" t="str">
        <f ca="1">IFERROR(__xludf.DUMMYFUNCTION("""COMPUTED_VALUE"""),"Coco Before Chanel ")</f>
        <v>Coco Before Chanel </v>
      </c>
      <c r="S1928" s="12">
        <f t="shared" si="67"/>
        <v>182925485</v>
      </c>
    </row>
    <row r="1929" spans="1:19" x14ac:dyDescent="0.3">
      <c r="A1929" s="2" t="s">
        <v>2427</v>
      </c>
      <c r="B1929" s="2">
        <v>86</v>
      </c>
      <c r="C1929" s="3">
        <v>52691009</v>
      </c>
      <c r="D1929" s="3" t="s">
        <v>6049</v>
      </c>
      <c r="E1929" s="2" t="s">
        <v>2561</v>
      </c>
      <c r="F1929" s="2" t="s">
        <v>10</v>
      </c>
      <c r="G1929" s="2" t="s">
        <v>11</v>
      </c>
      <c r="H1929" s="2">
        <v>25000000</v>
      </c>
      <c r="I1929" s="2">
        <v>5.8</v>
      </c>
      <c r="J1929" s="3">
        <v>24397469</v>
      </c>
      <c r="K1929">
        <f t="shared" si="68"/>
        <v>1.3775047412552699E-3</v>
      </c>
      <c r="R1929" s="12" t="str">
        <f ca="1">IFERROR(__xludf.DUMMYFUNCTION("""COMPUTED_VALUE"""),"Chéri ")</f>
        <v>Chéri </v>
      </c>
      <c r="S1929" s="12">
        <f t="shared" si="67"/>
        <v>-202492921</v>
      </c>
    </row>
    <row r="1930" spans="1:19" x14ac:dyDescent="0.3">
      <c r="A1930" s="2" t="s">
        <v>680</v>
      </c>
      <c r="B1930" s="2">
        <v>120</v>
      </c>
      <c r="C1930" s="3">
        <v>2706659</v>
      </c>
      <c r="D1930" s="3" t="s">
        <v>5975</v>
      </c>
      <c r="E1930" s="2" t="s">
        <v>1945</v>
      </c>
      <c r="F1930" s="2" t="s">
        <v>10</v>
      </c>
      <c r="G1930" s="2" t="s">
        <v>11</v>
      </c>
      <c r="H1930" s="2">
        <v>35000000</v>
      </c>
      <c r="I1930" s="2">
        <v>5.7</v>
      </c>
      <c r="J1930" s="3">
        <v>24407944</v>
      </c>
      <c r="K1930">
        <f t="shared" si="68"/>
        <v>1.3775047412552699E-3</v>
      </c>
      <c r="R1930" s="12" t="str">
        <f ca="1">IFERROR(__xludf.DUMMYFUNCTION("""COMPUTED_VALUE"""),"Vanity Fair ")</f>
        <v>Vanity Fair </v>
      </c>
      <c r="S1930" s="12">
        <f t="shared" si="67"/>
        <v>8324666</v>
      </c>
    </row>
    <row r="1931" spans="1:19" x14ac:dyDescent="0.3">
      <c r="A1931" s="2" t="s">
        <v>410</v>
      </c>
      <c r="B1931" s="2">
        <v>119</v>
      </c>
      <c r="C1931" s="3">
        <v>8586376</v>
      </c>
      <c r="D1931" s="3" t="s">
        <v>6100</v>
      </c>
      <c r="E1931" s="2" t="s">
        <v>411</v>
      </c>
      <c r="F1931" s="2" t="s">
        <v>10</v>
      </c>
      <c r="G1931" s="2" t="s">
        <v>11</v>
      </c>
      <c r="H1931" s="2">
        <v>120000000</v>
      </c>
      <c r="I1931" s="2">
        <v>5.8</v>
      </c>
      <c r="J1931" s="3">
        <v>24430272</v>
      </c>
      <c r="K1931">
        <f t="shared" si="68"/>
        <v>1.3775047412552699E-3</v>
      </c>
      <c r="R1931" s="12" t="str">
        <f ca="1">IFERROR(__xludf.DUMMYFUNCTION("""COMPUTED_VALUE"""),"1408 ")</f>
        <v>1408 </v>
      </c>
      <c r="S1931" s="12">
        <f t="shared" si="67"/>
        <v>26200000</v>
      </c>
    </row>
    <row r="1932" spans="1:19" x14ac:dyDescent="0.3">
      <c r="A1932" s="2" t="s">
        <v>2038</v>
      </c>
      <c r="B1932" s="2">
        <v>117</v>
      </c>
      <c r="C1932" s="3">
        <v>74484168</v>
      </c>
      <c r="D1932" s="3" t="s">
        <v>520</v>
      </c>
      <c r="E1932" s="2" t="s">
        <v>4611</v>
      </c>
      <c r="F1932" s="2" t="s">
        <v>10</v>
      </c>
      <c r="G1932" s="2" t="s">
        <v>11</v>
      </c>
      <c r="H1932" s="2">
        <v>5000000</v>
      </c>
      <c r="I1932" s="2">
        <v>8</v>
      </c>
      <c r="J1932" s="3">
        <v>24475193</v>
      </c>
      <c r="K1932">
        <f t="shared" si="68"/>
        <v>1.3775047412552699E-3</v>
      </c>
      <c r="R1932" s="12" t="str">
        <f ca="1">IFERROR(__xludf.DUMMYFUNCTION("""COMPUTED_VALUE"""),"Spaceballs ")</f>
        <v>Spaceballs </v>
      </c>
      <c r="S1932" s="12">
        <f t="shared" si="67"/>
        <v>67503316</v>
      </c>
    </row>
    <row r="1933" spans="1:19" x14ac:dyDescent="0.3">
      <c r="A1933" s="2" t="s">
        <v>346</v>
      </c>
      <c r="B1933" s="2">
        <v>98</v>
      </c>
      <c r="C1933" s="3">
        <v>82163317</v>
      </c>
      <c r="D1933" s="3" t="s">
        <v>5913</v>
      </c>
      <c r="E1933" s="2" t="s">
        <v>904</v>
      </c>
      <c r="F1933" s="2" t="s">
        <v>10</v>
      </c>
      <c r="G1933" s="2" t="s">
        <v>11</v>
      </c>
      <c r="H1933" s="2">
        <v>70000000</v>
      </c>
      <c r="I1933" s="2">
        <v>3</v>
      </c>
      <c r="J1933" s="3">
        <v>24475416</v>
      </c>
      <c r="K1933">
        <f t="shared" si="68"/>
        <v>1.3775047412552699E-3</v>
      </c>
      <c r="R1933" s="12" t="str">
        <f ca="1">IFERROR(__xludf.DUMMYFUNCTION("""COMPUTED_VALUE"""),"The Water Diviner ")</f>
        <v>The Water Diviner </v>
      </c>
      <c r="S1933" s="12">
        <f t="shared" si="67"/>
        <v>12016394</v>
      </c>
    </row>
    <row r="1934" spans="1:19" x14ac:dyDescent="0.3">
      <c r="A1934" s="2" t="s">
        <v>4141</v>
      </c>
      <c r="B1934" s="2">
        <v>90</v>
      </c>
      <c r="C1934" s="3">
        <v>8579684</v>
      </c>
      <c r="D1934" s="3" t="s">
        <v>6292</v>
      </c>
      <c r="E1934" s="2" t="s">
        <v>4142</v>
      </c>
      <c r="F1934" s="2" t="s">
        <v>10</v>
      </c>
      <c r="G1934" s="2" t="s">
        <v>11</v>
      </c>
      <c r="H1934" s="2">
        <v>5000000</v>
      </c>
      <c r="I1934" s="2">
        <v>4.7</v>
      </c>
      <c r="J1934" s="3">
        <v>24520892</v>
      </c>
      <c r="K1934">
        <f t="shared" si="68"/>
        <v>1.3775047412552699E-3</v>
      </c>
      <c r="R1934" s="12" t="str">
        <f ca="1">IFERROR(__xludf.DUMMYFUNCTION("""COMPUTED_VALUE"""),"Ghost ")</f>
        <v>Ghost </v>
      </c>
      <c r="S1934" s="12">
        <f t="shared" si="67"/>
        <v>-166595129</v>
      </c>
    </row>
    <row r="1935" spans="1:19" x14ac:dyDescent="0.3">
      <c r="A1935" s="2" t="s">
        <v>2565</v>
      </c>
      <c r="B1935" s="2">
        <v>87</v>
      </c>
      <c r="C1935" s="3">
        <v>57750000</v>
      </c>
      <c r="D1935" s="3" t="s">
        <v>6201</v>
      </c>
      <c r="E1935" s="2" t="s">
        <v>3039</v>
      </c>
      <c r="F1935" s="2" t="s">
        <v>10</v>
      </c>
      <c r="G1935" s="2" t="s">
        <v>11</v>
      </c>
      <c r="H1935" s="2">
        <v>20000000</v>
      </c>
      <c r="I1935" s="2">
        <v>5.3</v>
      </c>
      <c r="J1935" s="3">
        <v>24530513</v>
      </c>
      <c r="K1935">
        <f t="shared" si="68"/>
        <v>1.3775047412552699E-3</v>
      </c>
      <c r="R1935" s="12" t="str">
        <f ca="1">IFERROR(__xludf.DUMMYFUNCTION("""COMPUTED_VALUE"""),"There's Something About Mary ")</f>
        <v>There's Something About Mary </v>
      </c>
      <c r="S1935" s="12">
        <f t="shared" si="67"/>
        <v>-37801593</v>
      </c>
    </row>
    <row r="1936" spans="1:19" x14ac:dyDescent="0.3">
      <c r="A1936" s="2" t="s">
        <v>4159</v>
      </c>
      <c r="B1936" s="2">
        <v>98</v>
      </c>
      <c r="C1936" s="3">
        <v>96917897</v>
      </c>
      <c r="D1936" s="3" t="s">
        <v>5778</v>
      </c>
      <c r="E1936" s="2" t="s">
        <v>4160</v>
      </c>
      <c r="F1936" s="2" t="s">
        <v>10</v>
      </c>
      <c r="G1936" s="2" t="s">
        <v>11</v>
      </c>
      <c r="H1936" s="2">
        <v>10500000</v>
      </c>
      <c r="I1936" s="2">
        <v>4.5</v>
      </c>
      <c r="J1936" s="3">
        <v>24629916</v>
      </c>
      <c r="K1936">
        <f t="shared" si="68"/>
        <v>1.3775047412552699E-3</v>
      </c>
      <c r="R1936" s="12" t="str">
        <f ca="1">IFERROR(__xludf.DUMMYFUNCTION("""COMPUTED_VALUE"""),"The Santa Clause ")</f>
        <v>The Santa Clause </v>
      </c>
      <c r="S1936" s="12">
        <f t="shared" si="67"/>
        <v>-9551183</v>
      </c>
    </row>
    <row r="1937" spans="1:19" x14ac:dyDescent="0.3">
      <c r="A1937" s="2" t="s">
        <v>4164</v>
      </c>
      <c r="B1937" s="2">
        <v>90</v>
      </c>
      <c r="C1937" s="3">
        <v>124976634</v>
      </c>
      <c r="D1937" s="3" t="s">
        <v>5804</v>
      </c>
      <c r="E1937" s="2" t="s">
        <v>4165</v>
      </c>
      <c r="F1937" s="2" t="s">
        <v>10</v>
      </c>
      <c r="G1937" s="2" t="s">
        <v>1845</v>
      </c>
      <c r="H1937" s="2">
        <v>600000000</v>
      </c>
      <c r="I1937" s="2">
        <v>6</v>
      </c>
      <c r="J1937" s="3">
        <v>24741700</v>
      </c>
      <c r="K1937">
        <f t="shared" si="68"/>
        <v>1.3775047412552699E-3</v>
      </c>
      <c r="R1937" s="12" t="str">
        <f ca="1">IFERROR(__xludf.DUMMYFUNCTION("""COMPUTED_VALUE"""),"The Rookie ")</f>
        <v>The Rookie </v>
      </c>
      <c r="S1937" s="12">
        <f t="shared" si="67"/>
        <v>29507053</v>
      </c>
    </row>
    <row r="1938" spans="1:19" x14ac:dyDescent="0.3">
      <c r="A1938" s="2" t="s">
        <v>207</v>
      </c>
      <c r="B1938" s="2">
        <v>86</v>
      </c>
      <c r="C1938" s="3">
        <v>95308367</v>
      </c>
      <c r="D1938" s="3" t="s">
        <v>520</v>
      </c>
      <c r="E1938" s="2" t="s">
        <v>778</v>
      </c>
      <c r="F1938" s="2" t="s">
        <v>10</v>
      </c>
      <c r="G1938" s="2" t="s">
        <v>11</v>
      </c>
      <c r="H1938" s="2">
        <v>75000000</v>
      </c>
      <c r="I1938" s="2">
        <v>6.9</v>
      </c>
      <c r="J1938" s="3">
        <v>24788807</v>
      </c>
      <c r="K1938">
        <f t="shared" si="68"/>
        <v>1.3775047412552699E-3</v>
      </c>
      <c r="R1938" s="12" t="str">
        <f ca="1">IFERROR(__xludf.DUMMYFUNCTION("""COMPUTED_VALUE"""),"The Game Plan ")</f>
        <v>The Game Plan </v>
      </c>
      <c r="S1938" s="12">
        <f t="shared" si="67"/>
        <v>-65444770</v>
      </c>
    </row>
    <row r="1939" spans="1:19" x14ac:dyDescent="0.3">
      <c r="A1939" s="2" t="s">
        <v>4350</v>
      </c>
      <c r="B1939" s="2">
        <v>121</v>
      </c>
      <c r="C1939" s="3">
        <v>63411478</v>
      </c>
      <c r="D1939" s="3" t="s">
        <v>5847</v>
      </c>
      <c r="E1939" s="2" t="s">
        <v>4358</v>
      </c>
      <c r="F1939" s="2" t="s">
        <v>10</v>
      </c>
      <c r="G1939" s="2" t="s">
        <v>16</v>
      </c>
      <c r="H1939" s="2">
        <v>7000000</v>
      </c>
      <c r="I1939" s="2">
        <v>6.8</v>
      </c>
      <c r="J1939" s="3">
        <v>24792061</v>
      </c>
      <c r="K1939">
        <f t="shared" si="68"/>
        <v>1.3775047412552699E-3</v>
      </c>
      <c r="R1939" s="12" t="str">
        <f ca="1">IFERROR(__xludf.DUMMYFUNCTION("""COMPUTED_VALUE"""),"The Bridges of Madison County ")</f>
        <v>The Bridges of Madison County </v>
      </c>
      <c r="S1939" s="12">
        <f t="shared" si="67"/>
        <v>-27156621</v>
      </c>
    </row>
    <row r="1940" spans="1:19" x14ac:dyDescent="0.3">
      <c r="A1940" s="2" t="s">
        <v>549</v>
      </c>
      <c r="B1940" s="2">
        <v>97</v>
      </c>
      <c r="C1940" s="3">
        <v>107930000</v>
      </c>
      <c r="D1940" s="3" t="s">
        <v>5770</v>
      </c>
      <c r="E1940" s="2" t="s">
        <v>2953</v>
      </c>
      <c r="F1940" s="2" t="s">
        <v>10</v>
      </c>
      <c r="G1940" s="2" t="s">
        <v>11</v>
      </c>
      <c r="H1940" s="2">
        <v>20000000</v>
      </c>
      <c r="I1940" s="2">
        <v>5.3</v>
      </c>
      <c r="J1940" s="3">
        <v>24800000</v>
      </c>
      <c r="K1940">
        <f t="shared" si="68"/>
        <v>1.3775047412552699E-3</v>
      </c>
      <c r="R1940" s="12" t="str">
        <f ca="1">IFERROR(__xludf.DUMMYFUNCTION("""COMPUTED_VALUE"""),"The Animal ")</f>
        <v>The Animal </v>
      </c>
      <c r="S1940" s="12">
        <f t="shared" si="67"/>
        <v>52750000</v>
      </c>
    </row>
    <row r="1941" spans="1:19" x14ac:dyDescent="0.3">
      <c r="A1941" s="2" t="s">
        <v>1351</v>
      </c>
      <c r="B1941" s="2">
        <v>110</v>
      </c>
      <c r="C1941" s="3">
        <v>77222184</v>
      </c>
      <c r="D1941" s="3" t="s">
        <v>6293</v>
      </c>
      <c r="E1941" s="2" t="s">
        <v>4362</v>
      </c>
      <c r="F1941" s="2" t="s">
        <v>10</v>
      </c>
      <c r="G1941" s="2" t="s">
        <v>71</v>
      </c>
      <c r="H1941" s="2">
        <v>7000000</v>
      </c>
      <c r="I1941" s="2">
        <v>7.4</v>
      </c>
      <c r="J1941" s="3">
        <v>24809547</v>
      </c>
      <c r="K1941">
        <f t="shared" si="68"/>
        <v>1.3775047412552699E-3</v>
      </c>
      <c r="R1941" s="12" t="str">
        <f ca="1">IFERROR(__xludf.DUMMYFUNCTION("""COMPUTED_VALUE"""),"The Hundred-Foot Journey ")</f>
        <v>The Hundred-Foot Journey </v>
      </c>
      <c r="S1941" s="12">
        <f t="shared" si="67"/>
        <v>-40661967</v>
      </c>
    </row>
    <row r="1942" spans="1:19" x14ac:dyDescent="0.3">
      <c r="A1942" s="2" t="s">
        <v>244</v>
      </c>
      <c r="B1942" s="2">
        <v>88</v>
      </c>
      <c r="C1942" s="3">
        <v>27200000</v>
      </c>
      <c r="D1942" s="3" t="s">
        <v>5954</v>
      </c>
      <c r="E1942" s="2" t="s">
        <v>245</v>
      </c>
      <c r="F1942" s="2" t="s">
        <v>10</v>
      </c>
      <c r="G1942" s="2" t="s">
        <v>11</v>
      </c>
      <c r="H1942" s="2">
        <v>150000000</v>
      </c>
      <c r="I1942" s="2">
        <v>5.4</v>
      </c>
      <c r="J1942" s="3">
        <v>24848292</v>
      </c>
      <c r="K1942">
        <f t="shared" si="68"/>
        <v>1.3775047412552699E-3</v>
      </c>
      <c r="R1942" s="12" t="str">
        <f ca="1">IFERROR(__xludf.DUMMYFUNCTION("""COMPUTED_VALUE"""),"The Net ")</f>
        <v>The Net </v>
      </c>
      <c r="S1942" s="12">
        <f t="shared" si="67"/>
        <v>-53890678</v>
      </c>
    </row>
    <row r="1943" spans="1:19" x14ac:dyDescent="0.3">
      <c r="A1943" s="2" t="s">
        <v>2216</v>
      </c>
      <c r="B1943" s="2">
        <v>93</v>
      </c>
      <c r="C1943" s="2">
        <v>39200000</v>
      </c>
      <c r="D1943" s="3" t="s">
        <v>5773</v>
      </c>
      <c r="E1943" s="2" t="s">
        <v>4765</v>
      </c>
      <c r="F1943" s="2" t="s">
        <v>10</v>
      </c>
      <c r="G1943" s="2" t="s">
        <v>11</v>
      </c>
      <c r="H1943" s="2">
        <v>4000000</v>
      </c>
      <c r="I1943" s="2">
        <v>8.1</v>
      </c>
      <c r="J1943" s="3">
        <v>24881000</v>
      </c>
      <c r="K1943">
        <f t="shared" si="68"/>
        <v>1.3775047412552699E-3</v>
      </c>
      <c r="R1943" s="12" t="str">
        <f ca="1">IFERROR(__xludf.DUMMYFUNCTION("""COMPUTED_VALUE"""),"I Am Sam ")</f>
        <v>I Am Sam </v>
      </c>
      <c r="S1943" s="12">
        <f t="shared" si="67"/>
        <v>59501438</v>
      </c>
    </row>
    <row r="1944" spans="1:19" x14ac:dyDescent="0.3">
      <c r="A1944" s="2" t="s">
        <v>2259</v>
      </c>
      <c r="B1944" s="2">
        <v>112</v>
      </c>
      <c r="C1944" s="3">
        <v>23179303</v>
      </c>
      <c r="D1944" s="3" t="s">
        <v>6200</v>
      </c>
      <c r="E1944" s="2" t="s">
        <v>2649</v>
      </c>
      <c r="F1944" s="2" t="s">
        <v>10</v>
      </c>
      <c r="G1944" s="2" t="s">
        <v>11</v>
      </c>
      <c r="H1944" s="2">
        <v>25000000</v>
      </c>
      <c r="I1944" s="2">
        <v>6.5</v>
      </c>
      <c r="J1944" s="3">
        <v>24944213</v>
      </c>
      <c r="K1944">
        <f t="shared" si="68"/>
        <v>1.3775047412552699E-3</v>
      </c>
      <c r="R1944" s="12" t="str">
        <f ca="1">IFERROR(__xludf.DUMMYFUNCTION("""COMPUTED_VALUE"""),"Son of God ")</f>
        <v>Son of God </v>
      </c>
      <c r="S1944" s="12">
        <f t="shared" si="67"/>
        <v>-28715640</v>
      </c>
    </row>
    <row r="1945" spans="1:19" x14ac:dyDescent="0.3">
      <c r="A1945" s="2" t="s">
        <v>2579</v>
      </c>
      <c r="B1945" s="2">
        <v>97</v>
      </c>
      <c r="C1945" s="3">
        <v>38590500</v>
      </c>
      <c r="D1945" s="3" t="s">
        <v>6294</v>
      </c>
      <c r="E1945" s="2" t="s">
        <v>2580</v>
      </c>
      <c r="F1945" s="2" t="s">
        <v>10</v>
      </c>
      <c r="G1945" s="2" t="s">
        <v>11</v>
      </c>
      <c r="H1945" s="2">
        <v>25000000</v>
      </c>
      <c r="I1945" s="2">
        <v>4.5999999999999996</v>
      </c>
      <c r="J1945" s="3">
        <v>24984868</v>
      </c>
      <c r="K1945">
        <f t="shared" si="68"/>
        <v>1.3775047412552699E-3</v>
      </c>
      <c r="R1945" s="12" t="str">
        <f ca="1">IFERROR(__xludf.DUMMYFUNCTION("""COMPUTED_VALUE"""),"Underworld ")</f>
        <v>Underworld </v>
      </c>
      <c r="S1945" s="12">
        <f t="shared" ref="S1945:S2008" si="69">C1923-H1923</f>
        <v>14101861</v>
      </c>
    </row>
    <row r="1946" spans="1:19" x14ac:dyDescent="0.3">
      <c r="A1946" s="2" t="s">
        <v>41</v>
      </c>
      <c r="B1946" s="2">
        <v>113</v>
      </c>
      <c r="C1946" s="3">
        <v>306715</v>
      </c>
      <c r="D1946" s="3" t="s">
        <v>5850</v>
      </c>
      <c r="E1946" s="2" t="s">
        <v>2161</v>
      </c>
      <c r="F1946" s="2" t="s">
        <v>10</v>
      </c>
      <c r="G1946" s="2" t="s">
        <v>11</v>
      </c>
      <c r="H1946" s="2">
        <v>45000000</v>
      </c>
      <c r="I1946" s="2">
        <v>7.2</v>
      </c>
      <c r="J1946" s="3">
        <v>24985612</v>
      </c>
      <c r="K1946">
        <f t="shared" si="68"/>
        <v>1.3775047412552699E-3</v>
      </c>
      <c r="R1946" s="12" t="str">
        <f ca="1">IFERROR(__xludf.DUMMYFUNCTION("""COMPUTED_VALUE"""),"Derailed ")</f>
        <v>Derailed </v>
      </c>
      <c r="S1946" s="12">
        <f t="shared" si="69"/>
        <v>11294842</v>
      </c>
    </row>
    <row r="1947" spans="1:19" x14ac:dyDescent="0.3">
      <c r="A1947" s="2" t="s">
        <v>191</v>
      </c>
      <c r="B1947" s="2">
        <v>112</v>
      </c>
      <c r="C1947" s="3">
        <v>65171860</v>
      </c>
      <c r="D1947" s="3" t="s">
        <v>6136</v>
      </c>
      <c r="E1947" s="2" t="s">
        <v>217</v>
      </c>
      <c r="F1947" s="2" t="s">
        <v>10</v>
      </c>
      <c r="G1947" s="2" t="s">
        <v>11</v>
      </c>
      <c r="H1947" s="2">
        <v>170000000</v>
      </c>
      <c r="I1947" s="2">
        <v>7.1</v>
      </c>
      <c r="J1947" s="3">
        <v>25000000</v>
      </c>
      <c r="K1947">
        <f t="shared" si="68"/>
        <v>1.3775047412552699E-3</v>
      </c>
      <c r="R1947" s="12" t="str">
        <f ca="1">IFERROR(__xludf.DUMMYFUNCTION("""COMPUTED_VALUE"""),"The Informant! ")</f>
        <v>The Informant! </v>
      </c>
      <c r="S1947" s="12">
        <f t="shared" si="69"/>
        <v>-11969037</v>
      </c>
    </row>
    <row r="1948" spans="1:19" x14ac:dyDescent="0.3">
      <c r="A1948" s="2" t="s">
        <v>5069</v>
      </c>
      <c r="B1948" s="2">
        <v>122</v>
      </c>
      <c r="C1948" s="3">
        <v>102176165</v>
      </c>
      <c r="D1948" s="3" t="s">
        <v>5892</v>
      </c>
      <c r="E1948" s="2" t="s">
        <v>5471</v>
      </c>
      <c r="F1948" s="2" t="s">
        <v>10</v>
      </c>
      <c r="G1948" s="2" t="s">
        <v>11</v>
      </c>
      <c r="H1948" s="2">
        <v>500000</v>
      </c>
      <c r="I1948" s="2">
        <v>6.5</v>
      </c>
      <c r="J1948" s="3">
        <v>25000000</v>
      </c>
      <c r="K1948">
        <f t="shared" si="68"/>
        <v>1.3775047412552699E-3</v>
      </c>
      <c r="R1948" s="12" t="str">
        <f ca="1">IFERROR(__xludf.DUMMYFUNCTION("""COMPUTED_VALUE"""),"Shadowlands ")</f>
        <v>Shadowlands </v>
      </c>
      <c r="S1948" s="12">
        <f t="shared" si="69"/>
        <v>-112000000</v>
      </c>
    </row>
    <row r="1949" spans="1:19" x14ac:dyDescent="0.3">
      <c r="A1949" s="2" t="s">
        <v>1204</v>
      </c>
      <c r="B1949" s="2">
        <v>98</v>
      </c>
      <c r="C1949" s="3">
        <v>25359200</v>
      </c>
      <c r="D1949" s="3" t="s">
        <v>6041</v>
      </c>
      <c r="E1949" s="2" t="s">
        <v>3257</v>
      </c>
      <c r="F1949" s="2" t="s">
        <v>10</v>
      </c>
      <c r="G1949" s="2" t="s">
        <v>11</v>
      </c>
      <c r="H1949" s="2">
        <v>17000000</v>
      </c>
      <c r="I1949" s="2">
        <v>5.6</v>
      </c>
      <c r="J1949" s="3">
        <v>25003072</v>
      </c>
      <c r="K1949">
        <f t="shared" si="68"/>
        <v>1.3775047412552699E-3</v>
      </c>
      <c r="R1949" s="12" t="str">
        <f ca="1">IFERROR(__xludf.DUMMYFUNCTION("""COMPUTED_VALUE"""),"Deuce Bigalow: European Gigolo ")</f>
        <v>Deuce Bigalow: European Gigolo </v>
      </c>
      <c r="S1949" s="12">
        <f t="shared" si="69"/>
        <v>24705000</v>
      </c>
    </row>
    <row r="1950" spans="1:19" x14ac:dyDescent="0.3">
      <c r="A1950" s="2" t="s">
        <v>5321</v>
      </c>
      <c r="B1950" s="2">
        <v>119</v>
      </c>
      <c r="C1950" s="3">
        <v>5018450</v>
      </c>
      <c r="D1950" s="3" t="s">
        <v>6295</v>
      </c>
      <c r="E1950" s="2" t="s">
        <v>5322</v>
      </c>
      <c r="F1950" s="2" t="s">
        <v>10</v>
      </c>
      <c r="G1950" s="2" t="s">
        <v>11</v>
      </c>
      <c r="H1950" s="2">
        <v>1000000</v>
      </c>
      <c r="I1950" s="2">
        <v>7.2</v>
      </c>
      <c r="J1950" s="3">
        <v>25031037</v>
      </c>
      <c r="K1950">
        <f t="shared" si="68"/>
        <v>1.3775047412552699E-3</v>
      </c>
      <c r="R1950" s="12" t="str">
        <f ca="1">IFERROR(__xludf.DUMMYFUNCTION("""COMPUTED_VALUE"""),"Delivery Man ")</f>
        <v>Delivery Man </v>
      </c>
      <c r="S1950" s="12">
        <f t="shared" si="69"/>
        <v>1559588</v>
      </c>
    </row>
    <row r="1951" spans="1:19" x14ac:dyDescent="0.3">
      <c r="A1951" s="2" t="s">
        <v>169</v>
      </c>
      <c r="B1951" s="2">
        <v>95</v>
      </c>
      <c r="C1951" s="3">
        <v>4496583</v>
      </c>
      <c r="D1951" s="3" t="s">
        <v>5910</v>
      </c>
      <c r="E1951" s="2" t="s">
        <v>3374</v>
      </c>
      <c r="F1951" s="2" t="s">
        <v>10</v>
      </c>
      <c r="G1951" s="2" t="s">
        <v>71</v>
      </c>
      <c r="H1951" s="2">
        <v>15500000</v>
      </c>
      <c r="I1951" s="2">
        <v>6.5</v>
      </c>
      <c r="J1951" s="3">
        <v>25040293</v>
      </c>
      <c r="K1951">
        <f t="shared" si="68"/>
        <v>1.3775047412552699E-3</v>
      </c>
      <c r="R1951" s="12" t="str">
        <f ca="1">IFERROR(__xludf.DUMMYFUNCTION("""COMPUTED_VALUE"""),"Saving Silverman ")</f>
        <v>Saving Silverman </v>
      </c>
      <c r="S1951" s="12">
        <f t="shared" si="69"/>
        <v>27691009</v>
      </c>
    </row>
    <row r="1952" spans="1:19" x14ac:dyDescent="0.3">
      <c r="A1952" s="2" t="s">
        <v>615</v>
      </c>
      <c r="B1952" s="2">
        <v>91</v>
      </c>
      <c r="C1952" s="3">
        <v>70405498</v>
      </c>
      <c r="D1952" s="3" t="s">
        <v>5913</v>
      </c>
      <c r="E1952" s="2" t="s">
        <v>616</v>
      </c>
      <c r="F1952" s="2" t="s">
        <v>10</v>
      </c>
      <c r="G1952" s="2" t="s">
        <v>11</v>
      </c>
      <c r="H1952" s="2">
        <v>85000000</v>
      </c>
      <c r="I1952" s="2">
        <v>7.1</v>
      </c>
      <c r="J1952" s="3">
        <v>25047631</v>
      </c>
      <c r="K1952">
        <f t="shared" si="68"/>
        <v>1.3775047412552699E-3</v>
      </c>
      <c r="R1952" s="12" t="str">
        <f ca="1">IFERROR(__xludf.DUMMYFUNCTION("""COMPUTED_VALUE"""),"Diary of a Wimpy Kid: Dog Days ")</f>
        <v>Diary of a Wimpy Kid: Dog Days </v>
      </c>
      <c r="S1952" s="12">
        <f t="shared" si="69"/>
        <v>-32293341</v>
      </c>
    </row>
    <row r="1953" spans="1:19" x14ac:dyDescent="0.3">
      <c r="A1953" s="2" t="s">
        <v>1122</v>
      </c>
      <c r="B1953" s="2">
        <v>133</v>
      </c>
      <c r="C1953" s="3">
        <v>2812029</v>
      </c>
      <c r="D1953" s="3" t="s">
        <v>6046</v>
      </c>
      <c r="E1953" s="2" t="s">
        <v>1227</v>
      </c>
      <c r="F1953" s="2" t="s">
        <v>10</v>
      </c>
      <c r="G1953" s="2" t="s">
        <v>11</v>
      </c>
      <c r="H1953" s="2">
        <v>55000000</v>
      </c>
      <c r="I1953" s="2">
        <v>6.4</v>
      </c>
      <c r="J1953" s="3">
        <v>25052000</v>
      </c>
      <c r="K1953">
        <f t="shared" si="68"/>
        <v>1.3775047412552699E-3</v>
      </c>
      <c r="R1953" s="12" t="str">
        <f ca="1">IFERROR(__xludf.DUMMYFUNCTION("""COMPUTED_VALUE"""),"Summer of Sam ")</f>
        <v>Summer of Sam </v>
      </c>
      <c r="S1953" s="12">
        <f t="shared" si="69"/>
        <v>-111413624</v>
      </c>
    </row>
    <row r="1954" spans="1:19" x14ac:dyDescent="0.3">
      <c r="A1954" s="2" t="s">
        <v>2948</v>
      </c>
      <c r="B1954" s="2">
        <v>83</v>
      </c>
      <c r="C1954" s="2">
        <v>53245055</v>
      </c>
      <c r="D1954" s="3" t="s">
        <v>5910</v>
      </c>
      <c r="E1954" s="2" t="s">
        <v>5302</v>
      </c>
      <c r="F1954" s="2" t="s">
        <v>10</v>
      </c>
      <c r="G1954" s="2" t="s">
        <v>11</v>
      </c>
      <c r="H1954" s="2">
        <v>1000000</v>
      </c>
      <c r="I1954" s="2">
        <v>4.2</v>
      </c>
      <c r="J1954" s="3">
        <v>25077977</v>
      </c>
      <c r="K1954">
        <f t="shared" si="68"/>
        <v>1.3775047412552699E-3</v>
      </c>
      <c r="R1954" s="12" t="str">
        <f ca="1">IFERROR(__xludf.DUMMYFUNCTION("""COMPUTED_VALUE"""),"Jay and Silent Bob Strike Back ")</f>
        <v>Jay and Silent Bob Strike Back </v>
      </c>
      <c r="S1954" s="12">
        <f t="shared" si="69"/>
        <v>69484168</v>
      </c>
    </row>
    <row r="1955" spans="1:19" x14ac:dyDescent="0.3">
      <c r="A1955" s="2" t="s">
        <v>2248</v>
      </c>
      <c r="B1955" s="2">
        <v>82</v>
      </c>
      <c r="C1955" s="3">
        <v>14268533</v>
      </c>
      <c r="D1955" s="3" t="s">
        <v>5869</v>
      </c>
      <c r="E1955" s="2" t="s">
        <v>2912</v>
      </c>
      <c r="F1955" s="2" t="s">
        <v>10</v>
      </c>
      <c r="G1955" s="2" t="s">
        <v>11</v>
      </c>
      <c r="H1955" s="2">
        <v>20000000</v>
      </c>
      <c r="I1955" s="2">
        <v>3.5</v>
      </c>
      <c r="J1955" s="3">
        <v>25078937</v>
      </c>
      <c r="K1955">
        <f t="shared" si="68"/>
        <v>1.3775047412552699E-3</v>
      </c>
      <c r="R1955" s="12" t="str">
        <f ca="1">IFERROR(__xludf.DUMMYFUNCTION("""COMPUTED_VALUE"""),"The Glass House ")</f>
        <v>The Glass House </v>
      </c>
      <c r="S1955" s="12">
        <f t="shared" si="69"/>
        <v>12163317</v>
      </c>
    </row>
    <row r="1956" spans="1:19" x14ac:dyDescent="0.3">
      <c r="A1956" s="2" t="s">
        <v>5227</v>
      </c>
      <c r="B1956" s="2">
        <v>91</v>
      </c>
      <c r="C1956" s="3">
        <v>1984378</v>
      </c>
      <c r="D1956" s="3" t="s">
        <v>5753</v>
      </c>
      <c r="E1956" s="2" t="s">
        <v>5500</v>
      </c>
      <c r="F1956" s="2" t="s">
        <v>10</v>
      </c>
      <c r="G1956" s="2" t="s">
        <v>11</v>
      </c>
      <c r="H1956" s="2">
        <v>500000</v>
      </c>
      <c r="I1956" s="2">
        <v>6.6</v>
      </c>
      <c r="J1956" s="3">
        <v>25093607</v>
      </c>
      <c r="K1956">
        <f t="shared" si="68"/>
        <v>1.3775047412552699E-3</v>
      </c>
      <c r="R1956" s="12" t="str">
        <f ca="1">IFERROR(__xludf.DUMMYFUNCTION("""COMPUTED_VALUE"""),"Hail, Caesar! ")</f>
        <v>Hail, Caesar! </v>
      </c>
      <c r="S1956" s="12">
        <f t="shared" si="69"/>
        <v>3579684</v>
      </c>
    </row>
    <row r="1957" spans="1:19" x14ac:dyDescent="0.3">
      <c r="A1957" s="2" t="s">
        <v>909</v>
      </c>
      <c r="B1957" s="2">
        <v>104</v>
      </c>
      <c r="C1957" s="3">
        <v>11000000</v>
      </c>
      <c r="D1957" s="3" t="s">
        <v>6296</v>
      </c>
      <c r="E1957" s="2" t="s">
        <v>1756</v>
      </c>
      <c r="F1957" s="2" t="s">
        <v>10</v>
      </c>
      <c r="G1957" s="2" t="s">
        <v>11</v>
      </c>
      <c r="H1957" s="2">
        <v>30000000</v>
      </c>
      <c r="I1957" s="2">
        <v>6.2</v>
      </c>
      <c r="J1957" s="3">
        <v>25117498</v>
      </c>
      <c r="K1957">
        <f t="shared" si="68"/>
        <v>1.3775047412552699E-3</v>
      </c>
      <c r="R1957" s="12" t="str">
        <f ca="1">IFERROR(__xludf.DUMMYFUNCTION("""COMPUTED_VALUE"""),"Josie and the Pussycats ")</f>
        <v>Josie and the Pussycats </v>
      </c>
      <c r="S1957" s="12">
        <f t="shared" si="69"/>
        <v>37750000</v>
      </c>
    </row>
    <row r="1958" spans="1:19" x14ac:dyDescent="0.3">
      <c r="A1958" s="2" t="s">
        <v>3435</v>
      </c>
      <c r="B1958" s="2">
        <v>90</v>
      </c>
      <c r="C1958" s="3">
        <v>2035566</v>
      </c>
      <c r="D1958" s="3" t="s">
        <v>520</v>
      </c>
      <c r="E1958" s="2" t="s">
        <v>4725</v>
      </c>
      <c r="F1958" s="2" t="s">
        <v>10</v>
      </c>
      <c r="G1958" s="2" t="s">
        <v>2058</v>
      </c>
      <c r="H1958" s="2">
        <v>4800000</v>
      </c>
      <c r="I1958" s="2">
        <v>5.7</v>
      </c>
      <c r="J1958" s="3">
        <v>25121291</v>
      </c>
      <c r="K1958">
        <f t="shared" si="68"/>
        <v>1.3775047412552699E-3</v>
      </c>
      <c r="R1958" s="12" t="str">
        <f ca="1">IFERROR(__xludf.DUMMYFUNCTION("""COMPUTED_VALUE"""),"Homefront ")</f>
        <v>Homefront </v>
      </c>
      <c r="S1958" s="12">
        <f t="shared" si="69"/>
        <v>86417897</v>
      </c>
    </row>
    <row r="1959" spans="1:19" x14ac:dyDescent="0.3">
      <c r="A1959" s="2" t="s">
        <v>304</v>
      </c>
      <c r="B1959" s="2">
        <v>111</v>
      </c>
      <c r="C1959" s="3">
        <v>91443253</v>
      </c>
      <c r="D1959" s="3" t="s">
        <v>5762</v>
      </c>
      <c r="E1959" s="2" t="s">
        <v>3156</v>
      </c>
      <c r="F1959" s="2" t="s">
        <v>10</v>
      </c>
      <c r="G1959" s="2" t="s">
        <v>11</v>
      </c>
      <c r="H1959" s="2">
        <v>15000000</v>
      </c>
      <c r="I1959" s="2">
        <v>7.6</v>
      </c>
      <c r="J1959" s="3">
        <v>25138292</v>
      </c>
      <c r="K1959">
        <f t="shared" si="68"/>
        <v>1.3775047412552699E-3</v>
      </c>
      <c r="R1959" s="12" t="str">
        <f ca="1">IFERROR(__xludf.DUMMYFUNCTION("""COMPUTED_VALUE"""),"The Little Vampire ")</f>
        <v>The Little Vampire </v>
      </c>
      <c r="S1959" s="12">
        <f t="shared" si="69"/>
        <v>-475023366</v>
      </c>
    </row>
    <row r="1960" spans="1:19" x14ac:dyDescent="0.3">
      <c r="A1960" s="2" t="s">
        <v>978</v>
      </c>
      <c r="B1960" s="2">
        <v>105</v>
      </c>
      <c r="C1960" s="3">
        <v>25178165</v>
      </c>
      <c r="D1960" s="3" t="s">
        <v>6026</v>
      </c>
      <c r="E1960" s="2" t="s">
        <v>979</v>
      </c>
      <c r="F1960" s="2" t="s">
        <v>10</v>
      </c>
      <c r="G1960" s="2" t="s">
        <v>11</v>
      </c>
      <c r="H1960" s="2">
        <v>50100000</v>
      </c>
      <c r="I1960" s="2">
        <v>6.6</v>
      </c>
      <c r="J1960" s="3">
        <v>25167270</v>
      </c>
      <c r="K1960">
        <f t="shared" si="68"/>
        <v>1.3775047412552699E-3</v>
      </c>
      <c r="R1960" s="12" t="str">
        <f ca="1">IFERROR(__xludf.DUMMYFUNCTION("""COMPUTED_VALUE"""),"I Heart Huckabees ")</f>
        <v>I Heart Huckabees </v>
      </c>
      <c r="S1960" s="12">
        <f t="shared" si="69"/>
        <v>20308367</v>
      </c>
    </row>
    <row r="1961" spans="1:19" x14ac:dyDescent="0.3">
      <c r="A1961" s="2" t="s">
        <v>367</v>
      </c>
      <c r="B1961" s="2">
        <v>109</v>
      </c>
      <c r="C1961" s="3">
        <v>10996440</v>
      </c>
      <c r="D1961" s="3" t="s">
        <v>5849</v>
      </c>
      <c r="E1961" s="2" t="s">
        <v>368</v>
      </c>
      <c r="F1961" s="2" t="s">
        <v>10</v>
      </c>
      <c r="G1961" s="2" t="s">
        <v>11</v>
      </c>
      <c r="H1961" s="2">
        <v>115000000</v>
      </c>
      <c r="I1961" s="2">
        <v>6.6</v>
      </c>
      <c r="J1961" s="3">
        <v>25178165</v>
      </c>
      <c r="K1961">
        <f t="shared" si="68"/>
        <v>1.3775047412552699E-3</v>
      </c>
      <c r="R1961" s="12" t="str">
        <f ca="1">IFERROR(__xludf.DUMMYFUNCTION("""COMPUTED_VALUE"""),"RoboCop 3 ")</f>
        <v>RoboCop 3 </v>
      </c>
      <c r="S1961" s="12">
        <f t="shared" si="69"/>
        <v>56411478</v>
      </c>
    </row>
    <row r="1962" spans="1:19" x14ac:dyDescent="0.3">
      <c r="A1962" s="2" t="s">
        <v>1876</v>
      </c>
      <c r="B1962" s="2">
        <v>109</v>
      </c>
      <c r="C1962" s="3">
        <v>8054280</v>
      </c>
      <c r="D1962" s="3" t="s">
        <v>5872</v>
      </c>
      <c r="E1962" s="2" t="s">
        <v>1877</v>
      </c>
      <c r="F1962" s="2" t="s">
        <v>10</v>
      </c>
      <c r="G1962" s="2" t="s">
        <v>11</v>
      </c>
      <c r="H1962" s="2">
        <v>10000000</v>
      </c>
      <c r="I1962" s="2">
        <v>7.3</v>
      </c>
      <c r="J1962" s="3">
        <v>25200412</v>
      </c>
      <c r="K1962">
        <f t="shared" si="68"/>
        <v>1.3775047412552699E-3</v>
      </c>
      <c r="R1962" s="12" t="str">
        <f ca="1">IFERROR(__xludf.DUMMYFUNCTION("""COMPUTED_VALUE"""),"Megiddo: The Omega Code 2 ")</f>
        <v>Megiddo: The Omega Code 2 </v>
      </c>
      <c r="S1962" s="12">
        <f t="shared" si="69"/>
        <v>87930000</v>
      </c>
    </row>
    <row r="1963" spans="1:19" x14ac:dyDescent="0.3">
      <c r="A1963" s="2" t="s">
        <v>4968</v>
      </c>
      <c r="B1963" s="2">
        <v>100</v>
      </c>
      <c r="C1963" s="3">
        <v>46700000</v>
      </c>
      <c r="D1963" s="3" t="s">
        <v>5773</v>
      </c>
      <c r="E1963" s="2" t="s">
        <v>4969</v>
      </c>
      <c r="F1963" s="2" t="s">
        <v>10</v>
      </c>
      <c r="G1963" s="2" t="s">
        <v>11</v>
      </c>
      <c r="H1963" s="2">
        <v>3000000</v>
      </c>
      <c r="I1963" s="2">
        <v>5.9</v>
      </c>
      <c r="J1963" s="3">
        <v>25240988</v>
      </c>
      <c r="K1963">
        <f t="shared" si="68"/>
        <v>1.3775047412552699E-3</v>
      </c>
      <c r="R1963" s="12" t="str">
        <f ca="1">IFERROR(__xludf.DUMMYFUNCTION("""COMPUTED_VALUE"""),"Darling Lili ")</f>
        <v>Darling Lili </v>
      </c>
      <c r="S1963" s="12">
        <f t="shared" si="69"/>
        <v>70222184</v>
      </c>
    </row>
    <row r="1964" spans="1:19" x14ac:dyDescent="0.3">
      <c r="A1964" s="2" t="s">
        <v>836</v>
      </c>
      <c r="B1964" s="2">
        <v>134</v>
      </c>
      <c r="C1964" s="3">
        <v>70960517</v>
      </c>
      <c r="D1964" s="3" t="s">
        <v>5994</v>
      </c>
      <c r="E1964" s="2" t="s">
        <v>1969</v>
      </c>
      <c r="F1964" s="2" t="s">
        <v>10</v>
      </c>
      <c r="G1964" s="2" t="s">
        <v>11</v>
      </c>
      <c r="H1964" s="2">
        <v>35000000</v>
      </c>
      <c r="I1964" s="2">
        <v>6.2</v>
      </c>
      <c r="J1964" s="3">
        <v>25244700</v>
      </c>
      <c r="K1964">
        <f t="shared" si="68"/>
        <v>1.3775047412552699E-3</v>
      </c>
      <c r="R1964" s="12" t="str">
        <f ca="1">IFERROR(__xludf.DUMMYFUNCTION("""COMPUTED_VALUE"""),"Dudley Do-Right ")</f>
        <v>Dudley Do-Right </v>
      </c>
      <c r="S1964" s="12">
        <f t="shared" si="69"/>
        <v>-122800000</v>
      </c>
    </row>
    <row r="1965" spans="1:19" x14ac:dyDescent="0.3">
      <c r="A1965" s="2" t="s">
        <v>2412</v>
      </c>
      <c r="B1965" s="2">
        <v>94</v>
      </c>
      <c r="C1965" s="3">
        <v>14249005</v>
      </c>
      <c r="D1965" s="3" t="s">
        <v>6056</v>
      </c>
      <c r="E1965" s="2" t="s">
        <v>3768</v>
      </c>
      <c r="F1965" s="2" t="s">
        <v>10</v>
      </c>
      <c r="G1965" s="2" t="s">
        <v>11</v>
      </c>
      <c r="H1965" s="2">
        <v>25000000</v>
      </c>
      <c r="I1965" s="2">
        <v>5.9</v>
      </c>
      <c r="J1965" s="3">
        <v>25266129</v>
      </c>
      <c r="K1965">
        <f t="shared" si="68"/>
        <v>1.3775047412552699E-3</v>
      </c>
      <c r="R1965" s="12" t="str">
        <f ca="1">IFERROR(__xludf.DUMMYFUNCTION("""COMPUTED_VALUE"""),"The Transporter Refueled ")</f>
        <v>The Transporter Refueled </v>
      </c>
      <c r="S1965" s="12">
        <f t="shared" si="69"/>
        <v>35200000</v>
      </c>
    </row>
    <row r="1966" spans="1:19" x14ac:dyDescent="0.3">
      <c r="A1966" s="2" t="s">
        <v>2069</v>
      </c>
      <c r="B1966" s="2">
        <v>119</v>
      </c>
      <c r="C1966" s="3">
        <v>46813366</v>
      </c>
      <c r="D1966" s="3" t="s">
        <v>5849</v>
      </c>
      <c r="E1966" s="2" t="s">
        <v>2729</v>
      </c>
      <c r="F1966" s="2" t="s">
        <v>2071</v>
      </c>
      <c r="G1966" s="2" t="s">
        <v>771</v>
      </c>
      <c r="H1966" s="2">
        <v>24000000</v>
      </c>
      <c r="I1966" s="2">
        <v>8.1999999999999993</v>
      </c>
      <c r="J1966" s="3">
        <v>25277561</v>
      </c>
      <c r="K1966">
        <f t="shared" si="68"/>
        <v>1.3775047412552699E-3</v>
      </c>
      <c r="R1966" s="12" t="str">
        <f ca="1">IFERROR(__xludf.DUMMYFUNCTION("""COMPUTED_VALUE"""),"Black Book ")</f>
        <v>Black Book </v>
      </c>
      <c r="S1966" s="12">
        <f t="shared" si="69"/>
        <v>-1820697</v>
      </c>
    </row>
    <row r="1967" spans="1:19" x14ac:dyDescent="0.3">
      <c r="A1967" s="2" t="s">
        <v>83</v>
      </c>
      <c r="B1967" s="2">
        <v>144</v>
      </c>
      <c r="C1967" s="3">
        <v>27154426</v>
      </c>
      <c r="D1967" s="3" t="s">
        <v>5940</v>
      </c>
      <c r="E1967" s="2" t="s">
        <v>448</v>
      </c>
      <c r="F1967" s="2" t="s">
        <v>10</v>
      </c>
      <c r="G1967" s="2" t="s">
        <v>16</v>
      </c>
      <c r="H1967" s="2">
        <v>150000000</v>
      </c>
      <c r="I1967" s="2">
        <v>8</v>
      </c>
      <c r="J1967" s="3">
        <v>25296447</v>
      </c>
      <c r="K1967">
        <f t="shared" si="68"/>
        <v>1.3775047412552699E-3</v>
      </c>
      <c r="R1967" s="12" t="str">
        <f ca="1">IFERROR(__xludf.DUMMYFUNCTION("""COMPUTED_VALUE"""),"Joyeux Noel ")</f>
        <v>Joyeux Noel </v>
      </c>
      <c r="S1967" s="12">
        <f t="shared" si="69"/>
        <v>13590500</v>
      </c>
    </row>
    <row r="1968" spans="1:19" x14ac:dyDescent="0.3">
      <c r="A1968" s="2" t="s">
        <v>2035</v>
      </c>
      <c r="B1968" s="2">
        <v>108</v>
      </c>
      <c r="C1968" s="3">
        <v>12134420</v>
      </c>
      <c r="D1968" s="3" t="s">
        <v>5767</v>
      </c>
      <c r="E1968" s="2" t="s">
        <v>2329</v>
      </c>
      <c r="F1968" s="2" t="s">
        <v>10</v>
      </c>
      <c r="G1968" s="2" t="s">
        <v>11</v>
      </c>
      <c r="H1968" s="2">
        <v>30000000</v>
      </c>
      <c r="I1968" s="2">
        <v>7</v>
      </c>
      <c r="J1968" s="3">
        <v>25335935</v>
      </c>
      <c r="K1968">
        <f t="shared" si="68"/>
        <v>1.3775047412552699E-3</v>
      </c>
      <c r="R1968" s="12" t="str">
        <f ca="1">IFERROR(__xludf.DUMMYFUNCTION("""COMPUTED_VALUE"""),"Hit and Run ")</f>
        <v>Hit and Run </v>
      </c>
      <c r="S1968" s="12">
        <f t="shared" si="69"/>
        <v>-44693285</v>
      </c>
    </row>
    <row r="1969" spans="1:19" x14ac:dyDescent="0.3">
      <c r="A1969" s="2" t="s">
        <v>1108</v>
      </c>
      <c r="B1969" s="2">
        <v>97</v>
      </c>
      <c r="C1969" s="3">
        <v>52528330</v>
      </c>
      <c r="D1969" s="3" t="s">
        <v>5892</v>
      </c>
      <c r="E1969" s="2" t="s">
        <v>2768</v>
      </c>
      <c r="F1969" s="2" t="s">
        <v>10</v>
      </c>
      <c r="G1969" s="2" t="s">
        <v>11</v>
      </c>
      <c r="H1969" s="2">
        <v>22000000</v>
      </c>
      <c r="I1969" s="2">
        <v>6.4</v>
      </c>
      <c r="J1969" s="3">
        <v>25339117</v>
      </c>
      <c r="K1969">
        <f t="shared" si="68"/>
        <v>1.3775047412552699E-3</v>
      </c>
      <c r="R1969" s="12" t="str">
        <f ca="1">IFERROR(__xludf.DUMMYFUNCTION("""COMPUTED_VALUE"""),"Mad Money ")</f>
        <v>Mad Money </v>
      </c>
      <c r="S1969" s="12">
        <f t="shared" si="69"/>
        <v>-104828140</v>
      </c>
    </row>
    <row r="1970" spans="1:19" x14ac:dyDescent="0.3">
      <c r="A1970" s="2" t="s">
        <v>341</v>
      </c>
      <c r="B1970" s="2">
        <v>89</v>
      </c>
      <c r="C1970" s="3">
        <v>85570368</v>
      </c>
      <c r="D1970" s="3" t="s">
        <v>5849</v>
      </c>
      <c r="E1970" s="2" t="s">
        <v>4114</v>
      </c>
      <c r="F1970" s="2" t="s">
        <v>10</v>
      </c>
      <c r="G1970" s="2" t="s">
        <v>16</v>
      </c>
      <c r="H1970" s="2">
        <v>10000000</v>
      </c>
      <c r="I1970" s="2">
        <v>3.6</v>
      </c>
      <c r="J1970" s="3">
        <v>25359200</v>
      </c>
      <c r="K1970">
        <f t="shared" si="68"/>
        <v>1.3775047412552699E-3</v>
      </c>
      <c r="R1970" s="12" t="str">
        <f ca="1">IFERROR(__xludf.DUMMYFUNCTION("""COMPUTED_VALUE"""),"Before I Go to Sleep ")</f>
        <v>Before I Go to Sleep </v>
      </c>
      <c r="S1970" s="12">
        <f t="shared" si="69"/>
        <v>101676165</v>
      </c>
    </row>
    <row r="1971" spans="1:19" x14ac:dyDescent="0.3">
      <c r="A1971" s="2" t="s">
        <v>4726</v>
      </c>
      <c r="B1971" s="2">
        <v>100</v>
      </c>
      <c r="C1971" s="3">
        <v>6409206</v>
      </c>
      <c r="D1971" s="3" t="s">
        <v>885</v>
      </c>
      <c r="E1971" s="2" t="s">
        <v>4727</v>
      </c>
      <c r="F1971" s="2" t="s">
        <v>751</v>
      </c>
      <c r="G1971" s="2" t="s">
        <v>504</v>
      </c>
      <c r="H1971" s="2">
        <v>4600000</v>
      </c>
      <c r="I1971" s="2">
        <v>7.2</v>
      </c>
      <c r="J1971" s="3">
        <v>25407250</v>
      </c>
      <c r="K1971">
        <f t="shared" si="68"/>
        <v>1.3775047412552699E-3</v>
      </c>
      <c r="R1971" s="12" t="str">
        <f ca="1">IFERROR(__xludf.DUMMYFUNCTION("""COMPUTED_VALUE"""),"Stone ")</f>
        <v>Stone </v>
      </c>
      <c r="S1971" s="12">
        <f t="shared" si="69"/>
        <v>8359200</v>
      </c>
    </row>
    <row r="1972" spans="1:19" x14ac:dyDescent="0.3">
      <c r="A1972" s="2" t="s">
        <v>29</v>
      </c>
      <c r="B1972" s="2">
        <v>101</v>
      </c>
      <c r="C1972" s="2">
        <v>55673333</v>
      </c>
      <c r="D1972" s="3" t="s">
        <v>6133</v>
      </c>
      <c r="E1972" s="2" t="s">
        <v>487</v>
      </c>
      <c r="F1972" s="2" t="s">
        <v>10</v>
      </c>
      <c r="G1972" s="2" t="s">
        <v>11</v>
      </c>
      <c r="H1972" s="2">
        <v>80000000</v>
      </c>
      <c r="I1972" s="2">
        <v>7</v>
      </c>
      <c r="J1972" s="3">
        <v>25440971</v>
      </c>
      <c r="K1972">
        <f t="shared" si="68"/>
        <v>1.3775047412552699E-3</v>
      </c>
      <c r="R1972" s="12" t="str">
        <f ca="1">IFERROR(__xludf.DUMMYFUNCTION("""COMPUTED_VALUE"""),"Molière ")</f>
        <v>Molière </v>
      </c>
      <c r="S1972" s="12">
        <f t="shared" si="69"/>
        <v>4018450</v>
      </c>
    </row>
    <row r="1973" spans="1:19" x14ac:dyDescent="0.3">
      <c r="A1973" s="2" t="s">
        <v>2978</v>
      </c>
      <c r="B1973" s="2">
        <v>85</v>
      </c>
      <c r="C1973" s="3">
        <v>6401336</v>
      </c>
      <c r="D1973" s="3" t="s">
        <v>6056</v>
      </c>
      <c r="E1973" s="2" t="s">
        <v>4117</v>
      </c>
      <c r="F1973" s="2" t="s">
        <v>1933</v>
      </c>
      <c r="G1973" s="2" t="s">
        <v>1008</v>
      </c>
      <c r="H1973" s="2">
        <v>10000000</v>
      </c>
      <c r="I1973" s="2">
        <v>7.3</v>
      </c>
      <c r="J1973" s="3">
        <v>25450527</v>
      </c>
      <c r="K1973">
        <f t="shared" si="68"/>
        <v>1.3775047412552699E-3</v>
      </c>
      <c r="R1973" s="12" t="str">
        <f ca="1">IFERROR(__xludf.DUMMYFUNCTION("""COMPUTED_VALUE"""),"Out of the Furnace ")</f>
        <v>Out of the Furnace </v>
      </c>
      <c r="S1973" s="12">
        <f t="shared" si="69"/>
        <v>-11003417</v>
      </c>
    </row>
    <row r="1974" spans="1:19" x14ac:dyDescent="0.3">
      <c r="A1974" s="2" t="s">
        <v>137</v>
      </c>
      <c r="B1974" s="2">
        <v>113</v>
      </c>
      <c r="C1974" s="3">
        <v>52752475</v>
      </c>
      <c r="D1974" s="3" t="s">
        <v>5759</v>
      </c>
      <c r="E1974" s="2" t="s">
        <v>138</v>
      </c>
      <c r="F1974" s="2" t="s">
        <v>10</v>
      </c>
      <c r="G1974" s="2" t="s">
        <v>11</v>
      </c>
      <c r="H1974" s="2">
        <v>178000000</v>
      </c>
      <c r="I1974" s="2">
        <v>7.9</v>
      </c>
      <c r="J1974" s="3">
        <v>25464480</v>
      </c>
      <c r="K1974">
        <f t="shared" si="68"/>
        <v>1.3775047412552699E-3</v>
      </c>
      <c r="R1974" s="12" t="str">
        <f ca="1">IFERROR(__xludf.DUMMYFUNCTION("""COMPUTED_VALUE"""),"Michael Clayton ")</f>
        <v>Michael Clayton </v>
      </c>
      <c r="S1974" s="12">
        <f t="shared" si="69"/>
        <v>-14594502</v>
      </c>
    </row>
    <row r="1975" spans="1:19" x14ac:dyDescent="0.3">
      <c r="A1975" s="2" t="s">
        <v>738</v>
      </c>
      <c r="B1975" s="2">
        <v>91</v>
      </c>
      <c r="C1975" s="3">
        <v>3904982</v>
      </c>
      <c r="D1975" s="3" t="s">
        <v>5929</v>
      </c>
      <c r="E1975" s="2" t="s">
        <v>5288</v>
      </c>
      <c r="F1975" s="2" t="s">
        <v>10</v>
      </c>
      <c r="G1975" s="2" t="s">
        <v>11</v>
      </c>
      <c r="H1975" s="2">
        <v>1000000</v>
      </c>
      <c r="I1975" s="2">
        <v>6.6</v>
      </c>
      <c r="J1975" s="3">
        <v>25472967</v>
      </c>
      <c r="K1975">
        <f t="shared" si="68"/>
        <v>1.3775047412552699E-3</v>
      </c>
      <c r="R1975" s="12" t="str">
        <f ca="1">IFERROR(__xludf.DUMMYFUNCTION("""COMPUTED_VALUE"""),"My Fellow Americans ")</f>
        <v>My Fellow Americans </v>
      </c>
      <c r="S1975" s="12">
        <f t="shared" si="69"/>
        <v>-52187971</v>
      </c>
    </row>
    <row r="1976" spans="1:19" x14ac:dyDescent="0.3">
      <c r="A1976" s="2" t="s">
        <v>1602</v>
      </c>
      <c r="B1976" s="2">
        <v>114</v>
      </c>
      <c r="C1976" s="3">
        <v>41227069</v>
      </c>
      <c r="D1976" s="3" t="s">
        <v>5884</v>
      </c>
      <c r="E1976" s="2" t="s">
        <v>2313</v>
      </c>
      <c r="F1976" s="2" t="s">
        <v>10</v>
      </c>
      <c r="G1976" s="2" t="s">
        <v>11</v>
      </c>
      <c r="H1976" s="2">
        <v>30000000</v>
      </c>
      <c r="I1976" s="2">
        <v>7</v>
      </c>
      <c r="J1976" s="3">
        <v>25482931</v>
      </c>
      <c r="K1976">
        <f t="shared" si="68"/>
        <v>1.3775047412552699E-3</v>
      </c>
      <c r="R1976" s="12" t="str">
        <f ca="1">IFERROR(__xludf.DUMMYFUNCTION("""COMPUTED_VALUE"""),"Arlington Road ")</f>
        <v>Arlington Road </v>
      </c>
      <c r="S1976" s="12">
        <f t="shared" si="69"/>
        <v>52245055</v>
      </c>
    </row>
    <row r="1977" spans="1:19" x14ac:dyDescent="0.3">
      <c r="A1977" s="2" t="s">
        <v>1795</v>
      </c>
      <c r="B1977" s="2">
        <v>107</v>
      </c>
      <c r="C1977" s="3">
        <v>21557240</v>
      </c>
      <c r="D1977" s="3" t="s">
        <v>6020</v>
      </c>
      <c r="E1977" s="2" t="s">
        <v>1796</v>
      </c>
      <c r="F1977" s="2" t="s">
        <v>10</v>
      </c>
      <c r="G1977" s="2" t="s">
        <v>11</v>
      </c>
      <c r="H1977" s="2">
        <v>51000000</v>
      </c>
      <c r="I1977" s="2">
        <v>4.2</v>
      </c>
      <c r="J1977" s="3">
        <v>25517500</v>
      </c>
      <c r="K1977">
        <f t="shared" si="68"/>
        <v>1.3775047412552699E-3</v>
      </c>
      <c r="R1977" s="12" t="str">
        <f ca="1">IFERROR(__xludf.DUMMYFUNCTION("""COMPUTED_VALUE"""),"To Rome with Love ")</f>
        <v>To Rome with Love </v>
      </c>
      <c r="S1977" s="12">
        <f t="shared" si="69"/>
        <v>-5731467</v>
      </c>
    </row>
    <row r="1978" spans="1:19" x14ac:dyDescent="0.3">
      <c r="A1978" s="2" t="s">
        <v>87</v>
      </c>
      <c r="B1978" s="2">
        <v>103</v>
      </c>
      <c r="C1978" s="3">
        <v>4193025</v>
      </c>
      <c r="D1978" s="3" t="s">
        <v>5776</v>
      </c>
      <c r="E1978" s="2" t="s">
        <v>980</v>
      </c>
      <c r="F1978" s="2" t="s">
        <v>10</v>
      </c>
      <c r="G1978" s="2" t="s">
        <v>11</v>
      </c>
      <c r="H1978" s="2">
        <v>65000000</v>
      </c>
      <c r="I1978" s="2">
        <v>6.3</v>
      </c>
      <c r="J1978" s="3">
        <v>25528495</v>
      </c>
      <c r="K1978">
        <f t="shared" si="68"/>
        <v>1.3775047412552699E-3</v>
      </c>
      <c r="R1978" s="12" t="str">
        <f ca="1">IFERROR(__xludf.DUMMYFUNCTION("""COMPUTED_VALUE"""),"Firefox ")</f>
        <v>Firefox </v>
      </c>
      <c r="S1978" s="12">
        <f t="shared" si="69"/>
        <v>1484378</v>
      </c>
    </row>
    <row r="1979" spans="1:19" x14ac:dyDescent="0.3">
      <c r="A1979" s="2" t="s">
        <v>1170</v>
      </c>
      <c r="B1979" s="2">
        <v>143</v>
      </c>
      <c r="C1979" s="3">
        <v>76400000</v>
      </c>
      <c r="D1979" s="3" t="s">
        <v>520</v>
      </c>
      <c r="E1979" s="2" t="s">
        <v>2147</v>
      </c>
      <c r="F1979" s="2" t="s">
        <v>10</v>
      </c>
      <c r="G1979" s="2" t="s">
        <v>11</v>
      </c>
      <c r="H1979" s="2">
        <v>6500000</v>
      </c>
      <c r="I1979" s="2">
        <v>7.3</v>
      </c>
      <c r="J1979" s="3">
        <v>25530884</v>
      </c>
      <c r="K1979">
        <f t="shared" si="68"/>
        <v>1.3775047412552699E-3</v>
      </c>
      <c r="R1979" s="12" t="str">
        <f ca="1">IFERROR(__xludf.DUMMYFUNCTION("""COMPUTED_VALUE"""),"South Park: Bigger Longer &amp; Uncut ")</f>
        <v>South Park: Bigger Longer &amp; Uncut </v>
      </c>
      <c r="S1979" s="12">
        <f t="shared" si="69"/>
        <v>-19000000</v>
      </c>
    </row>
    <row r="1980" spans="1:19" x14ac:dyDescent="0.3">
      <c r="A1980" s="2" t="s">
        <v>1728</v>
      </c>
      <c r="B1980" s="2">
        <v>80</v>
      </c>
      <c r="C1980" s="3">
        <v>25600000</v>
      </c>
      <c r="D1980" s="3" t="s">
        <v>6162</v>
      </c>
      <c r="E1980" s="2" t="s">
        <v>5574</v>
      </c>
      <c r="F1980" s="2" t="s">
        <v>10</v>
      </c>
      <c r="G1980" s="2" t="s">
        <v>11</v>
      </c>
      <c r="H1980" s="2">
        <v>300000</v>
      </c>
      <c r="I1980" s="2">
        <v>7.1</v>
      </c>
      <c r="J1980" s="3">
        <v>25556065</v>
      </c>
      <c r="K1980">
        <f t="shared" si="68"/>
        <v>1.3775047412552699E-3</v>
      </c>
      <c r="R1980" s="12" t="str">
        <f ca="1">IFERROR(__xludf.DUMMYFUNCTION("""COMPUTED_VALUE"""),"Death at a Funeral ")</f>
        <v>Death at a Funeral </v>
      </c>
      <c r="S1980" s="12">
        <f t="shared" si="69"/>
        <v>-2764434</v>
      </c>
    </row>
    <row r="1981" spans="1:19" x14ac:dyDescent="0.3">
      <c r="A1981" s="2" t="s">
        <v>1113</v>
      </c>
      <c r="B1981" s="2">
        <v>98</v>
      </c>
      <c r="C1981" s="3">
        <v>41102171</v>
      </c>
      <c r="D1981" s="3" t="s">
        <v>6201</v>
      </c>
      <c r="E1981" s="2" t="s">
        <v>4480</v>
      </c>
      <c r="F1981" s="2" t="s">
        <v>10</v>
      </c>
      <c r="G1981" s="2" t="s">
        <v>11</v>
      </c>
      <c r="H1981" s="2">
        <v>6000000</v>
      </c>
      <c r="I1981" s="2">
        <v>7.4</v>
      </c>
      <c r="J1981" s="3">
        <v>25571351</v>
      </c>
      <c r="K1981">
        <f t="shared" si="68"/>
        <v>1.3775047412552699E-3</v>
      </c>
      <c r="R1981" s="12" t="str">
        <f ca="1">IFERROR(__xludf.DUMMYFUNCTION("""COMPUTED_VALUE"""),"Teenage Mutant Ninja Turtles III ")</f>
        <v>Teenage Mutant Ninja Turtles III </v>
      </c>
      <c r="S1981" s="12">
        <f t="shared" si="69"/>
        <v>76443253</v>
      </c>
    </row>
    <row r="1982" spans="1:19" x14ac:dyDescent="0.3">
      <c r="A1982" s="2" t="s">
        <v>1160</v>
      </c>
      <c r="B1982" s="2">
        <v>96</v>
      </c>
      <c r="C1982" s="3">
        <v>29580087</v>
      </c>
      <c r="D1982" s="3" t="s">
        <v>6297</v>
      </c>
      <c r="E1982" s="2" t="s">
        <v>1724</v>
      </c>
      <c r="F1982" s="2" t="s">
        <v>10</v>
      </c>
      <c r="G1982" s="2" t="s">
        <v>11</v>
      </c>
      <c r="H1982" s="3">
        <v>50007168</v>
      </c>
      <c r="I1982" s="2">
        <v>6.6</v>
      </c>
      <c r="J1982" s="3">
        <v>25584685</v>
      </c>
      <c r="K1982">
        <f t="shared" si="68"/>
        <v>1.3775047412552699E-3</v>
      </c>
      <c r="R1982" s="12" t="str">
        <f ca="1">IFERROR(__xludf.DUMMYFUNCTION("""COMPUTED_VALUE"""),"Hardball ")</f>
        <v>Hardball </v>
      </c>
      <c r="S1982" s="12">
        <f t="shared" si="69"/>
        <v>-24921835</v>
      </c>
    </row>
    <row r="1983" spans="1:19" x14ac:dyDescent="0.3">
      <c r="A1983" s="2" t="s">
        <v>268</v>
      </c>
      <c r="B1983" s="2">
        <v>143</v>
      </c>
      <c r="C1983" s="3">
        <v>23159305</v>
      </c>
      <c r="D1983" s="3" t="s">
        <v>6234</v>
      </c>
      <c r="E1983" s="2" t="s">
        <v>481</v>
      </c>
      <c r="F1983" s="2" t="s">
        <v>10</v>
      </c>
      <c r="G1983" s="2" t="s">
        <v>199</v>
      </c>
      <c r="H1983" s="2">
        <v>100000000</v>
      </c>
      <c r="I1983" s="2">
        <v>8</v>
      </c>
      <c r="J1983" s="3">
        <v>25590119</v>
      </c>
      <c r="K1983">
        <f t="shared" si="68"/>
        <v>1.3775047412552699E-3</v>
      </c>
      <c r="R1983" s="12" t="str">
        <f ca="1">IFERROR(__xludf.DUMMYFUNCTION("""COMPUTED_VALUE"""),"Silver Linings Playbook ")</f>
        <v>Silver Linings Playbook </v>
      </c>
      <c r="S1983" s="12">
        <f t="shared" si="69"/>
        <v>-104003560</v>
      </c>
    </row>
    <row r="1984" spans="1:19" x14ac:dyDescent="0.3">
      <c r="A1984" s="2" t="s">
        <v>1434</v>
      </c>
      <c r="B1984" s="2">
        <v>99</v>
      </c>
      <c r="C1984" s="3">
        <v>43119879</v>
      </c>
      <c r="D1984" s="3" t="s">
        <v>6298</v>
      </c>
      <c r="E1984" s="2" t="s">
        <v>3045</v>
      </c>
      <c r="F1984" s="2" t="s">
        <v>10</v>
      </c>
      <c r="G1984" s="2" t="s">
        <v>16</v>
      </c>
      <c r="H1984" s="2">
        <v>15000000</v>
      </c>
      <c r="I1984" s="2">
        <v>6.5</v>
      </c>
      <c r="J1984" s="3">
        <v>25592632</v>
      </c>
      <c r="K1984">
        <f t="shared" si="68"/>
        <v>1.3775047412552699E-3</v>
      </c>
      <c r="R1984" s="12" t="str">
        <f ca="1">IFERROR(__xludf.DUMMYFUNCTION("""COMPUTED_VALUE"""),"Freedom Writers ")</f>
        <v>Freedom Writers </v>
      </c>
      <c r="S1984" s="12">
        <f t="shared" si="69"/>
        <v>-1945720</v>
      </c>
    </row>
    <row r="1985" spans="1:19" x14ac:dyDescent="0.3">
      <c r="A1985" s="2" t="s">
        <v>1330</v>
      </c>
      <c r="B1985" s="2">
        <v>106</v>
      </c>
      <c r="C1985" s="3">
        <v>52543632</v>
      </c>
      <c r="D1985" s="3" t="s">
        <v>5973</v>
      </c>
      <c r="E1985" s="2" t="s">
        <v>3020</v>
      </c>
      <c r="F1985" s="2" t="s">
        <v>10</v>
      </c>
      <c r="G1985" s="2" t="s">
        <v>11</v>
      </c>
      <c r="H1985" s="2">
        <v>20000000</v>
      </c>
      <c r="I1985" s="2">
        <v>6</v>
      </c>
      <c r="J1985" s="3">
        <v>25600000</v>
      </c>
      <c r="K1985">
        <f t="shared" si="68"/>
        <v>1.3775047412552699E-3</v>
      </c>
      <c r="R1985" s="12" t="str">
        <f ca="1">IFERROR(__xludf.DUMMYFUNCTION("""COMPUTED_VALUE"""),"The Transporter ")</f>
        <v>The Transporter </v>
      </c>
      <c r="S1985" s="12">
        <f t="shared" si="69"/>
        <v>43700000</v>
      </c>
    </row>
    <row r="1986" spans="1:19" x14ac:dyDescent="0.3">
      <c r="A1986" s="2" t="s">
        <v>4860</v>
      </c>
      <c r="B1986" s="2">
        <v>93</v>
      </c>
      <c r="C1986" s="3">
        <v>23089926</v>
      </c>
      <c r="D1986" s="3" t="s">
        <v>6274</v>
      </c>
      <c r="E1986" s="2" t="s">
        <v>4861</v>
      </c>
      <c r="F1986" s="2" t="s">
        <v>10</v>
      </c>
      <c r="G1986" s="2" t="s">
        <v>11</v>
      </c>
      <c r="H1986" s="2">
        <v>3500000</v>
      </c>
      <c r="I1986" s="2">
        <v>3.9</v>
      </c>
      <c r="J1986" s="3">
        <v>25615792</v>
      </c>
      <c r="K1986">
        <f t="shared" ref="K1986:K2049" si="70">CORREL(H$2:H$3941,J$2:J$3941)</f>
        <v>1.3775047412552699E-3</v>
      </c>
      <c r="R1986" s="12" t="str">
        <f ca="1">IFERROR(__xludf.DUMMYFUNCTION("""COMPUTED_VALUE"""),"Never Back Down ")</f>
        <v>Never Back Down </v>
      </c>
      <c r="S1986" s="12">
        <f t="shared" si="69"/>
        <v>35960517</v>
      </c>
    </row>
    <row r="1987" spans="1:19" x14ac:dyDescent="0.3">
      <c r="A1987" s="2" t="s">
        <v>1542</v>
      </c>
      <c r="B1987" s="2">
        <v>94</v>
      </c>
      <c r="C1987" s="3">
        <v>65069140</v>
      </c>
      <c r="D1987" s="3" t="s">
        <v>520</v>
      </c>
      <c r="E1987" s="2" t="s">
        <v>1543</v>
      </c>
      <c r="F1987" s="2" t="s">
        <v>10</v>
      </c>
      <c r="G1987" s="2" t="s">
        <v>504</v>
      </c>
      <c r="H1987" s="2">
        <v>45000000</v>
      </c>
      <c r="I1987" s="2">
        <v>6.3</v>
      </c>
      <c r="J1987" s="3">
        <v>25625110</v>
      </c>
      <c r="K1987">
        <f t="shared" si="70"/>
        <v>1.3775047412552699E-3</v>
      </c>
      <c r="R1987" s="12" t="str">
        <f ca="1">IFERROR(__xludf.DUMMYFUNCTION("""COMPUTED_VALUE"""),"The Rage: Carrie 2 ")</f>
        <v>The Rage: Carrie 2 </v>
      </c>
      <c r="S1987" s="12">
        <f t="shared" si="69"/>
        <v>-10750995</v>
      </c>
    </row>
    <row r="1988" spans="1:19" x14ac:dyDescent="0.3">
      <c r="A1988" s="2" t="s">
        <v>2427</v>
      </c>
      <c r="B1988" s="2">
        <v>120</v>
      </c>
      <c r="C1988" s="3">
        <v>43818159</v>
      </c>
      <c r="D1988" s="3" t="s">
        <v>6201</v>
      </c>
      <c r="E1988" s="2" t="s">
        <v>4177</v>
      </c>
      <c r="F1988" s="2" t="s">
        <v>10</v>
      </c>
      <c r="G1988" s="2" t="s">
        <v>11</v>
      </c>
      <c r="H1988" s="2">
        <v>9000000</v>
      </c>
      <c r="I1988" s="2">
        <v>6.7</v>
      </c>
      <c r="J1988" s="3">
        <v>25675765</v>
      </c>
      <c r="K1988">
        <f t="shared" si="70"/>
        <v>1.3775047412552699E-3</v>
      </c>
      <c r="R1988" s="12" t="str">
        <f ca="1">IFERROR(__xludf.DUMMYFUNCTION("""COMPUTED_VALUE"""),"Away We Go ")</f>
        <v>Away We Go </v>
      </c>
      <c r="S1988" s="12">
        <f t="shared" si="69"/>
        <v>22813366</v>
      </c>
    </row>
    <row r="1989" spans="1:19" x14ac:dyDescent="0.3">
      <c r="A1989" s="2" t="s">
        <v>3444</v>
      </c>
      <c r="B1989" s="2">
        <v>110</v>
      </c>
      <c r="C1989" s="3">
        <v>29374178</v>
      </c>
      <c r="D1989" s="3" t="s">
        <v>5770</v>
      </c>
      <c r="E1989" s="2" t="s">
        <v>3903</v>
      </c>
      <c r="F1989" s="2" t="s">
        <v>10</v>
      </c>
      <c r="G1989" s="2" t="s">
        <v>11</v>
      </c>
      <c r="H1989" s="2">
        <v>11000000</v>
      </c>
      <c r="I1989" s="2">
        <v>7.3</v>
      </c>
      <c r="J1989" s="3">
        <v>25677801</v>
      </c>
      <c r="K1989">
        <f t="shared" si="70"/>
        <v>1.3775047412552699E-3</v>
      </c>
      <c r="R1989" s="12" t="str">
        <f ca="1">IFERROR(__xludf.DUMMYFUNCTION("""COMPUTED_VALUE"""),"Swing Vote ")</f>
        <v>Swing Vote </v>
      </c>
      <c r="S1989" s="12">
        <f t="shared" si="69"/>
        <v>-122845574</v>
      </c>
    </row>
    <row r="1990" spans="1:19" x14ac:dyDescent="0.3">
      <c r="A1990" s="2" t="s">
        <v>954</v>
      </c>
      <c r="B1990" s="2">
        <v>108</v>
      </c>
      <c r="C1990" s="3">
        <v>30127963</v>
      </c>
      <c r="D1990" s="3" t="s">
        <v>5818</v>
      </c>
      <c r="E1990" s="2" t="s">
        <v>3028</v>
      </c>
      <c r="F1990" s="2" t="s">
        <v>10</v>
      </c>
      <c r="G1990" s="2" t="s">
        <v>11</v>
      </c>
      <c r="H1990" s="2">
        <v>20000000</v>
      </c>
      <c r="I1990" s="2">
        <v>6.3</v>
      </c>
      <c r="J1990" s="3">
        <v>25753840</v>
      </c>
      <c r="K1990">
        <f t="shared" si="70"/>
        <v>1.3775047412552699E-3</v>
      </c>
      <c r="R1990" s="12" t="str">
        <f ca="1">IFERROR(__xludf.DUMMYFUNCTION("""COMPUTED_VALUE"""),"Moonlight Mile ")</f>
        <v>Moonlight Mile </v>
      </c>
      <c r="S1990" s="12">
        <f t="shared" si="69"/>
        <v>-17865580</v>
      </c>
    </row>
    <row r="1991" spans="1:19" x14ac:dyDescent="0.3">
      <c r="A1991" s="2" t="s">
        <v>133</v>
      </c>
      <c r="B1991" s="2">
        <v>116</v>
      </c>
      <c r="C1991" s="3">
        <v>46611204</v>
      </c>
      <c r="D1991" s="3" t="s">
        <v>5940</v>
      </c>
      <c r="E1991" s="2" t="s">
        <v>5084</v>
      </c>
      <c r="F1991" s="2" t="s">
        <v>10</v>
      </c>
      <c r="G1991" s="2" t="s">
        <v>11</v>
      </c>
      <c r="H1991" s="3">
        <v>32741596</v>
      </c>
      <c r="I1991" s="2">
        <v>7</v>
      </c>
      <c r="J1991" s="3">
        <v>25776062</v>
      </c>
      <c r="K1991">
        <f t="shared" si="70"/>
        <v>1.3775047412552699E-3</v>
      </c>
      <c r="R1991" s="12" t="str">
        <f ca="1">IFERROR(__xludf.DUMMYFUNCTION("""COMPUTED_VALUE"""),"Tinker Tailor Soldier Spy ")</f>
        <v>Tinker Tailor Soldier Spy </v>
      </c>
      <c r="S1991" s="12">
        <f t="shared" si="69"/>
        <v>30528330</v>
      </c>
    </row>
    <row r="1992" spans="1:19" x14ac:dyDescent="0.3">
      <c r="A1992" s="2" t="s">
        <v>240</v>
      </c>
      <c r="B1992" s="2">
        <v>91</v>
      </c>
      <c r="C1992" s="3">
        <v>76400000</v>
      </c>
      <c r="D1992" s="3" t="s">
        <v>6299</v>
      </c>
      <c r="E1992" s="2" t="s">
        <v>1073</v>
      </c>
      <c r="F1992" s="2" t="s">
        <v>10</v>
      </c>
      <c r="G1992" s="2" t="s">
        <v>11</v>
      </c>
      <c r="H1992" s="2">
        <v>48000000</v>
      </c>
      <c r="I1992" s="2">
        <v>5</v>
      </c>
      <c r="J1992" s="3">
        <v>25799043</v>
      </c>
      <c r="K1992">
        <f t="shared" si="70"/>
        <v>1.3775047412552699E-3</v>
      </c>
      <c r="R1992" s="12" t="str">
        <f ca="1">IFERROR(__xludf.DUMMYFUNCTION("""COMPUTED_VALUE"""),"Molly ")</f>
        <v>Molly </v>
      </c>
      <c r="S1992" s="12">
        <f t="shared" si="69"/>
        <v>75570368</v>
      </c>
    </row>
    <row r="1993" spans="1:19" x14ac:dyDescent="0.3">
      <c r="A1993" s="2" t="s">
        <v>330</v>
      </c>
      <c r="B1993" s="2">
        <v>132</v>
      </c>
      <c r="C1993" s="3">
        <v>103338338</v>
      </c>
      <c r="D1993" s="3" t="s">
        <v>6300</v>
      </c>
      <c r="E1993" s="2" t="s">
        <v>593</v>
      </c>
      <c r="F1993" s="2" t="s">
        <v>10</v>
      </c>
      <c r="G1993" s="2" t="s">
        <v>11</v>
      </c>
      <c r="H1993" s="2">
        <v>100000000</v>
      </c>
      <c r="I1993" s="2">
        <v>6.8</v>
      </c>
      <c r="J1993" s="3">
        <v>25809813</v>
      </c>
      <c r="K1993">
        <f t="shared" si="70"/>
        <v>1.3775047412552699E-3</v>
      </c>
      <c r="R1993" s="12" t="str">
        <f ca="1">IFERROR(__xludf.DUMMYFUNCTION("""COMPUTED_VALUE"""),"The Beaver ")</f>
        <v>The Beaver </v>
      </c>
      <c r="S1993" s="12">
        <f t="shared" si="69"/>
        <v>1809206</v>
      </c>
    </row>
    <row r="1994" spans="1:19" x14ac:dyDescent="0.3">
      <c r="A1994" s="2" t="s">
        <v>2208</v>
      </c>
      <c r="B1994" s="2">
        <v>99</v>
      </c>
      <c r="C1994" s="3">
        <v>26384919</v>
      </c>
      <c r="D1994" s="3" t="s">
        <v>6134</v>
      </c>
      <c r="E1994" s="2" t="s">
        <v>2209</v>
      </c>
      <c r="F1994" s="2" t="s">
        <v>10</v>
      </c>
      <c r="G1994" s="2" t="s">
        <v>11</v>
      </c>
      <c r="H1994" s="2">
        <v>30000000</v>
      </c>
      <c r="I1994" s="2">
        <v>6</v>
      </c>
      <c r="J1994" s="3">
        <v>25842000</v>
      </c>
      <c r="K1994">
        <f t="shared" si="70"/>
        <v>1.3775047412552699E-3</v>
      </c>
      <c r="R1994" s="12" t="str">
        <f ca="1">IFERROR(__xludf.DUMMYFUNCTION("""COMPUTED_VALUE"""),"The Best Little Whorehouse in Texas ")</f>
        <v>The Best Little Whorehouse in Texas </v>
      </c>
      <c r="S1994" s="12">
        <f t="shared" si="69"/>
        <v>-24326667</v>
      </c>
    </row>
    <row r="1995" spans="1:19" x14ac:dyDescent="0.3">
      <c r="A1995" s="2" t="s">
        <v>87</v>
      </c>
      <c r="B1995" s="2">
        <v>107</v>
      </c>
      <c r="C1995" s="3">
        <v>4734235</v>
      </c>
      <c r="D1995" s="3" t="s">
        <v>6127</v>
      </c>
      <c r="E1995" s="2" t="s">
        <v>364</v>
      </c>
      <c r="F1995" s="2" t="s">
        <v>10</v>
      </c>
      <c r="G1995" s="2" t="s">
        <v>11</v>
      </c>
      <c r="H1995" s="2">
        <v>120000000</v>
      </c>
      <c r="I1995" s="2">
        <v>4.8</v>
      </c>
      <c r="J1995" s="3">
        <v>25857987</v>
      </c>
      <c r="K1995">
        <f t="shared" si="70"/>
        <v>1.3775047412552699E-3</v>
      </c>
      <c r="R1995" s="12" t="str">
        <f ca="1">IFERROR(__xludf.DUMMYFUNCTION("""COMPUTED_VALUE"""),"eXistenZ ")</f>
        <v>eXistenZ </v>
      </c>
      <c r="S1995" s="12">
        <f t="shared" si="69"/>
        <v>-3598664</v>
      </c>
    </row>
    <row r="1996" spans="1:19" x14ac:dyDescent="0.3">
      <c r="A1996" s="2" t="s">
        <v>108</v>
      </c>
      <c r="B1996" s="2">
        <v>132</v>
      </c>
      <c r="C1996" s="3">
        <v>14252830</v>
      </c>
      <c r="D1996" s="3" t="s">
        <v>5849</v>
      </c>
      <c r="E1996" s="2" t="s">
        <v>340</v>
      </c>
      <c r="F1996" s="2" t="s">
        <v>10</v>
      </c>
      <c r="G1996" s="2" t="s">
        <v>11</v>
      </c>
      <c r="H1996" s="2">
        <v>125000000</v>
      </c>
      <c r="I1996" s="2">
        <v>7.3</v>
      </c>
      <c r="J1996" s="3">
        <v>25863915</v>
      </c>
      <c r="K1996">
        <f t="shared" si="70"/>
        <v>1.3775047412552699E-3</v>
      </c>
      <c r="R1996" s="12" t="str">
        <f ca="1">IFERROR(__xludf.DUMMYFUNCTION("""COMPUTED_VALUE"""),"Raiders of the Lost Ark ")</f>
        <v>Raiders of the Lost Ark </v>
      </c>
      <c r="S1996" s="12">
        <f t="shared" si="69"/>
        <v>-125247525</v>
      </c>
    </row>
    <row r="1997" spans="1:19" x14ac:dyDescent="0.3">
      <c r="A1997" s="2" t="s">
        <v>5317</v>
      </c>
      <c r="B1997" s="2">
        <v>94</v>
      </c>
      <c r="C1997" s="3">
        <v>14375181</v>
      </c>
      <c r="D1997" s="3" t="s">
        <v>6301</v>
      </c>
      <c r="E1997" s="2" t="s">
        <v>5318</v>
      </c>
      <c r="F1997" s="2" t="s">
        <v>10</v>
      </c>
      <c r="G1997" s="2" t="s">
        <v>11</v>
      </c>
      <c r="H1997" s="2">
        <v>1000000</v>
      </c>
      <c r="I1997" s="2">
        <v>7</v>
      </c>
      <c r="J1997" s="3">
        <v>25871834</v>
      </c>
      <c r="K1997">
        <f t="shared" si="70"/>
        <v>1.3775047412552699E-3</v>
      </c>
      <c r="R1997" s="12" t="str">
        <f ca="1">IFERROR(__xludf.DUMMYFUNCTION("""COMPUTED_VALUE"""),"Home Alone 2: Lost in New York ")</f>
        <v>Home Alone 2: Lost in New York </v>
      </c>
      <c r="S1997" s="12">
        <f t="shared" si="69"/>
        <v>2904982</v>
      </c>
    </row>
    <row r="1998" spans="1:19" x14ac:dyDescent="0.3">
      <c r="A1998" s="2" t="s">
        <v>3915</v>
      </c>
      <c r="B1998" s="2">
        <v>95</v>
      </c>
      <c r="C1998" s="3">
        <v>7000000</v>
      </c>
      <c r="D1998" s="3" t="s">
        <v>5767</v>
      </c>
      <c r="E1998" s="2" t="s">
        <v>3916</v>
      </c>
      <c r="F1998" s="2" t="s">
        <v>10</v>
      </c>
      <c r="G1998" s="2" t="s">
        <v>11</v>
      </c>
      <c r="H1998" s="2">
        <v>11000000</v>
      </c>
      <c r="I1998" s="2">
        <v>5.3</v>
      </c>
      <c r="J1998" s="3">
        <v>25900000</v>
      </c>
      <c r="K1998">
        <f t="shared" si="70"/>
        <v>1.3775047412552699E-3</v>
      </c>
      <c r="R1998" s="12" t="str">
        <f ca="1">IFERROR(__xludf.DUMMYFUNCTION("""COMPUTED_VALUE"""),"Close Encounters of the Third Kind ")</f>
        <v>Close Encounters of the Third Kind </v>
      </c>
      <c r="S1998" s="12">
        <f t="shared" si="69"/>
        <v>11227069</v>
      </c>
    </row>
    <row r="1999" spans="1:19" x14ac:dyDescent="0.3">
      <c r="A1999" s="2" t="s">
        <v>5524</v>
      </c>
      <c r="B1999" s="2">
        <v>108</v>
      </c>
      <c r="C1999" s="3">
        <v>60400856</v>
      </c>
      <c r="D1999" s="3" t="s">
        <v>6251</v>
      </c>
      <c r="E1999" s="2" t="s">
        <v>5525</v>
      </c>
      <c r="F1999" s="2" t="s">
        <v>10</v>
      </c>
      <c r="G1999" s="2" t="s">
        <v>11</v>
      </c>
      <c r="H1999" s="2">
        <v>500000</v>
      </c>
      <c r="I1999" s="2">
        <v>5.7</v>
      </c>
      <c r="J1999" s="3">
        <v>25926543</v>
      </c>
      <c r="K1999">
        <f t="shared" si="70"/>
        <v>1.3775047412552699E-3</v>
      </c>
      <c r="R1999" s="12" t="str">
        <f ca="1">IFERROR(__xludf.DUMMYFUNCTION("""COMPUTED_VALUE"""),"Pulse ")</f>
        <v>Pulse </v>
      </c>
      <c r="S1999" s="12">
        <f t="shared" si="69"/>
        <v>-29442760</v>
      </c>
    </row>
    <row r="2000" spans="1:19" x14ac:dyDescent="0.3">
      <c r="A2000" s="2" t="s">
        <v>4137</v>
      </c>
      <c r="B2000" s="2">
        <v>91</v>
      </c>
      <c r="C2000" s="3">
        <v>20998709</v>
      </c>
      <c r="D2000" s="3" t="s">
        <v>520</v>
      </c>
      <c r="E2000" s="2" t="s">
        <v>4138</v>
      </c>
      <c r="F2000" s="2" t="s">
        <v>10</v>
      </c>
      <c r="G2000" s="2" t="s">
        <v>11</v>
      </c>
      <c r="H2000" s="2">
        <v>10000000</v>
      </c>
      <c r="I2000" s="2">
        <v>5.5</v>
      </c>
      <c r="J2000" s="3">
        <v>25977365</v>
      </c>
      <c r="K2000">
        <f t="shared" si="70"/>
        <v>1.3775047412552699E-3</v>
      </c>
      <c r="R2000" s="12" t="str">
        <f ca="1">IFERROR(__xludf.DUMMYFUNCTION("""COMPUTED_VALUE"""),"Beverly Hills Cop II ")</f>
        <v>Beverly Hills Cop II </v>
      </c>
      <c r="S2000" s="12">
        <f t="shared" si="69"/>
        <v>-60806975</v>
      </c>
    </row>
    <row r="2001" spans="1:19" x14ac:dyDescent="0.3">
      <c r="A2001" s="2" t="s">
        <v>41</v>
      </c>
      <c r="B2001" s="2">
        <v>136</v>
      </c>
      <c r="C2001" s="3">
        <v>1110286</v>
      </c>
      <c r="D2001" s="3" t="s">
        <v>5869</v>
      </c>
      <c r="E2001" s="2" t="s">
        <v>42</v>
      </c>
      <c r="F2001" s="2" t="s">
        <v>10</v>
      </c>
      <c r="G2001" s="2" t="s">
        <v>11</v>
      </c>
      <c r="H2001" s="2">
        <v>250000000</v>
      </c>
      <c r="I2001" s="2">
        <v>6.7</v>
      </c>
      <c r="J2001" s="3">
        <v>26000610</v>
      </c>
      <c r="K2001">
        <f t="shared" si="70"/>
        <v>1.3775047412552699E-3</v>
      </c>
      <c r="R2001" s="12" t="str">
        <f ca="1">IFERROR(__xludf.DUMMYFUNCTION("""COMPUTED_VALUE"""),"Bringing Down the House ")</f>
        <v>Bringing Down the House </v>
      </c>
      <c r="S2001" s="12">
        <f t="shared" si="69"/>
        <v>69900000</v>
      </c>
    </row>
    <row r="2002" spans="1:19" x14ac:dyDescent="0.3">
      <c r="A2002" s="2" t="s">
        <v>440</v>
      </c>
      <c r="B2002" s="2">
        <v>102</v>
      </c>
      <c r="C2002" s="3">
        <v>29500000</v>
      </c>
      <c r="D2002" s="3" t="s">
        <v>5794</v>
      </c>
      <c r="E2002" s="2" t="s">
        <v>2189</v>
      </c>
      <c r="F2002" s="2" t="s">
        <v>10</v>
      </c>
      <c r="G2002" s="2" t="s">
        <v>11</v>
      </c>
      <c r="H2002" s="2">
        <v>30000000</v>
      </c>
      <c r="I2002" s="2">
        <v>4.2</v>
      </c>
      <c r="J2002" s="3">
        <v>26003149</v>
      </c>
      <c r="K2002">
        <f t="shared" si="70"/>
        <v>1.3775047412552699E-3</v>
      </c>
      <c r="R2002" s="12" t="str">
        <f ca="1">IFERROR(__xludf.DUMMYFUNCTION("""COMPUTED_VALUE"""),"The Silence of the Lambs ")</f>
        <v>The Silence of the Lambs </v>
      </c>
      <c r="S2002" s="12">
        <f t="shared" si="69"/>
        <v>25300000</v>
      </c>
    </row>
    <row r="2003" spans="1:19" x14ac:dyDescent="0.3">
      <c r="A2003" s="2" t="s">
        <v>2653</v>
      </c>
      <c r="B2003" s="2">
        <v>92</v>
      </c>
      <c r="C2003" s="3">
        <v>65269010</v>
      </c>
      <c r="D2003" s="3" t="s">
        <v>6134</v>
      </c>
      <c r="E2003" s="2" t="s">
        <v>2654</v>
      </c>
      <c r="F2003" s="2" t="s">
        <v>10</v>
      </c>
      <c r="G2003" s="2" t="s">
        <v>11</v>
      </c>
      <c r="H2003" s="2">
        <v>14000000</v>
      </c>
      <c r="I2003" s="2">
        <v>5.9</v>
      </c>
      <c r="J2003" s="3">
        <v>26005908</v>
      </c>
      <c r="K2003">
        <f t="shared" si="70"/>
        <v>1.3775047412552699E-3</v>
      </c>
      <c r="R2003" s="12" t="str">
        <f ca="1">IFERROR(__xludf.DUMMYFUNCTION("""COMPUTED_VALUE"""),"Wayne's World ")</f>
        <v>Wayne's World </v>
      </c>
      <c r="S2003" s="12">
        <f t="shared" si="69"/>
        <v>35102171</v>
      </c>
    </row>
    <row r="2004" spans="1:19" x14ac:dyDescent="0.3">
      <c r="A2004" s="2" t="s">
        <v>3462</v>
      </c>
      <c r="B2004" s="2">
        <v>97</v>
      </c>
      <c r="C2004" s="3">
        <v>60443237</v>
      </c>
      <c r="D2004" s="3" t="s">
        <v>6302</v>
      </c>
      <c r="E2004" s="2" t="s">
        <v>3463</v>
      </c>
      <c r="F2004" s="2" t="s">
        <v>10</v>
      </c>
      <c r="G2004" s="2" t="s">
        <v>11</v>
      </c>
      <c r="H2004" s="2">
        <v>14000000</v>
      </c>
      <c r="I2004" s="2">
        <v>4.0999999999999996</v>
      </c>
      <c r="J2004" s="3">
        <v>26049082</v>
      </c>
      <c r="K2004">
        <f t="shared" si="70"/>
        <v>1.3775047412552699E-3</v>
      </c>
      <c r="R2004" s="12" t="str">
        <f ca="1">IFERROR(__xludf.DUMMYFUNCTION("""COMPUTED_VALUE"""),"Jackass 3D ")</f>
        <v>Jackass 3D </v>
      </c>
      <c r="S2004" s="12">
        <f t="shared" si="69"/>
        <v>-20427081</v>
      </c>
    </row>
    <row r="2005" spans="1:19" x14ac:dyDescent="0.3">
      <c r="A2005" s="2" t="s">
        <v>101</v>
      </c>
      <c r="B2005" s="2">
        <v>120</v>
      </c>
      <c r="C2005" s="3">
        <v>3675072</v>
      </c>
      <c r="D2005" s="3" t="s">
        <v>6142</v>
      </c>
      <c r="E2005" s="2" t="s">
        <v>658</v>
      </c>
      <c r="F2005" s="2" t="s">
        <v>10</v>
      </c>
      <c r="G2005" s="2" t="s">
        <v>11</v>
      </c>
      <c r="H2005" s="2">
        <v>85000000</v>
      </c>
      <c r="I2005" s="2">
        <v>7</v>
      </c>
      <c r="J2005" s="3">
        <v>26082914</v>
      </c>
      <c r="K2005">
        <f t="shared" si="70"/>
        <v>1.3775047412552699E-3</v>
      </c>
      <c r="R2005" s="12" t="str">
        <f ca="1">IFERROR(__xludf.DUMMYFUNCTION("""COMPUTED_VALUE"""),"Jaws 2 ")</f>
        <v>Jaws 2 </v>
      </c>
      <c r="S2005" s="12">
        <f t="shared" si="69"/>
        <v>-76840695</v>
      </c>
    </row>
    <row r="2006" spans="1:19" x14ac:dyDescent="0.3">
      <c r="A2006" s="2" t="s">
        <v>1087</v>
      </c>
      <c r="B2006" s="2">
        <v>101</v>
      </c>
      <c r="C2006" s="3">
        <v>17791031</v>
      </c>
      <c r="D2006" s="3" t="s">
        <v>5892</v>
      </c>
      <c r="E2006" s="2" t="s">
        <v>1129</v>
      </c>
      <c r="F2006" s="2" t="s">
        <v>10</v>
      </c>
      <c r="G2006" s="2" t="s">
        <v>11</v>
      </c>
      <c r="H2006" s="2">
        <v>60000000</v>
      </c>
      <c r="I2006" s="2">
        <v>6</v>
      </c>
      <c r="J2006" s="3">
        <v>26096584</v>
      </c>
      <c r="K2006">
        <f t="shared" si="70"/>
        <v>1.3775047412552699E-3</v>
      </c>
      <c r="R2006" s="12" t="str">
        <f ca="1">IFERROR(__xludf.DUMMYFUNCTION("""COMPUTED_VALUE"""),"Beverly Hills Chihuahua ")</f>
        <v>Beverly Hills Chihuahua </v>
      </c>
      <c r="S2006" s="12">
        <f t="shared" si="69"/>
        <v>28119879</v>
      </c>
    </row>
    <row r="2007" spans="1:19" x14ac:dyDescent="0.3">
      <c r="A2007" s="2" t="s">
        <v>1886</v>
      </c>
      <c r="B2007" s="2">
        <v>158</v>
      </c>
      <c r="C2007" s="3">
        <v>38317535</v>
      </c>
      <c r="D2007" s="3" t="s">
        <v>6303</v>
      </c>
      <c r="E2007" s="2" t="s">
        <v>2556</v>
      </c>
      <c r="F2007" s="2" t="s">
        <v>10</v>
      </c>
      <c r="G2007" s="2" t="s">
        <v>11</v>
      </c>
      <c r="H2007" s="2">
        <v>25000000</v>
      </c>
      <c r="I2007" s="2">
        <v>8.1</v>
      </c>
      <c r="J2007" s="3">
        <v>26161406</v>
      </c>
      <c r="K2007">
        <f t="shared" si="70"/>
        <v>1.3775047412552699E-3</v>
      </c>
      <c r="R2007" s="12" t="str">
        <f ca="1">IFERROR(__xludf.DUMMYFUNCTION("""COMPUTED_VALUE"""),"The Conjuring ")</f>
        <v>The Conjuring </v>
      </c>
      <c r="S2007" s="12">
        <f t="shared" si="69"/>
        <v>32543632</v>
      </c>
    </row>
    <row r="2008" spans="1:19" x14ac:dyDescent="0.3">
      <c r="A2008" s="2" t="s">
        <v>344</v>
      </c>
      <c r="B2008" s="2">
        <v>113</v>
      </c>
      <c r="C2008" s="3">
        <v>13103828</v>
      </c>
      <c r="D2008" s="3" t="s">
        <v>6259</v>
      </c>
      <c r="E2008" s="2" t="s">
        <v>345</v>
      </c>
      <c r="F2008" s="2" t="s">
        <v>10</v>
      </c>
      <c r="G2008" s="2" t="s">
        <v>11</v>
      </c>
      <c r="H2008" s="2">
        <v>65000000</v>
      </c>
      <c r="I2008" s="2">
        <v>7.5</v>
      </c>
      <c r="J2008" s="3">
        <v>26183197</v>
      </c>
      <c r="K2008">
        <f t="shared" si="70"/>
        <v>1.3775047412552699E-3</v>
      </c>
      <c r="R2008" s="12" t="str">
        <f ca="1">IFERROR(__xludf.DUMMYFUNCTION("""COMPUTED_VALUE"""),"Are We There Yet? ")</f>
        <v>Are We There Yet? </v>
      </c>
      <c r="S2008" s="12">
        <f t="shared" si="69"/>
        <v>19589926</v>
      </c>
    </row>
    <row r="2009" spans="1:19" x14ac:dyDescent="0.3">
      <c r="A2009" s="2" t="s">
        <v>65</v>
      </c>
      <c r="B2009" s="2">
        <v>103</v>
      </c>
      <c r="C2009" s="3">
        <v>6390032</v>
      </c>
      <c r="D2009" s="3" t="s">
        <v>6046</v>
      </c>
      <c r="E2009" s="2" t="s">
        <v>3538</v>
      </c>
      <c r="F2009" s="2" t="s">
        <v>10</v>
      </c>
      <c r="G2009" s="2" t="s">
        <v>11</v>
      </c>
      <c r="H2009" s="2">
        <v>15000000</v>
      </c>
      <c r="I2009" s="2">
        <v>7.6</v>
      </c>
      <c r="J2009" s="3">
        <v>26199517</v>
      </c>
      <c r="K2009">
        <f t="shared" si="70"/>
        <v>1.3775047412552699E-3</v>
      </c>
      <c r="R2009" s="12" t="str">
        <f ca="1">IFERROR(__xludf.DUMMYFUNCTION("""COMPUTED_VALUE"""),"Tammy ")</f>
        <v>Tammy </v>
      </c>
      <c r="S2009" s="12">
        <f t="shared" ref="S2009:S2072" si="71">C1987-H1987</f>
        <v>20069140</v>
      </c>
    </row>
    <row r="2010" spans="1:19" x14ac:dyDescent="0.3">
      <c r="A2010" s="2" t="s">
        <v>544</v>
      </c>
      <c r="B2010" s="2">
        <v>101</v>
      </c>
      <c r="C2010" s="3">
        <v>70625986</v>
      </c>
      <c r="D2010" s="3" t="s">
        <v>6304</v>
      </c>
      <c r="E2010" s="2" t="s">
        <v>545</v>
      </c>
      <c r="F2010" s="2" t="s">
        <v>10</v>
      </c>
      <c r="G2010" s="2" t="s">
        <v>11</v>
      </c>
      <c r="H2010" s="2">
        <v>92000000</v>
      </c>
      <c r="I2010" s="2">
        <v>5.3</v>
      </c>
      <c r="J2010" s="3">
        <v>26236603</v>
      </c>
      <c r="K2010">
        <f t="shared" si="70"/>
        <v>1.3775047412552699E-3</v>
      </c>
      <c r="R2010" s="12" t="str">
        <f ca="1">IFERROR(__xludf.DUMMYFUNCTION("""COMPUTED_VALUE"""),"School of Rock ")</f>
        <v>School of Rock </v>
      </c>
      <c r="S2010" s="12">
        <f t="shared" si="71"/>
        <v>34818159</v>
      </c>
    </row>
    <row r="2011" spans="1:19" x14ac:dyDescent="0.3">
      <c r="A2011" s="2" t="s">
        <v>3853</v>
      </c>
      <c r="B2011" s="2">
        <v>104</v>
      </c>
      <c r="C2011" s="3">
        <v>33583175</v>
      </c>
      <c r="D2011" s="3" t="s">
        <v>5910</v>
      </c>
      <c r="E2011" s="2" t="s">
        <v>3854</v>
      </c>
      <c r="F2011" s="2" t="s">
        <v>10</v>
      </c>
      <c r="G2011" s="2" t="s">
        <v>11</v>
      </c>
      <c r="H2011" s="2">
        <v>12000000</v>
      </c>
      <c r="I2011" s="2">
        <v>7.1</v>
      </c>
      <c r="J2011" s="3">
        <v>26284475</v>
      </c>
      <c r="K2011">
        <f t="shared" si="70"/>
        <v>1.3775047412552699E-3</v>
      </c>
      <c r="R2011" s="12" t="str">
        <f ca="1">IFERROR(__xludf.DUMMYFUNCTION("""COMPUTED_VALUE"""),"Mortal Kombat ")</f>
        <v>Mortal Kombat </v>
      </c>
      <c r="S2011" s="12">
        <f t="shared" si="71"/>
        <v>18374178</v>
      </c>
    </row>
    <row r="2012" spans="1:19" x14ac:dyDescent="0.3">
      <c r="A2012" s="2" t="s">
        <v>701</v>
      </c>
      <c r="B2012" s="2">
        <v>118</v>
      </c>
      <c r="C2012" s="3">
        <v>3713002</v>
      </c>
      <c r="D2012" s="3" t="s">
        <v>6163</v>
      </c>
      <c r="E2012" s="2" t="s">
        <v>2280</v>
      </c>
      <c r="F2012" s="2" t="s">
        <v>10</v>
      </c>
      <c r="G2012" s="2" t="s">
        <v>11</v>
      </c>
      <c r="H2012" s="2">
        <v>30000000</v>
      </c>
      <c r="I2012" s="2">
        <v>6.2</v>
      </c>
      <c r="J2012" s="3">
        <v>26288320</v>
      </c>
      <c r="K2012">
        <f t="shared" si="70"/>
        <v>1.3775047412552699E-3</v>
      </c>
      <c r="R2012" s="12" t="str">
        <f ca="1">IFERROR(__xludf.DUMMYFUNCTION("""COMPUTED_VALUE"""),"White Chicks ")</f>
        <v>White Chicks </v>
      </c>
      <c r="S2012" s="12">
        <f t="shared" si="71"/>
        <v>10127963</v>
      </c>
    </row>
    <row r="2013" spans="1:19" x14ac:dyDescent="0.3">
      <c r="A2013" s="2" t="s">
        <v>1272</v>
      </c>
      <c r="B2013" s="2">
        <v>123</v>
      </c>
      <c r="C2013" s="3">
        <v>38360195</v>
      </c>
      <c r="D2013" s="3" t="s">
        <v>5849</v>
      </c>
      <c r="E2013" s="2" t="s">
        <v>1479</v>
      </c>
      <c r="F2013" s="2" t="s">
        <v>10</v>
      </c>
      <c r="G2013" s="2" t="s">
        <v>11</v>
      </c>
      <c r="H2013" s="2">
        <v>58000000</v>
      </c>
      <c r="I2013" s="2">
        <v>6.5</v>
      </c>
      <c r="J2013" s="3">
        <v>26384919</v>
      </c>
      <c r="K2013">
        <f t="shared" si="70"/>
        <v>1.3775047412552699E-3</v>
      </c>
      <c r="R2013" s="12" t="str">
        <f ca="1">IFERROR(__xludf.DUMMYFUNCTION("""COMPUTED_VALUE"""),"The Descendants ")</f>
        <v>The Descendants </v>
      </c>
      <c r="S2013" s="12">
        <f t="shared" si="71"/>
        <v>13869608</v>
      </c>
    </row>
    <row r="2014" spans="1:19" x14ac:dyDescent="0.3">
      <c r="A2014" s="2" t="s">
        <v>590</v>
      </c>
      <c r="B2014" s="2">
        <v>114</v>
      </c>
      <c r="C2014" s="3">
        <v>20315324</v>
      </c>
      <c r="D2014" s="3" t="s">
        <v>6305</v>
      </c>
      <c r="E2014" s="2" t="s">
        <v>591</v>
      </c>
      <c r="F2014" s="2" t="s">
        <v>10</v>
      </c>
      <c r="G2014" s="2" t="s">
        <v>11</v>
      </c>
      <c r="H2014" s="2">
        <v>90000000</v>
      </c>
      <c r="I2014" s="2">
        <v>5.6</v>
      </c>
      <c r="J2014" s="3">
        <v>26400000</v>
      </c>
      <c r="K2014">
        <f t="shared" si="70"/>
        <v>1.3775047412552699E-3</v>
      </c>
      <c r="R2014" s="12" t="str">
        <f ca="1">IFERROR(__xludf.DUMMYFUNCTION("""COMPUTED_VALUE"""),"Holes ")</f>
        <v>Holes </v>
      </c>
      <c r="S2014" s="12">
        <f t="shared" si="71"/>
        <v>28400000</v>
      </c>
    </row>
    <row r="2015" spans="1:19" x14ac:dyDescent="0.3">
      <c r="A2015" s="2" t="s">
        <v>1949</v>
      </c>
      <c r="B2015" s="2">
        <v>105</v>
      </c>
      <c r="C2015" s="3">
        <v>33422556</v>
      </c>
      <c r="D2015" s="3" t="s">
        <v>6273</v>
      </c>
      <c r="E2015" s="2" t="s">
        <v>1950</v>
      </c>
      <c r="F2015" s="2" t="s">
        <v>10</v>
      </c>
      <c r="G2015" s="2" t="s">
        <v>11</v>
      </c>
      <c r="H2015" s="2">
        <v>35000000</v>
      </c>
      <c r="I2015" s="2">
        <v>5.9</v>
      </c>
      <c r="J2015" s="3">
        <v>26400000</v>
      </c>
      <c r="K2015">
        <f t="shared" si="70"/>
        <v>1.3775047412552699E-3</v>
      </c>
      <c r="R2015" s="12" t="str">
        <f ca="1">IFERROR(__xludf.DUMMYFUNCTION("""COMPUTED_VALUE"""),"The Last Song ")</f>
        <v>The Last Song </v>
      </c>
      <c r="S2015" s="12">
        <f t="shared" si="71"/>
        <v>3338338</v>
      </c>
    </row>
    <row r="2016" spans="1:19" x14ac:dyDescent="0.3">
      <c r="A2016" s="2" t="s">
        <v>131</v>
      </c>
      <c r="B2016" s="2">
        <v>112</v>
      </c>
      <c r="C2016" s="3">
        <v>9166863</v>
      </c>
      <c r="D2016" s="3" t="s">
        <v>5910</v>
      </c>
      <c r="E2016" s="2" t="s">
        <v>132</v>
      </c>
      <c r="F2016" s="2" t="s">
        <v>10</v>
      </c>
      <c r="G2016" s="2" t="s">
        <v>11</v>
      </c>
      <c r="H2016" s="2">
        <v>145000000</v>
      </c>
      <c r="I2016" s="2">
        <v>5.2</v>
      </c>
      <c r="J2016" s="3">
        <v>26404753</v>
      </c>
      <c r="K2016">
        <f t="shared" si="70"/>
        <v>1.3775047412552699E-3</v>
      </c>
      <c r="R2016" s="12" t="str">
        <f ca="1">IFERROR(__xludf.DUMMYFUNCTION("""COMPUTED_VALUE"""),"12 Years a Slave ")</f>
        <v>12 Years a Slave </v>
      </c>
      <c r="S2016" s="12">
        <f t="shared" si="71"/>
        <v>-3615081</v>
      </c>
    </row>
    <row r="2017" spans="1:19" x14ac:dyDescent="0.3">
      <c r="A2017" s="2" t="s">
        <v>4211</v>
      </c>
      <c r="B2017" s="2">
        <v>93</v>
      </c>
      <c r="C2017" s="3">
        <v>29392418</v>
      </c>
      <c r="D2017" s="3" t="s">
        <v>6051</v>
      </c>
      <c r="E2017" s="2" t="s">
        <v>4212</v>
      </c>
      <c r="F2017" s="2" t="s">
        <v>10</v>
      </c>
      <c r="G2017" s="2" t="s">
        <v>98</v>
      </c>
      <c r="H2017" s="2">
        <v>8800000</v>
      </c>
      <c r="I2017" s="2">
        <v>6.5</v>
      </c>
      <c r="J2017" s="3">
        <v>26415649</v>
      </c>
      <c r="K2017">
        <f t="shared" si="70"/>
        <v>1.3775047412552699E-3</v>
      </c>
      <c r="R2017" s="12" t="str">
        <f ca="1">IFERROR(__xludf.DUMMYFUNCTION("""COMPUTED_VALUE"""),"Drumline ")</f>
        <v>Drumline </v>
      </c>
      <c r="S2017" s="12">
        <f t="shared" si="71"/>
        <v>-115265765</v>
      </c>
    </row>
    <row r="2018" spans="1:19" x14ac:dyDescent="0.3">
      <c r="A2018" s="2" t="s">
        <v>2669</v>
      </c>
      <c r="B2018" s="2">
        <v>95</v>
      </c>
      <c r="C2018" s="3">
        <v>38232624</v>
      </c>
      <c r="D2018" s="3" t="s">
        <v>520</v>
      </c>
      <c r="E2018" s="2" t="s">
        <v>2670</v>
      </c>
      <c r="F2018" s="2" t="s">
        <v>10</v>
      </c>
      <c r="G2018" s="2" t="s">
        <v>11</v>
      </c>
      <c r="H2018" s="2">
        <v>15000000</v>
      </c>
      <c r="I2018" s="2">
        <v>4.0999999999999996</v>
      </c>
      <c r="J2018" s="3">
        <v>26421314</v>
      </c>
      <c r="K2018">
        <f t="shared" si="70"/>
        <v>1.3775047412552699E-3</v>
      </c>
      <c r="R2018" s="12" t="str">
        <f ca="1">IFERROR(__xludf.DUMMYFUNCTION("""COMPUTED_VALUE"""),"Why Did I Get Married Too? ")</f>
        <v>Why Did I Get Married Too? </v>
      </c>
      <c r="S2018" s="12">
        <f t="shared" si="71"/>
        <v>-110747170</v>
      </c>
    </row>
    <row r="2019" spans="1:19" x14ac:dyDescent="0.3">
      <c r="A2019" s="2" t="s">
        <v>650</v>
      </c>
      <c r="B2019" s="2">
        <v>113</v>
      </c>
      <c r="C2019" s="3">
        <v>6491350</v>
      </c>
      <c r="D2019" s="3" t="s">
        <v>885</v>
      </c>
      <c r="E2019" s="2" t="s">
        <v>674</v>
      </c>
      <c r="F2019" s="2" t="s">
        <v>10</v>
      </c>
      <c r="G2019" s="2" t="s">
        <v>11</v>
      </c>
      <c r="H2019" s="2">
        <v>82000000</v>
      </c>
      <c r="I2019" s="2">
        <v>6.4</v>
      </c>
      <c r="J2019" s="3">
        <v>26442251</v>
      </c>
      <c r="K2019">
        <f t="shared" si="70"/>
        <v>1.3775047412552699E-3</v>
      </c>
      <c r="R2019" s="12" t="str">
        <f ca="1">IFERROR(__xludf.DUMMYFUNCTION("""COMPUTED_VALUE"""),"Edward Scissorhands ")</f>
        <v>Edward Scissorhands </v>
      </c>
      <c r="S2019" s="12">
        <f t="shared" si="71"/>
        <v>13375181</v>
      </c>
    </row>
    <row r="2020" spans="1:19" x14ac:dyDescent="0.3">
      <c r="A2020" s="2" t="s">
        <v>175</v>
      </c>
      <c r="B2020" s="2">
        <v>129</v>
      </c>
      <c r="C2020" s="3">
        <v>14218868</v>
      </c>
      <c r="D2020" s="3" t="s">
        <v>5940</v>
      </c>
      <c r="E2020" s="2" t="s">
        <v>1381</v>
      </c>
      <c r="F2020" s="2" t="s">
        <v>10</v>
      </c>
      <c r="G2020" s="2" t="s">
        <v>11</v>
      </c>
      <c r="H2020" s="2">
        <v>50000000</v>
      </c>
      <c r="I2020" s="2">
        <v>7.8</v>
      </c>
      <c r="J2020" s="3">
        <v>26494611</v>
      </c>
      <c r="K2020">
        <f t="shared" si="70"/>
        <v>1.3775047412552699E-3</v>
      </c>
      <c r="R2020" s="12" t="str">
        <f ca="1">IFERROR(__xludf.DUMMYFUNCTION("""COMPUTED_VALUE"""),"Me Before You ")</f>
        <v>Me Before You </v>
      </c>
      <c r="S2020" s="12">
        <f t="shared" si="71"/>
        <v>-4000000</v>
      </c>
    </row>
    <row r="2021" spans="1:19" x14ac:dyDescent="0.3">
      <c r="A2021" s="2" t="s">
        <v>2819</v>
      </c>
      <c r="B2021" s="2">
        <v>120</v>
      </c>
      <c r="C2021" s="3">
        <v>13650738</v>
      </c>
      <c r="D2021" s="3" t="s">
        <v>6220</v>
      </c>
      <c r="E2021" s="2" t="s">
        <v>2820</v>
      </c>
      <c r="F2021" s="2" t="s">
        <v>751</v>
      </c>
      <c r="G2021" s="2" t="s">
        <v>504</v>
      </c>
      <c r="H2021" s="2">
        <v>16000000</v>
      </c>
      <c r="I2021" s="2">
        <v>7.3</v>
      </c>
      <c r="J2021" s="3">
        <v>26505000</v>
      </c>
      <c r="K2021">
        <f t="shared" si="70"/>
        <v>1.3775047412552699E-3</v>
      </c>
      <c r="R2021" s="12" t="str">
        <f ca="1">IFERROR(__xludf.DUMMYFUNCTION("""COMPUTED_VALUE"""),"Madea's Witness Protection ")</f>
        <v>Madea's Witness Protection </v>
      </c>
      <c r="S2021" s="12">
        <f t="shared" si="71"/>
        <v>59900856</v>
      </c>
    </row>
    <row r="2022" spans="1:19" x14ac:dyDescent="0.3">
      <c r="A2022" s="2" t="s">
        <v>2248</v>
      </c>
      <c r="B2022" s="2">
        <v>86</v>
      </c>
      <c r="C2022" s="3">
        <v>17797316</v>
      </c>
      <c r="D2022" s="3" t="s">
        <v>5912</v>
      </c>
      <c r="E2022" s="2" t="s">
        <v>2249</v>
      </c>
      <c r="F2022" s="2" t="s">
        <v>10</v>
      </c>
      <c r="G2022" s="2" t="s">
        <v>11</v>
      </c>
      <c r="H2022" s="2">
        <v>30000000</v>
      </c>
      <c r="I2022" s="2">
        <v>2.7</v>
      </c>
      <c r="J2022" s="3">
        <v>26525834</v>
      </c>
      <c r="K2022">
        <f t="shared" si="70"/>
        <v>1.3775047412552699E-3</v>
      </c>
      <c r="R2022" s="12" t="str">
        <f ca="1">IFERROR(__xludf.DUMMYFUNCTION("""COMPUTED_VALUE"""),"Bad Moms ")</f>
        <v>Bad Moms </v>
      </c>
      <c r="S2022" s="12">
        <f t="shared" si="71"/>
        <v>10998709</v>
      </c>
    </row>
    <row r="2023" spans="1:19" x14ac:dyDescent="0.3">
      <c r="A2023" s="2" t="s">
        <v>3529</v>
      </c>
      <c r="B2023" s="2">
        <v>88</v>
      </c>
      <c r="C2023" s="2">
        <v>6373693</v>
      </c>
      <c r="D2023" s="3" t="s">
        <v>6163</v>
      </c>
      <c r="E2023" s="2" t="s">
        <v>3530</v>
      </c>
      <c r="F2023" s="2" t="s">
        <v>10</v>
      </c>
      <c r="G2023" s="2" t="s">
        <v>11</v>
      </c>
      <c r="H2023" s="2">
        <v>15000000</v>
      </c>
      <c r="I2023" s="2">
        <v>5.3</v>
      </c>
      <c r="J2023" s="3">
        <v>26536120</v>
      </c>
      <c r="K2023">
        <f t="shared" si="70"/>
        <v>1.3775047412552699E-3</v>
      </c>
      <c r="R2023" s="12" t="str">
        <f ca="1">IFERROR(__xludf.DUMMYFUNCTION("""COMPUTED_VALUE"""),"Date Movie ")</f>
        <v>Date Movie </v>
      </c>
      <c r="S2023" s="12">
        <f t="shared" si="71"/>
        <v>-248889714</v>
      </c>
    </row>
    <row r="2024" spans="1:19" x14ac:dyDescent="0.3">
      <c r="A2024" s="2" t="s">
        <v>421</v>
      </c>
      <c r="B2024" s="2">
        <v>113</v>
      </c>
      <c r="C2024" s="3">
        <v>43095600</v>
      </c>
      <c r="D2024" s="3" t="s">
        <v>5913</v>
      </c>
      <c r="E2024" s="2" t="s">
        <v>607</v>
      </c>
      <c r="F2024" s="2" t="s">
        <v>10</v>
      </c>
      <c r="G2024" s="2" t="s">
        <v>11</v>
      </c>
      <c r="H2024" s="2">
        <v>92000000</v>
      </c>
      <c r="I2024" s="2">
        <v>6.3</v>
      </c>
      <c r="J2024" s="3">
        <v>26539321</v>
      </c>
      <c r="K2024">
        <f t="shared" si="70"/>
        <v>1.3775047412552699E-3</v>
      </c>
      <c r="R2024" s="12" t="str">
        <f ca="1">IFERROR(__xludf.DUMMYFUNCTION("""COMPUTED_VALUE"""),"Return to Never Land ")</f>
        <v>Return to Never Land </v>
      </c>
      <c r="S2024" s="12">
        <f t="shared" si="71"/>
        <v>-500000</v>
      </c>
    </row>
    <row r="2025" spans="1:19" x14ac:dyDescent="0.3">
      <c r="A2025" s="2" t="s">
        <v>724</v>
      </c>
      <c r="B2025" s="2">
        <v>113</v>
      </c>
      <c r="C2025" s="2">
        <v>55350897</v>
      </c>
      <c r="D2025" s="3" t="s">
        <v>520</v>
      </c>
      <c r="E2025" s="2" t="s">
        <v>725</v>
      </c>
      <c r="F2025" s="2" t="s">
        <v>10</v>
      </c>
      <c r="G2025" s="2" t="s">
        <v>11</v>
      </c>
      <c r="H2025" s="2">
        <v>85000000</v>
      </c>
      <c r="I2025" s="2">
        <v>7</v>
      </c>
      <c r="J2025" s="3">
        <v>26583369</v>
      </c>
      <c r="K2025">
        <f t="shared" si="70"/>
        <v>1.3775047412552699E-3</v>
      </c>
      <c r="R2025" s="12" t="str">
        <f ca="1">IFERROR(__xludf.DUMMYFUNCTION("""COMPUTED_VALUE"""),"Selma ")</f>
        <v>Selma </v>
      </c>
      <c r="S2025" s="12">
        <f t="shared" si="71"/>
        <v>51269010</v>
      </c>
    </row>
    <row r="2026" spans="1:19" x14ac:dyDescent="0.3">
      <c r="A2026" s="2" t="s">
        <v>4692</v>
      </c>
      <c r="B2026" s="2">
        <v>97</v>
      </c>
      <c r="C2026" s="3">
        <v>44886089</v>
      </c>
      <c r="D2026" s="3" t="s">
        <v>6134</v>
      </c>
      <c r="E2026" s="2" t="s">
        <v>5448</v>
      </c>
      <c r="F2026" s="2" t="s">
        <v>10</v>
      </c>
      <c r="G2026" s="2" t="s">
        <v>11</v>
      </c>
      <c r="H2026" s="2">
        <v>700000</v>
      </c>
      <c r="I2026" s="2">
        <v>7.2</v>
      </c>
      <c r="J2026" s="3">
        <v>26589953</v>
      </c>
      <c r="K2026">
        <f t="shared" si="70"/>
        <v>1.3775047412552699E-3</v>
      </c>
      <c r="R2026" s="12" t="str">
        <f ca="1">IFERROR(__xludf.DUMMYFUNCTION("""COMPUTED_VALUE"""),"The Jungle Book 2 ")</f>
        <v>The Jungle Book 2 </v>
      </c>
      <c r="S2026" s="12">
        <f t="shared" si="71"/>
        <v>46443237</v>
      </c>
    </row>
    <row r="2027" spans="1:19" x14ac:dyDescent="0.3">
      <c r="A2027" s="2" t="s">
        <v>695</v>
      </c>
      <c r="B2027" s="2">
        <v>90</v>
      </c>
      <c r="C2027" s="3">
        <v>3749061</v>
      </c>
      <c r="D2027" s="3" t="s">
        <v>6306</v>
      </c>
      <c r="E2027" s="2" t="s">
        <v>696</v>
      </c>
      <c r="F2027" s="2" t="s">
        <v>10</v>
      </c>
      <c r="G2027" s="2" t="s">
        <v>11</v>
      </c>
      <c r="H2027" s="2">
        <v>80000000</v>
      </c>
      <c r="I2027" s="2">
        <v>5.2</v>
      </c>
      <c r="J2027" s="3">
        <v>26616590</v>
      </c>
      <c r="K2027">
        <f t="shared" si="70"/>
        <v>1.3775047412552699E-3</v>
      </c>
      <c r="R2027" s="12" t="str">
        <f ca="1">IFERROR(__xludf.DUMMYFUNCTION("""COMPUTED_VALUE"""),"Boogeyman ")</f>
        <v>Boogeyman </v>
      </c>
      <c r="S2027" s="12">
        <f t="shared" si="71"/>
        <v>-81324928</v>
      </c>
    </row>
    <row r="2028" spans="1:19" x14ac:dyDescent="0.3">
      <c r="A2028" s="2" t="s">
        <v>5657</v>
      </c>
      <c r="B2028" s="2">
        <v>93</v>
      </c>
      <c r="C2028" s="3">
        <v>6373693</v>
      </c>
      <c r="D2028" s="3" t="s">
        <v>1703</v>
      </c>
      <c r="E2028" s="2" t="s">
        <v>5658</v>
      </c>
      <c r="F2028" s="2" t="s">
        <v>10</v>
      </c>
      <c r="G2028" s="2" t="s">
        <v>11</v>
      </c>
      <c r="H2028" s="3">
        <v>474544677</v>
      </c>
      <c r="I2028" s="2">
        <v>7.4</v>
      </c>
      <c r="J2028" s="3">
        <v>26616999</v>
      </c>
      <c r="K2028">
        <f t="shared" si="70"/>
        <v>1.3775047412552699E-3</v>
      </c>
      <c r="R2028" s="12" t="str">
        <f ca="1">IFERROR(__xludf.DUMMYFUNCTION("""COMPUTED_VALUE"""),"Premonition ")</f>
        <v>Premonition </v>
      </c>
      <c r="S2028" s="12">
        <f t="shared" si="71"/>
        <v>-42208969</v>
      </c>
    </row>
    <row r="2029" spans="1:19" x14ac:dyDescent="0.3">
      <c r="A2029" s="2" t="s">
        <v>220</v>
      </c>
      <c r="B2029" s="2">
        <v>139</v>
      </c>
      <c r="C2029" s="3">
        <v>17768000</v>
      </c>
      <c r="D2029" s="3" t="s">
        <v>6046</v>
      </c>
      <c r="E2029" s="2" t="s">
        <v>862</v>
      </c>
      <c r="F2029" s="2" t="s">
        <v>10</v>
      </c>
      <c r="G2029" s="2" t="s">
        <v>11</v>
      </c>
      <c r="H2029" s="2">
        <v>80000000</v>
      </c>
      <c r="I2029" s="2">
        <v>6.6</v>
      </c>
      <c r="J2029" s="3">
        <v>26687172</v>
      </c>
      <c r="K2029">
        <f t="shared" si="70"/>
        <v>1.3775047412552699E-3</v>
      </c>
      <c r="R2029" s="12" t="str">
        <f ca="1">IFERROR(__xludf.DUMMYFUNCTION("""COMPUTED_VALUE"""),"The Tigger Movie ")</f>
        <v>The Tigger Movie </v>
      </c>
      <c r="S2029" s="12">
        <f t="shared" si="71"/>
        <v>13317535</v>
      </c>
    </row>
    <row r="2030" spans="1:19" x14ac:dyDescent="0.3">
      <c r="A2030" s="2" t="s">
        <v>549</v>
      </c>
      <c r="B2030" s="2">
        <v>125</v>
      </c>
      <c r="C2030" s="3">
        <v>21564616</v>
      </c>
      <c r="D2030" s="3" t="s">
        <v>5913</v>
      </c>
      <c r="E2030" s="2" t="s">
        <v>787</v>
      </c>
      <c r="F2030" s="2" t="s">
        <v>10</v>
      </c>
      <c r="G2030" s="2" t="s">
        <v>11</v>
      </c>
      <c r="H2030" s="2">
        <v>50000000</v>
      </c>
      <c r="I2030" s="2">
        <v>5.0999999999999996</v>
      </c>
      <c r="J2030" s="3">
        <v>26761283</v>
      </c>
      <c r="K2030">
        <f t="shared" si="70"/>
        <v>1.3775047412552699E-3</v>
      </c>
      <c r="R2030" s="12" t="str">
        <f ca="1">IFERROR(__xludf.DUMMYFUNCTION("""COMPUTED_VALUE"""),"Max ")</f>
        <v>Max </v>
      </c>
      <c r="S2030" s="12">
        <f t="shared" si="71"/>
        <v>-51896172</v>
      </c>
    </row>
    <row r="2031" spans="1:19" x14ac:dyDescent="0.3">
      <c r="A2031" s="2" t="s">
        <v>1608</v>
      </c>
      <c r="B2031" s="2">
        <v>92</v>
      </c>
      <c r="C2031" s="3">
        <v>104007828</v>
      </c>
      <c r="D2031" s="3" t="s">
        <v>6041</v>
      </c>
      <c r="E2031" s="2" t="s">
        <v>2031</v>
      </c>
      <c r="F2031" s="2" t="s">
        <v>10</v>
      </c>
      <c r="G2031" s="2" t="s">
        <v>11</v>
      </c>
      <c r="H2031" s="2">
        <v>35000000</v>
      </c>
      <c r="I2031" s="2">
        <v>3.8</v>
      </c>
      <c r="J2031" s="3">
        <v>26781723</v>
      </c>
      <c r="K2031">
        <f t="shared" si="70"/>
        <v>1.3775047412552699E-3</v>
      </c>
      <c r="R2031" s="12" t="str">
        <f ca="1">IFERROR(__xludf.DUMMYFUNCTION("""COMPUTED_VALUE"""),"Epic Movie ")</f>
        <v>Epic Movie </v>
      </c>
      <c r="S2031" s="12">
        <f t="shared" si="71"/>
        <v>-8609968</v>
      </c>
    </row>
    <row r="2032" spans="1:19" x14ac:dyDescent="0.3">
      <c r="A2032" s="2" t="s">
        <v>3963</v>
      </c>
      <c r="B2032" s="2">
        <v>103</v>
      </c>
      <c r="C2032" s="3">
        <v>10991381</v>
      </c>
      <c r="D2032" s="3" t="s">
        <v>6127</v>
      </c>
      <c r="E2032" s="2" t="s">
        <v>4181</v>
      </c>
      <c r="F2032" s="2" t="s">
        <v>10</v>
      </c>
      <c r="G2032" s="2" t="s">
        <v>11</v>
      </c>
      <c r="H2032" s="2">
        <v>9000000</v>
      </c>
      <c r="I2032" s="2">
        <v>6.5</v>
      </c>
      <c r="J2032" s="3">
        <v>26814957</v>
      </c>
      <c r="K2032">
        <f t="shared" si="70"/>
        <v>1.3775047412552699E-3</v>
      </c>
      <c r="R2032" s="12" t="str">
        <f ca="1">IFERROR(__xludf.DUMMYFUNCTION("""COMPUTED_VALUE"""),"Spotlight ")</f>
        <v>Spotlight </v>
      </c>
      <c r="S2032" s="12">
        <f t="shared" si="71"/>
        <v>-21374014</v>
      </c>
    </row>
    <row r="2033" spans="1:19" x14ac:dyDescent="0.3">
      <c r="A2033" s="2" t="s">
        <v>4087</v>
      </c>
      <c r="B2033" s="2">
        <v>92</v>
      </c>
      <c r="C2033" s="3">
        <v>18653746</v>
      </c>
      <c r="D2033" s="3" t="s">
        <v>6148</v>
      </c>
      <c r="E2033" s="2" t="s">
        <v>4088</v>
      </c>
      <c r="F2033" s="2" t="s">
        <v>10</v>
      </c>
      <c r="G2033" s="2" t="s">
        <v>11</v>
      </c>
      <c r="H2033" s="2">
        <v>10000000</v>
      </c>
      <c r="I2033" s="2">
        <v>5.6</v>
      </c>
      <c r="J2033" s="3">
        <v>26830000</v>
      </c>
      <c r="K2033">
        <f t="shared" si="70"/>
        <v>1.3775047412552699E-3</v>
      </c>
      <c r="R2033" s="12" t="str">
        <f ca="1">IFERROR(__xludf.DUMMYFUNCTION("""COMPUTED_VALUE"""),"Lakeview Terrace ")</f>
        <v>Lakeview Terrace </v>
      </c>
      <c r="S2033" s="12">
        <f t="shared" si="71"/>
        <v>21583175</v>
      </c>
    </row>
    <row r="2034" spans="1:19" x14ac:dyDescent="0.3">
      <c r="A2034" s="2" t="s">
        <v>3175</v>
      </c>
      <c r="B2034" s="2">
        <v>109</v>
      </c>
      <c r="C2034" s="3">
        <v>4919896</v>
      </c>
      <c r="D2034" s="3" t="s">
        <v>5910</v>
      </c>
      <c r="E2034" s="2" t="s">
        <v>4850</v>
      </c>
      <c r="F2034" s="2" t="s">
        <v>10</v>
      </c>
      <c r="G2034" s="2" t="s">
        <v>16</v>
      </c>
      <c r="H2034" s="2">
        <v>2000000</v>
      </c>
      <c r="I2034" s="2">
        <v>6.9</v>
      </c>
      <c r="J2034" s="3">
        <v>26838389</v>
      </c>
      <c r="K2034">
        <f t="shared" si="70"/>
        <v>1.3775047412552699E-3</v>
      </c>
      <c r="R2034" s="12" t="str">
        <f ca="1">IFERROR(__xludf.DUMMYFUNCTION("""COMPUTED_VALUE"""),"The Grudge 2 ")</f>
        <v>The Grudge 2 </v>
      </c>
      <c r="S2034" s="12">
        <f t="shared" si="71"/>
        <v>-26286998</v>
      </c>
    </row>
    <row r="2035" spans="1:19" x14ac:dyDescent="0.3">
      <c r="A2035" s="2" t="s">
        <v>549</v>
      </c>
      <c r="B2035" s="2">
        <v>124</v>
      </c>
      <c r="C2035" s="3">
        <v>29200000</v>
      </c>
      <c r="D2035" s="3" t="s">
        <v>6100</v>
      </c>
      <c r="E2035" s="2" t="s">
        <v>550</v>
      </c>
      <c r="F2035" s="2" t="s">
        <v>10</v>
      </c>
      <c r="G2035" s="2" t="s">
        <v>11</v>
      </c>
      <c r="H2035" s="2">
        <v>98000000</v>
      </c>
      <c r="I2035" s="2">
        <v>5.6</v>
      </c>
      <c r="J2035" s="3">
        <v>26876529</v>
      </c>
      <c r="K2035">
        <f t="shared" si="70"/>
        <v>1.3775047412552699E-3</v>
      </c>
      <c r="R2035" s="12" t="str">
        <f ca="1">IFERROR(__xludf.DUMMYFUNCTION("""COMPUTED_VALUE"""),"How Stella Got Her Groove Back ")</f>
        <v>How Stella Got Her Groove Back </v>
      </c>
      <c r="S2035" s="12">
        <f t="shared" si="71"/>
        <v>-19639805</v>
      </c>
    </row>
    <row r="2036" spans="1:19" x14ac:dyDescent="0.3">
      <c r="A2036" s="2" t="s">
        <v>1170</v>
      </c>
      <c r="B2036" s="2">
        <v>100</v>
      </c>
      <c r="C2036" s="3">
        <v>36200000</v>
      </c>
      <c r="D2036" s="3" t="s">
        <v>6177</v>
      </c>
      <c r="E2036" s="2" t="s">
        <v>3970</v>
      </c>
      <c r="F2036" s="2" t="s">
        <v>10</v>
      </c>
      <c r="G2036" s="2" t="s">
        <v>11</v>
      </c>
      <c r="H2036" s="2">
        <v>10000000</v>
      </c>
      <c r="I2036" s="2">
        <v>6.4</v>
      </c>
      <c r="J2036" s="3">
        <v>26896744</v>
      </c>
      <c r="K2036">
        <f t="shared" si="70"/>
        <v>1.3775047412552699E-3</v>
      </c>
      <c r="R2036" s="12" t="str">
        <f ca="1">IFERROR(__xludf.DUMMYFUNCTION("""COMPUTED_VALUE"""),"Bill &amp; Ted's Bogus Journey ")</f>
        <v>Bill &amp; Ted's Bogus Journey </v>
      </c>
      <c r="S2036" s="12">
        <f t="shared" si="71"/>
        <v>-69684676</v>
      </c>
    </row>
    <row r="2037" spans="1:19" x14ac:dyDescent="0.3">
      <c r="A2037" s="2" t="s">
        <v>5185</v>
      </c>
      <c r="B2037" s="2">
        <v>91</v>
      </c>
      <c r="C2037" s="3">
        <v>12987647</v>
      </c>
      <c r="D2037" s="3" t="s">
        <v>5954</v>
      </c>
      <c r="E2037" s="2" t="s">
        <v>5186</v>
      </c>
      <c r="F2037" s="2" t="s">
        <v>10</v>
      </c>
      <c r="G2037" s="2" t="s">
        <v>11</v>
      </c>
      <c r="H2037" s="2">
        <v>1500000</v>
      </c>
      <c r="I2037" s="2">
        <v>7</v>
      </c>
      <c r="J2037" s="3">
        <v>26903709</v>
      </c>
      <c r="K2037">
        <f t="shared" si="70"/>
        <v>1.3775047412552699E-3</v>
      </c>
      <c r="R2037" s="12" t="str">
        <f ca="1">IFERROR(__xludf.DUMMYFUNCTION("""COMPUTED_VALUE"""),"Man of the Year ")</f>
        <v>Man of the Year </v>
      </c>
      <c r="S2037" s="12">
        <f t="shared" si="71"/>
        <v>-1577444</v>
      </c>
    </row>
    <row r="2038" spans="1:19" x14ac:dyDescent="0.3">
      <c r="A2038" s="2" t="s">
        <v>4512</v>
      </c>
      <c r="B2038" s="2">
        <v>84</v>
      </c>
      <c r="C2038" s="3">
        <v>33357476</v>
      </c>
      <c r="D2038" s="3" t="s">
        <v>5778</v>
      </c>
      <c r="E2038" s="2" t="s">
        <v>4513</v>
      </c>
      <c r="F2038" s="2" t="s">
        <v>723</v>
      </c>
      <c r="G2038" s="2" t="s">
        <v>11</v>
      </c>
      <c r="H2038" s="2">
        <v>6000000</v>
      </c>
      <c r="I2038" s="2">
        <v>5.5</v>
      </c>
      <c r="J2038" s="3">
        <v>26906039</v>
      </c>
      <c r="K2038">
        <f t="shared" si="70"/>
        <v>1.3775047412552699E-3</v>
      </c>
      <c r="R2038" s="12" t="str">
        <f ca="1">IFERROR(__xludf.DUMMYFUNCTION("""COMPUTED_VALUE"""),"The American ")</f>
        <v>The American </v>
      </c>
      <c r="S2038" s="12">
        <f t="shared" si="71"/>
        <v>-135833137</v>
      </c>
    </row>
    <row r="2039" spans="1:19" x14ac:dyDescent="0.3">
      <c r="A2039" s="2" t="s">
        <v>1030</v>
      </c>
      <c r="B2039" s="2">
        <v>100</v>
      </c>
      <c r="C2039" s="3">
        <v>19781879</v>
      </c>
      <c r="D2039" s="3" t="s">
        <v>5890</v>
      </c>
      <c r="E2039" s="2" t="s">
        <v>2205</v>
      </c>
      <c r="F2039" s="2" t="s">
        <v>10</v>
      </c>
      <c r="G2039" s="2" t="s">
        <v>11</v>
      </c>
      <c r="H2039" s="2">
        <v>30000000</v>
      </c>
      <c r="I2039" s="2">
        <v>6.3</v>
      </c>
      <c r="J2039" s="3">
        <v>27000000</v>
      </c>
      <c r="K2039">
        <f t="shared" si="70"/>
        <v>1.3775047412552699E-3</v>
      </c>
      <c r="R2039" s="12" t="str">
        <f ca="1">IFERROR(__xludf.DUMMYFUNCTION("""COMPUTED_VALUE"""),"Selena ")</f>
        <v>Selena </v>
      </c>
      <c r="S2039" s="12">
        <f t="shared" si="71"/>
        <v>20592418</v>
      </c>
    </row>
    <row r="2040" spans="1:19" x14ac:dyDescent="0.3">
      <c r="A2040" s="2" t="s">
        <v>246</v>
      </c>
      <c r="B2040" s="2">
        <v>94</v>
      </c>
      <c r="C2040" s="3">
        <v>43060566</v>
      </c>
      <c r="D2040" s="3" t="s">
        <v>6307</v>
      </c>
      <c r="E2040" s="2" t="s">
        <v>1007</v>
      </c>
      <c r="F2040" s="2" t="s">
        <v>10</v>
      </c>
      <c r="G2040" s="2" t="s">
        <v>1008</v>
      </c>
      <c r="H2040" s="2">
        <v>65000000</v>
      </c>
      <c r="I2040" s="2">
        <v>6.3</v>
      </c>
      <c r="J2040" s="3">
        <v>27052167</v>
      </c>
      <c r="K2040">
        <f t="shared" si="70"/>
        <v>1.3775047412552699E-3</v>
      </c>
      <c r="R2040" s="12" t="str">
        <f ca="1">IFERROR(__xludf.DUMMYFUNCTION("""COMPUTED_VALUE"""),"Vampires Suck ")</f>
        <v>Vampires Suck </v>
      </c>
      <c r="S2040" s="12">
        <f t="shared" si="71"/>
        <v>23232624</v>
      </c>
    </row>
    <row r="2041" spans="1:19" x14ac:dyDescent="0.3">
      <c r="A2041" s="2" t="s">
        <v>2542</v>
      </c>
      <c r="B2041" s="2">
        <v>105</v>
      </c>
      <c r="C2041" s="3">
        <v>10965209</v>
      </c>
      <c r="D2041" s="3" t="s">
        <v>5920</v>
      </c>
      <c r="E2041" s="2" t="s">
        <v>4327</v>
      </c>
      <c r="F2041" s="2" t="s">
        <v>10</v>
      </c>
      <c r="G2041" s="2" t="s">
        <v>11</v>
      </c>
      <c r="H2041" s="2">
        <v>7500000</v>
      </c>
      <c r="I2041" s="2">
        <v>7.2</v>
      </c>
      <c r="J2041" s="3">
        <v>27053815</v>
      </c>
      <c r="K2041">
        <f t="shared" si="70"/>
        <v>1.3775047412552699E-3</v>
      </c>
      <c r="R2041" s="12" t="str">
        <f ca="1">IFERROR(__xludf.DUMMYFUNCTION("""COMPUTED_VALUE"""),"Babel ")</f>
        <v>Babel </v>
      </c>
      <c r="S2041" s="12">
        <f t="shared" si="71"/>
        <v>-75508650</v>
      </c>
    </row>
    <row r="2042" spans="1:19" x14ac:dyDescent="0.3">
      <c r="A2042" s="2" t="s">
        <v>4634</v>
      </c>
      <c r="B2042" s="2">
        <v>101</v>
      </c>
      <c r="C2042" s="3">
        <v>6350058</v>
      </c>
      <c r="D2042" s="3" t="s">
        <v>5869</v>
      </c>
      <c r="E2042" s="2" t="s">
        <v>4635</v>
      </c>
      <c r="F2042" s="2" t="s">
        <v>10</v>
      </c>
      <c r="G2042" s="2" t="s">
        <v>11</v>
      </c>
      <c r="H2042" s="2">
        <v>5000000</v>
      </c>
      <c r="I2042" s="2">
        <v>7.5</v>
      </c>
      <c r="J2042" s="3">
        <v>27067160</v>
      </c>
      <c r="K2042">
        <f t="shared" si="70"/>
        <v>1.3775047412552699E-3</v>
      </c>
      <c r="R2042" s="12" t="str">
        <f ca="1">IFERROR(__xludf.DUMMYFUNCTION("""COMPUTED_VALUE"""),"This Is Where I Leave You ")</f>
        <v>This Is Where I Leave You </v>
      </c>
      <c r="S2042" s="12">
        <f t="shared" si="71"/>
        <v>-35781132</v>
      </c>
    </row>
    <row r="2043" spans="1:19" x14ac:dyDescent="0.3">
      <c r="A2043" s="2" t="s">
        <v>5410</v>
      </c>
      <c r="B2043" s="2">
        <v>113</v>
      </c>
      <c r="C2043" s="3">
        <v>36064910</v>
      </c>
      <c r="D2043" s="3" t="s">
        <v>6274</v>
      </c>
      <c r="E2043" s="2" t="s">
        <v>5411</v>
      </c>
      <c r="F2043" s="2" t="s">
        <v>5412</v>
      </c>
      <c r="G2043" s="2" t="s">
        <v>2367</v>
      </c>
      <c r="H2043" s="2">
        <v>590000</v>
      </c>
      <c r="I2043" s="2">
        <v>7.9</v>
      </c>
      <c r="J2043" s="3">
        <v>27087695</v>
      </c>
      <c r="K2043">
        <f t="shared" si="70"/>
        <v>1.3775047412552699E-3</v>
      </c>
      <c r="R2043" s="12" t="str">
        <f ca="1">IFERROR(__xludf.DUMMYFUNCTION("""COMPUTED_VALUE"""),"Doubt ")</f>
        <v>Doubt </v>
      </c>
      <c r="S2043" s="12">
        <f t="shared" si="71"/>
        <v>-2349262</v>
      </c>
    </row>
    <row r="2044" spans="1:19" x14ac:dyDescent="0.3">
      <c r="A2044" s="2" t="s">
        <v>4060</v>
      </c>
      <c r="B2044" s="2">
        <v>74</v>
      </c>
      <c r="C2044" s="3">
        <v>295468</v>
      </c>
      <c r="D2044" s="3" t="s">
        <v>6163</v>
      </c>
      <c r="E2044" s="2" t="s">
        <v>4061</v>
      </c>
      <c r="F2044" s="2" t="s">
        <v>10</v>
      </c>
      <c r="G2044" s="2" t="s">
        <v>11</v>
      </c>
      <c r="H2044" s="2">
        <v>10000000</v>
      </c>
      <c r="I2044" s="2">
        <v>5.8</v>
      </c>
      <c r="J2044" s="3">
        <v>27098580</v>
      </c>
      <c r="K2044">
        <f t="shared" si="70"/>
        <v>1.3775047412552699E-3</v>
      </c>
      <c r="R2044" s="12" t="str">
        <f ca="1">IFERROR(__xludf.DUMMYFUNCTION("""COMPUTED_VALUE"""),"Team America: World Police ")</f>
        <v>Team America: World Police </v>
      </c>
      <c r="S2044" s="12">
        <f t="shared" si="71"/>
        <v>-12202684</v>
      </c>
    </row>
    <row r="2045" spans="1:19" x14ac:dyDescent="0.3">
      <c r="A2045" s="2" t="s">
        <v>4147</v>
      </c>
      <c r="B2045" s="2">
        <v>85</v>
      </c>
      <c r="C2045" s="3">
        <v>43022524</v>
      </c>
      <c r="D2045" s="3" t="s">
        <v>6308</v>
      </c>
      <c r="E2045" s="2" t="s">
        <v>4148</v>
      </c>
      <c r="F2045" s="2" t="s">
        <v>10</v>
      </c>
      <c r="G2045" s="2" t="s">
        <v>11</v>
      </c>
      <c r="H2045" s="2">
        <v>6500000</v>
      </c>
      <c r="I2045" s="2">
        <v>6.7</v>
      </c>
      <c r="J2045" s="3">
        <v>27141959</v>
      </c>
      <c r="K2045">
        <f t="shared" si="70"/>
        <v>1.3775047412552699E-3</v>
      </c>
      <c r="R2045" s="12" t="str">
        <f ca="1">IFERROR(__xludf.DUMMYFUNCTION("""COMPUTED_VALUE"""),"Texas Chainsaw 3D ")</f>
        <v>Texas Chainsaw 3D </v>
      </c>
      <c r="S2045" s="12">
        <f t="shared" si="71"/>
        <v>-8626307</v>
      </c>
    </row>
    <row r="2046" spans="1:19" x14ac:dyDescent="0.3">
      <c r="A2046" s="2" t="s">
        <v>2570</v>
      </c>
      <c r="B2046" s="2">
        <v>104</v>
      </c>
      <c r="C2046" s="2">
        <v>35143332</v>
      </c>
      <c r="D2046" s="3" t="s">
        <v>5899</v>
      </c>
      <c r="E2046" s="2" t="s">
        <v>2571</v>
      </c>
      <c r="F2046" s="2" t="s">
        <v>10</v>
      </c>
      <c r="G2046" s="2" t="s">
        <v>11</v>
      </c>
      <c r="H2046" s="2">
        <v>17000000</v>
      </c>
      <c r="I2046" s="2">
        <v>5.6</v>
      </c>
      <c r="J2046" s="3">
        <v>27154426</v>
      </c>
      <c r="K2046">
        <f t="shared" si="70"/>
        <v>1.3775047412552699E-3</v>
      </c>
      <c r="R2046" s="12" t="str">
        <f ca="1">IFERROR(__xludf.DUMMYFUNCTION("""COMPUTED_VALUE"""),"Copycat ")</f>
        <v>Copycat </v>
      </c>
      <c r="S2046" s="12">
        <f t="shared" si="71"/>
        <v>-48904400</v>
      </c>
    </row>
    <row r="2047" spans="1:19" x14ac:dyDescent="0.3">
      <c r="A2047" s="2" t="s">
        <v>5063</v>
      </c>
      <c r="B2047" s="2">
        <v>102</v>
      </c>
      <c r="C2047" s="3">
        <v>97360069</v>
      </c>
      <c r="D2047" s="3" t="s">
        <v>6243</v>
      </c>
      <c r="E2047" s="2" t="s">
        <v>5064</v>
      </c>
      <c r="F2047" s="2" t="s">
        <v>1933</v>
      </c>
      <c r="G2047" s="2" t="s">
        <v>1008</v>
      </c>
      <c r="H2047" s="2">
        <v>2000000</v>
      </c>
      <c r="I2047" s="2">
        <v>7.6</v>
      </c>
      <c r="J2047" s="3">
        <v>27200000</v>
      </c>
      <c r="K2047">
        <f t="shared" si="70"/>
        <v>1.3775047412552699E-3</v>
      </c>
      <c r="R2047" s="12" t="str">
        <f ca="1">IFERROR(__xludf.DUMMYFUNCTION("""COMPUTED_VALUE"""),"Scary Movie 5 ")</f>
        <v>Scary Movie 5 </v>
      </c>
      <c r="S2047" s="12">
        <f t="shared" si="71"/>
        <v>-29649103</v>
      </c>
    </row>
    <row r="2048" spans="1:19" x14ac:dyDescent="0.3">
      <c r="A2048" s="2" t="s">
        <v>3934</v>
      </c>
      <c r="B2048" s="2">
        <v>102</v>
      </c>
      <c r="C2048" s="2">
        <v>2807854</v>
      </c>
      <c r="D2048" s="3" t="s">
        <v>5785</v>
      </c>
      <c r="E2048" s="2" t="s">
        <v>3935</v>
      </c>
      <c r="F2048" s="2" t="s">
        <v>10</v>
      </c>
      <c r="G2048" s="2" t="s">
        <v>11</v>
      </c>
      <c r="H2048" s="2">
        <v>11000000</v>
      </c>
      <c r="I2048" s="2">
        <v>5.0999999999999996</v>
      </c>
      <c r="J2048" s="3">
        <v>27277055</v>
      </c>
      <c r="K2048">
        <f t="shared" si="70"/>
        <v>1.3775047412552699E-3</v>
      </c>
      <c r="R2048" s="12" t="str">
        <f ca="1">IFERROR(__xludf.DUMMYFUNCTION("""COMPUTED_VALUE"""),"Milk ")</f>
        <v>Milk </v>
      </c>
      <c r="S2048" s="12">
        <f t="shared" si="71"/>
        <v>44186089</v>
      </c>
    </row>
    <row r="2049" spans="1:19" x14ac:dyDescent="0.3">
      <c r="A2049" s="2" t="s">
        <v>1602</v>
      </c>
      <c r="B2049" s="2">
        <v>110</v>
      </c>
      <c r="C2049" s="3">
        <v>46563158</v>
      </c>
      <c r="D2049" s="3" t="s">
        <v>6251</v>
      </c>
      <c r="E2049" s="2" t="s">
        <v>1603</v>
      </c>
      <c r="F2049" s="2" t="s">
        <v>10</v>
      </c>
      <c r="G2049" s="2" t="s">
        <v>11</v>
      </c>
      <c r="H2049" s="2">
        <v>40000000</v>
      </c>
      <c r="I2049" s="2">
        <v>6</v>
      </c>
      <c r="J2049" s="3">
        <v>27281507</v>
      </c>
      <c r="K2049">
        <f t="shared" si="70"/>
        <v>1.3775047412552699E-3</v>
      </c>
      <c r="R2049" s="12" t="str">
        <f ca="1">IFERROR(__xludf.DUMMYFUNCTION("""COMPUTED_VALUE"""),"Risen ")</f>
        <v>Risen </v>
      </c>
      <c r="S2049" s="12">
        <f t="shared" si="71"/>
        <v>-76250939</v>
      </c>
    </row>
    <row r="2050" spans="1:19" x14ac:dyDescent="0.3">
      <c r="A2050" s="2" t="s">
        <v>4547</v>
      </c>
      <c r="B2050" s="2">
        <v>111</v>
      </c>
      <c r="C2050" s="3">
        <v>79363785</v>
      </c>
      <c r="D2050" s="3" t="s">
        <v>6309</v>
      </c>
      <c r="E2050" s="2" t="s">
        <v>4548</v>
      </c>
      <c r="F2050" s="2" t="s">
        <v>751</v>
      </c>
      <c r="G2050" s="2" t="s">
        <v>504</v>
      </c>
      <c r="H2050" s="2">
        <v>5300000</v>
      </c>
      <c r="I2050" s="2">
        <v>7.3</v>
      </c>
      <c r="J2050" s="3">
        <v>27285953</v>
      </c>
      <c r="K2050">
        <f t="shared" ref="K2050:K2113" si="72">CORREL(H$2:H$3941,J$2:J$3941)</f>
        <v>1.3775047412552699E-3</v>
      </c>
      <c r="R2050" s="12" t="str">
        <f ca="1">IFERROR(__xludf.DUMMYFUNCTION("""COMPUTED_VALUE"""),"Ghost Ship ")</f>
        <v>Ghost Ship </v>
      </c>
      <c r="S2050" s="12">
        <f t="shared" si="71"/>
        <v>-468170984</v>
      </c>
    </row>
    <row r="2051" spans="1:19" x14ac:dyDescent="0.3">
      <c r="A2051" s="2" t="s">
        <v>346</v>
      </c>
      <c r="B2051" s="2">
        <v>135</v>
      </c>
      <c r="C2051" s="3">
        <v>76270454</v>
      </c>
      <c r="D2051" s="3" t="s">
        <v>6088</v>
      </c>
      <c r="E2051" s="2" t="s">
        <v>2172</v>
      </c>
      <c r="F2051" s="2" t="s">
        <v>10</v>
      </c>
      <c r="G2051" s="2" t="s">
        <v>11</v>
      </c>
      <c r="H2051" s="2">
        <v>30000000</v>
      </c>
      <c r="I2051" s="2">
        <v>7.6</v>
      </c>
      <c r="J2051" s="3">
        <v>27296514</v>
      </c>
      <c r="K2051">
        <f t="shared" si="72"/>
        <v>1.3775047412552699E-3</v>
      </c>
      <c r="R2051" s="12" t="str">
        <f ca="1">IFERROR(__xludf.DUMMYFUNCTION("""COMPUTED_VALUE"""),"A Very Harold &amp; Kumar 3D Christmas ")</f>
        <v>A Very Harold &amp; Kumar 3D Christmas </v>
      </c>
      <c r="S2051" s="12">
        <f t="shared" si="71"/>
        <v>-62232000</v>
      </c>
    </row>
    <row r="2052" spans="1:19" x14ac:dyDescent="0.3">
      <c r="A2052" s="2" t="s">
        <v>1330</v>
      </c>
      <c r="B2052" s="2">
        <v>111</v>
      </c>
      <c r="C2052" s="3">
        <v>25592632</v>
      </c>
      <c r="D2052" s="3" t="s">
        <v>5973</v>
      </c>
      <c r="E2052" s="2" t="s">
        <v>3862</v>
      </c>
      <c r="F2052" s="2" t="s">
        <v>10</v>
      </c>
      <c r="G2052" s="2" t="s">
        <v>2131</v>
      </c>
      <c r="H2052" s="2">
        <v>12000000</v>
      </c>
      <c r="I2052" s="2">
        <v>6.8</v>
      </c>
      <c r="J2052" s="3">
        <v>27338033</v>
      </c>
      <c r="K2052">
        <f t="shared" si="72"/>
        <v>1.3775047412552699E-3</v>
      </c>
      <c r="R2052" s="12" t="str">
        <f ca="1">IFERROR(__xludf.DUMMYFUNCTION("""COMPUTED_VALUE"""),"Wild Things ")</f>
        <v>Wild Things </v>
      </c>
      <c r="S2052" s="12">
        <f t="shared" si="71"/>
        <v>-28435384</v>
      </c>
    </row>
    <row r="2053" spans="1:19" x14ac:dyDescent="0.3">
      <c r="A2053" s="2" t="s">
        <v>135</v>
      </c>
      <c r="B2053" s="2">
        <v>96</v>
      </c>
      <c r="C2053" s="3">
        <v>1050600</v>
      </c>
      <c r="D2053" s="3" t="s">
        <v>5869</v>
      </c>
      <c r="E2053" s="2" t="s">
        <v>136</v>
      </c>
      <c r="F2053" s="2" t="s">
        <v>10</v>
      </c>
      <c r="G2053" s="2" t="s">
        <v>11</v>
      </c>
      <c r="H2053" s="2">
        <v>175000000</v>
      </c>
      <c r="I2053" s="2">
        <v>5.4</v>
      </c>
      <c r="J2053" s="3">
        <v>27356090</v>
      </c>
      <c r="K2053">
        <f t="shared" si="72"/>
        <v>1.3775047412552699E-3</v>
      </c>
      <c r="R2053" s="12" t="str">
        <f ca="1">IFERROR(__xludf.DUMMYFUNCTION("""COMPUTED_VALUE"""),"The Debt ")</f>
        <v>The Debt </v>
      </c>
      <c r="S2053" s="12">
        <f t="shared" si="71"/>
        <v>69007828</v>
      </c>
    </row>
    <row r="2054" spans="1:19" x14ac:dyDescent="0.3">
      <c r="A2054" s="2" t="s">
        <v>1820</v>
      </c>
      <c r="B2054" s="2">
        <v>84</v>
      </c>
      <c r="C2054" s="3">
        <v>60269340</v>
      </c>
      <c r="D2054" s="3" t="s">
        <v>5767</v>
      </c>
      <c r="E2054" s="2" t="s">
        <v>1821</v>
      </c>
      <c r="F2054" s="2" t="s">
        <v>10</v>
      </c>
      <c r="G2054" s="2" t="s">
        <v>504</v>
      </c>
      <c r="H2054" s="2">
        <v>40000000</v>
      </c>
      <c r="I2054" s="2">
        <v>5.8</v>
      </c>
      <c r="J2054" s="3">
        <v>27362712</v>
      </c>
      <c r="K2054">
        <f t="shared" si="72"/>
        <v>1.3775047412552699E-3</v>
      </c>
      <c r="R2054" s="12" t="str">
        <f ca="1">IFERROR(__xludf.DUMMYFUNCTION("""COMPUTED_VALUE"""),"High Fidelity ")</f>
        <v>High Fidelity </v>
      </c>
      <c r="S2054" s="12">
        <f t="shared" si="71"/>
        <v>1991381</v>
      </c>
    </row>
    <row r="2055" spans="1:19" x14ac:dyDescent="0.3">
      <c r="A2055" s="2" t="s">
        <v>1017</v>
      </c>
      <c r="B2055" s="2">
        <v>95</v>
      </c>
      <c r="C2055" s="3">
        <v>7993039</v>
      </c>
      <c r="D2055" s="3" t="s">
        <v>5940</v>
      </c>
      <c r="E2055" s="2" t="s">
        <v>1419</v>
      </c>
      <c r="F2055" s="2" t="s">
        <v>10</v>
      </c>
      <c r="G2055" s="2" t="s">
        <v>11</v>
      </c>
      <c r="H2055" s="2">
        <v>50000000</v>
      </c>
      <c r="I2055" s="2">
        <v>5.9</v>
      </c>
      <c r="J2055" s="3">
        <v>27400000</v>
      </c>
      <c r="K2055">
        <f t="shared" si="72"/>
        <v>1.3775047412552699E-3</v>
      </c>
      <c r="R2055" s="12" t="str">
        <f ca="1">IFERROR(__xludf.DUMMYFUNCTION("""COMPUTED_VALUE"""),"One Missed Call ")</f>
        <v>One Missed Call </v>
      </c>
      <c r="S2055" s="12">
        <f t="shared" si="71"/>
        <v>8653746</v>
      </c>
    </row>
    <row r="2056" spans="1:19" x14ac:dyDescent="0.3">
      <c r="A2056" s="2" t="s">
        <v>4473</v>
      </c>
      <c r="B2056" s="2">
        <v>110</v>
      </c>
      <c r="C2056" s="3">
        <v>38176892</v>
      </c>
      <c r="D2056" s="3" t="s">
        <v>520</v>
      </c>
      <c r="E2056" s="2" t="s">
        <v>4474</v>
      </c>
      <c r="F2056" s="2" t="s">
        <v>10</v>
      </c>
      <c r="G2056" s="2" t="s">
        <v>11</v>
      </c>
      <c r="H2056" s="2">
        <v>6000000</v>
      </c>
      <c r="I2056" s="2">
        <v>8.1</v>
      </c>
      <c r="J2056" s="3">
        <v>27441122</v>
      </c>
      <c r="K2056">
        <f t="shared" si="72"/>
        <v>1.3775047412552699E-3</v>
      </c>
      <c r="R2056" s="12" t="str">
        <f ca="1">IFERROR(__xludf.DUMMYFUNCTION("""COMPUTED_VALUE"""),"Eye for an Eye ")</f>
        <v>Eye for an Eye </v>
      </c>
      <c r="S2056" s="12">
        <f t="shared" si="71"/>
        <v>2919896</v>
      </c>
    </row>
    <row r="2057" spans="1:19" x14ac:dyDescent="0.3">
      <c r="A2057" s="2" t="s">
        <v>3353</v>
      </c>
      <c r="B2057" s="2">
        <v>97</v>
      </c>
      <c r="C2057" s="3">
        <v>70360285</v>
      </c>
      <c r="D2057" s="3" t="s">
        <v>6036</v>
      </c>
      <c r="E2057" s="2" t="s">
        <v>3354</v>
      </c>
      <c r="F2057" s="2" t="s">
        <v>10</v>
      </c>
      <c r="G2057" s="2" t="s">
        <v>11</v>
      </c>
      <c r="H2057" s="2">
        <v>16000000</v>
      </c>
      <c r="I2057" s="2">
        <v>2.8</v>
      </c>
      <c r="J2057" s="3">
        <v>27457409</v>
      </c>
      <c r="K2057">
        <f t="shared" si="72"/>
        <v>1.3775047412552699E-3</v>
      </c>
      <c r="R2057" s="12" t="str">
        <f ca="1">IFERROR(__xludf.DUMMYFUNCTION("""COMPUTED_VALUE"""),"The Bank Job ")</f>
        <v>The Bank Job </v>
      </c>
      <c r="S2057" s="12">
        <f t="shared" si="71"/>
        <v>-68800000</v>
      </c>
    </row>
    <row r="2058" spans="1:19" x14ac:dyDescent="0.3">
      <c r="A2058" s="2" t="s">
        <v>511</v>
      </c>
      <c r="B2058" s="2">
        <v>80</v>
      </c>
      <c r="C2058" s="2">
        <v>84961</v>
      </c>
      <c r="D2058" s="3" t="s">
        <v>885</v>
      </c>
      <c r="E2058" s="2" t="s">
        <v>1640</v>
      </c>
      <c r="F2058" s="2" t="s">
        <v>513</v>
      </c>
      <c r="G2058" s="2" t="s">
        <v>233</v>
      </c>
      <c r="H2058" s="2">
        <v>31000000</v>
      </c>
      <c r="I2058" s="2">
        <v>7.9</v>
      </c>
      <c r="J2058" s="3">
        <v>27515786</v>
      </c>
      <c r="K2058">
        <f t="shared" si="72"/>
        <v>1.3775047412552699E-3</v>
      </c>
      <c r="R2058" s="12" t="str">
        <f ca="1">IFERROR(__xludf.DUMMYFUNCTION("""COMPUTED_VALUE"""),"Eternal Sunshine of the Spotless Mind ")</f>
        <v>Eternal Sunshine of the Spotless Mind </v>
      </c>
      <c r="S2058" s="12">
        <f t="shared" si="71"/>
        <v>26200000</v>
      </c>
    </row>
    <row r="2059" spans="1:19" x14ac:dyDescent="0.3">
      <c r="A2059" s="2" t="s">
        <v>240</v>
      </c>
      <c r="B2059" s="2">
        <v>107</v>
      </c>
      <c r="C2059" s="3">
        <v>75072454</v>
      </c>
      <c r="D2059" s="3" t="s">
        <v>6310</v>
      </c>
      <c r="E2059" s="2" t="s">
        <v>1652</v>
      </c>
      <c r="F2059" s="2" t="s">
        <v>10</v>
      </c>
      <c r="G2059" s="2" t="s">
        <v>11</v>
      </c>
      <c r="H2059" s="2">
        <v>40000000</v>
      </c>
      <c r="I2059" s="2">
        <v>8.1</v>
      </c>
      <c r="J2059" s="3">
        <v>27545445</v>
      </c>
      <c r="K2059">
        <f t="shared" si="72"/>
        <v>1.3775047412552699E-3</v>
      </c>
      <c r="R2059" s="12" t="str">
        <f ca="1">IFERROR(__xludf.DUMMYFUNCTION("""COMPUTED_VALUE"""),"You Again ")</f>
        <v>You Again </v>
      </c>
      <c r="S2059" s="12">
        <f t="shared" si="71"/>
        <v>11487647</v>
      </c>
    </row>
    <row r="2060" spans="1:19" x14ac:dyDescent="0.3">
      <c r="A2060" s="2" t="s">
        <v>3842</v>
      </c>
      <c r="B2060" s="2">
        <v>121</v>
      </c>
      <c r="C2060" s="3">
        <v>10956379</v>
      </c>
      <c r="D2060" s="3" t="s">
        <v>520</v>
      </c>
      <c r="E2060" s="2" t="s">
        <v>4355</v>
      </c>
      <c r="F2060" s="2" t="s">
        <v>10</v>
      </c>
      <c r="G2060" s="2" t="s">
        <v>47</v>
      </c>
      <c r="H2060" s="2">
        <v>7000000</v>
      </c>
      <c r="I2060" s="2">
        <v>7.6</v>
      </c>
      <c r="J2060" s="3">
        <v>27663982</v>
      </c>
      <c r="K2060">
        <f t="shared" si="72"/>
        <v>1.3775047412552699E-3</v>
      </c>
      <c r="R2060" s="12" t="str">
        <f ca="1">IFERROR(__xludf.DUMMYFUNCTION("""COMPUTED_VALUE"""),"Street Kings ")</f>
        <v>Street Kings </v>
      </c>
      <c r="S2060" s="12">
        <f t="shared" si="71"/>
        <v>27357476</v>
      </c>
    </row>
    <row r="2061" spans="1:19" x14ac:dyDescent="0.3">
      <c r="A2061" s="2" t="s">
        <v>248</v>
      </c>
      <c r="B2061" s="2">
        <v>111</v>
      </c>
      <c r="C2061" s="3">
        <v>6301131</v>
      </c>
      <c r="D2061" s="3" t="s">
        <v>6311</v>
      </c>
      <c r="E2061" s="2" t="s">
        <v>249</v>
      </c>
      <c r="F2061" s="2" t="s">
        <v>10</v>
      </c>
      <c r="G2061" s="2" t="s">
        <v>11</v>
      </c>
      <c r="H2061" s="2">
        <v>150000000</v>
      </c>
      <c r="I2061" s="2">
        <v>5.8</v>
      </c>
      <c r="J2061" s="3">
        <v>27667947</v>
      </c>
      <c r="K2061">
        <f t="shared" si="72"/>
        <v>1.3775047412552699E-3</v>
      </c>
      <c r="R2061" s="12" t="str">
        <f ca="1">IFERROR(__xludf.DUMMYFUNCTION("""COMPUTED_VALUE"""),"The World's End ")</f>
        <v>The World's End </v>
      </c>
      <c r="S2061" s="12">
        <f t="shared" si="71"/>
        <v>-10218121</v>
      </c>
    </row>
    <row r="2062" spans="1:19" x14ac:dyDescent="0.3">
      <c r="A2062" s="2" t="s">
        <v>915</v>
      </c>
      <c r="B2062" s="2">
        <v>108</v>
      </c>
      <c r="C2062" s="3">
        <v>50003300</v>
      </c>
      <c r="D2062" s="3" t="s">
        <v>6312</v>
      </c>
      <c r="E2062" s="2" t="s">
        <v>1781</v>
      </c>
      <c r="F2062" s="2" t="s">
        <v>10</v>
      </c>
      <c r="G2062" s="2" t="s">
        <v>11</v>
      </c>
      <c r="H2062" s="2">
        <v>60000000</v>
      </c>
      <c r="I2062" s="2">
        <v>6.2</v>
      </c>
      <c r="J2062" s="3">
        <v>27669413</v>
      </c>
      <c r="K2062">
        <f t="shared" si="72"/>
        <v>1.3775047412552699E-3</v>
      </c>
      <c r="R2062" s="12" t="str">
        <f ca="1">IFERROR(__xludf.DUMMYFUNCTION("""COMPUTED_VALUE"""),"Nancy Drew ")</f>
        <v>Nancy Drew </v>
      </c>
      <c r="S2062" s="12">
        <f t="shared" si="71"/>
        <v>-21939434</v>
      </c>
    </row>
    <row r="2063" spans="1:19" x14ac:dyDescent="0.3">
      <c r="A2063" s="2" t="s">
        <v>2673</v>
      </c>
      <c r="B2063" s="2">
        <v>107</v>
      </c>
      <c r="C2063" s="3">
        <v>76418654</v>
      </c>
      <c r="D2063" s="3" t="s">
        <v>6313</v>
      </c>
      <c r="E2063" s="2" t="s">
        <v>2674</v>
      </c>
      <c r="F2063" s="2" t="s">
        <v>10</v>
      </c>
      <c r="G2063" s="2" t="s">
        <v>71</v>
      </c>
      <c r="H2063" s="2">
        <v>25000000</v>
      </c>
      <c r="I2063" s="2">
        <v>6.5</v>
      </c>
      <c r="J2063" s="3">
        <v>27689474</v>
      </c>
      <c r="K2063">
        <f t="shared" si="72"/>
        <v>1.3775047412552699E-3</v>
      </c>
      <c r="R2063" s="12" t="str">
        <f ca="1">IFERROR(__xludf.DUMMYFUNCTION("""COMPUTED_VALUE"""),"Daybreakers ")</f>
        <v>Daybreakers </v>
      </c>
      <c r="S2063" s="12">
        <f t="shared" si="71"/>
        <v>3465209</v>
      </c>
    </row>
    <row r="2064" spans="1:19" x14ac:dyDescent="0.3">
      <c r="A2064" s="2" t="s">
        <v>4062</v>
      </c>
      <c r="B2064" s="2">
        <v>130</v>
      </c>
      <c r="C2064" s="3">
        <v>52580895</v>
      </c>
      <c r="D2064" s="3" t="s">
        <v>5849</v>
      </c>
      <c r="E2064" s="2" t="s">
        <v>4063</v>
      </c>
      <c r="F2064" s="2" t="s">
        <v>751</v>
      </c>
      <c r="G2064" s="2" t="s">
        <v>71</v>
      </c>
      <c r="H2064" s="2">
        <v>10000000</v>
      </c>
      <c r="I2064" s="2">
        <v>7.7</v>
      </c>
      <c r="J2064" s="3">
        <v>27736779</v>
      </c>
      <c r="K2064">
        <f t="shared" si="72"/>
        <v>1.3775047412552699E-3</v>
      </c>
      <c r="R2064" s="12" t="str">
        <f ca="1">IFERROR(__xludf.DUMMYFUNCTION("""COMPUTED_VALUE"""),"She's Out of My League ")</f>
        <v>She's Out of My League </v>
      </c>
      <c r="S2064" s="12">
        <f t="shared" si="71"/>
        <v>1350058</v>
      </c>
    </row>
    <row r="2065" spans="1:19" x14ac:dyDescent="0.3">
      <c r="A2065" s="2" t="s">
        <v>2223</v>
      </c>
      <c r="B2065" s="2">
        <v>107</v>
      </c>
      <c r="C2065" s="2">
        <v>55210049</v>
      </c>
      <c r="D2065" s="3" t="s">
        <v>6314</v>
      </c>
      <c r="E2065" s="2" t="s">
        <v>2224</v>
      </c>
      <c r="F2065" s="2" t="s">
        <v>10</v>
      </c>
      <c r="G2065" s="2" t="s">
        <v>11</v>
      </c>
      <c r="H2065" s="2">
        <v>27800000</v>
      </c>
      <c r="I2065" s="2">
        <v>5.4</v>
      </c>
      <c r="J2065" s="3">
        <v>27758465</v>
      </c>
      <c r="K2065">
        <f t="shared" si="72"/>
        <v>1.3775047412552699E-3</v>
      </c>
      <c r="R2065" s="12" t="str">
        <f ca="1">IFERROR(__xludf.DUMMYFUNCTION("""COMPUTED_VALUE"""),"Monte Carlo ")</f>
        <v>Monte Carlo </v>
      </c>
      <c r="S2065" s="12">
        <f t="shared" si="71"/>
        <v>35474910</v>
      </c>
    </row>
    <row r="2066" spans="1:19" x14ac:dyDescent="0.3">
      <c r="A2066" s="2" t="s">
        <v>1162</v>
      </c>
      <c r="B2066" s="2">
        <v>92</v>
      </c>
      <c r="C2066" s="2">
        <v>1550000</v>
      </c>
      <c r="D2066" s="3" t="s">
        <v>6315</v>
      </c>
      <c r="E2066" s="2" t="s">
        <v>2672</v>
      </c>
      <c r="F2066" s="2" t="s">
        <v>10</v>
      </c>
      <c r="G2066" s="2" t="s">
        <v>11</v>
      </c>
      <c r="H2066" s="2">
        <v>25000000</v>
      </c>
      <c r="I2066" s="2">
        <v>2.9</v>
      </c>
      <c r="J2066" s="3">
        <v>27796042</v>
      </c>
      <c r="K2066">
        <f t="shared" si="72"/>
        <v>1.3775047412552699E-3</v>
      </c>
      <c r="R2066" s="12" t="str">
        <f ca="1">IFERROR(__xludf.DUMMYFUNCTION("""COMPUTED_VALUE"""),"Stay Alive ")</f>
        <v>Stay Alive </v>
      </c>
      <c r="S2066" s="12">
        <f t="shared" si="71"/>
        <v>-9704532</v>
      </c>
    </row>
    <row r="2067" spans="1:19" x14ac:dyDescent="0.3">
      <c r="A2067" s="2" t="s">
        <v>4896</v>
      </c>
      <c r="B2067" s="2">
        <v>92</v>
      </c>
      <c r="C2067" s="3">
        <v>47095453</v>
      </c>
      <c r="D2067" s="3" t="s">
        <v>885</v>
      </c>
      <c r="E2067" s="2" t="s">
        <v>4897</v>
      </c>
      <c r="F2067" s="2" t="s">
        <v>10</v>
      </c>
      <c r="G2067" s="2" t="s">
        <v>11</v>
      </c>
      <c r="H2067" s="2">
        <v>2000000</v>
      </c>
      <c r="I2067" s="2">
        <v>6.4</v>
      </c>
      <c r="J2067" s="3">
        <v>27829874</v>
      </c>
      <c r="K2067">
        <f t="shared" si="72"/>
        <v>1.3775047412552699E-3</v>
      </c>
      <c r="R2067" s="12" t="str">
        <f ca="1">IFERROR(__xludf.DUMMYFUNCTION("""COMPUTED_VALUE"""),"Quigley Down Under ")</f>
        <v>Quigley Down Under </v>
      </c>
      <c r="S2067" s="12">
        <f t="shared" si="71"/>
        <v>36522524</v>
      </c>
    </row>
    <row r="2068" spans="1:19" x14ac:dyDescent="0.3">
      <c r="A2068" s="2" t="s">
        <v>4301</v>
      </c>
      <c r="B2068" s="2">
        <v>99</v>
      </c>
      <c r="C2068" s="3">
        <v>34964818</v>
      </c>
      <c r="D2068" s="3" t="s">
        <v>885</v>
      </c>
      <c r="E2068" s="2" t="s">
        <v>4302</v>
      </c>
      <c r="F2068" s="2" t="s">
        <v>10</v>
      </c>
      <c r="G2068" s="2" t="s">
        <v>11</v>
      </c>
      <c r="H2068" s="2">
        <v>8000000</v>
      </c>
      <c r="I2068" s="2">
        <v>5.5</v>
      </c>
      <c r="J2068" s="3">
        <v>27854896</v>
      </c>
      <c r="K2068">
        <f t="shared" si="72"/>
        <v>1.3775047412552699E-3</v>
      </c>
      <c r="R2068" s="12" t="str">
        <f ca="1">IFERROR(__xludf.DUMMYFUNCTION("""COMPUTED_VALUE"""),"Alpha and Omega ")</f>
        <v>Alpha and Omega </v>
      </c>
      <c r="S2068" s="12">
        <f t="shared" si="71"/>
        <v>18143332</v>
      </c>
    </row>
    <row r="2069" spans="1:19" x14ac:dyDescent="0.3">
      <c r="A2069" s="2" t="s">
        <v>224</v>
      </c>
      <c r="B2069" s="2">
        <v>96</v>
      </c>
      <c r="C2069" s="3">
        <v>91188905</v>
      </c>
      <c r="D2069" s="3" t="s">
        <v>5778</v>
      </c>
      <c r="E2069" s="2" t="s">
        <v>225</v>
      </c>
      <c r="F2069" s="2" t="s">
        <v>10</v>
      </c>
      <c r="G2069" s="2" t="s">
        <v>11</v>
      </c>
      <c r="H2069" s="2">
        <v>150000000</v>
      </c>
      <c r="I2069" s="2">
        <v>6.9</v>
      </c>
      <c r="J2069" s="3">
        <v>27900000</v>
      </c>
      <c r="K2069">
        <f t="shared" si="72"/>
        <v>1.3775047412552699E-3</v>
      </c>
      <c r="R2069" s="12" t="str">
        <f ca="1">IFERROR(__xludf.DUMMYFUNCTION("""COMPUTED_VALUE"""),"The Covenant ")</f>
        <v>The Covenant </v>
      </c>
      <c r="S2069" s="12">
        <f t="shared" si="71"/>
        <v>95360069</v>
      </c>
    </row>
    <row r="2070" spans="1:19" x14ac:dyDescent="0.3">
      <c r="A2070" s="2" t="s">
        <v>2812</v>
      </c>
      <c r="B2070" s="2">
        <v>100</v>
      </c>
      <c r="C2070" s="3">
        <v>91400000</v>
      </c>
      <c r="D2070" s="3" t="s">
        <v>5869</v>
      </c>
      <c r="E2070" s="2" t="s">
        <v>2813</v>
      </c>
      <c r="F2070" s="2" t="s">
        <v>10</v>
      </c>
      <c r="G2070" s="2" t="s">
        <v>11</v>
      </c>
      <c r="H2070" s="2">
        <v>2000000</v>
      </c>
      <c r="I2070" s="2">
        <v>6.1</v>
      </c>
      <c r="J2070" s="3">
        <v>27900000</v>
      </c>
      <c r="K2070">
        <f t="shared" si="72"/>
        <v>1.3775047412552699E-3</v>
      </c>
      <c r="R2070" s="12" t="str">
        <f ca="1">IFERROR(__xludf.DUMMYFUNCTION("""COMPUTED_VALUE"""),"Shorts ")</f>
        <v>Shorts </v>
      </c>
      <c r="S2070" s="12">
        <f t="shared" si="71"/>
        <v>-8192146</v>
      </c>
    </row>
    <row r="2071" spans="1:19" x14ac:dyDescent="0.3">
      <c r="A2071" s="2" t="s">
        <v>1773</v>
      </c>
      <c r="B2071" s="2">
        <v>119</v>
      </c>
      <c r="C2071" s="3">
        <v>7918283</v>
      </c>
      <c r="D2071" s="3" t="s">
        <v>5869</v>
      </c>
      <c r="E2071" s="2" t="s">
        <v>1774</v>
      </c>
      <c r="F2071" s="2" t="s">
        <v>10</v>
      </c>
      <c r="G2071" s="2" t="s">
        <v>11</v>
      </c>
      <c r="H2071" s="2">
        <v>40000000</v>
      </c>
      <c r="I2071" s="2">
        <v>6.7</v>
      </c>
      <c r="J2071" s="3">
        <v>27972410</v>
      </c>
      <c r="K2071">
        <f t="shared" si="72"/>
        <v>1.3775047412552699E-3</v>
      </c>
      <c r="R2071" s="12" t="str">
        <f ca="1">IFERROR(__xludf.DUMMYFUNCTION("""COMPUTED_VALUE"""),"To Die For ")</f>
        <v>To Die For </v>
      </c>
      <c r="S2071" s="12">
        <f t="shared" si="71"/>
        <v>6563158</v>
      </c>
    </row>
    <row r="2072" spans="1:19" x14ac:dyDescent="0.3">
      <c r="A2072" s="2" t="s">
        <v>29</v>
      </c>
      <c r="B2072" s="2">
        <v>143</v>
      </c>
      <c r="C2072" s="2">
        <v>291021565</v>
      </c>
      <c r="D2072" s="3" t="s">
        <v>6134</v>
      </c>
      <c r="E2072" s="2" t="s">
        <v>37</v>
      </c>
      <c r="F2072" s="2" t="s">
        <v>10</v>
      </c>
      <c r="G2072" s="2" t="s">
        <v>11</v>
      </c>
      <c r="H2072" s="2">
        <v>225000000</v>
      </c>
      <c r="I2072" s="2">
        <v>7.2</v>
      </c>
      <c r="J2072" s="3">
        <v>27979400</v>
      </c>
      <c r="K2072">
        <f t="shared" si="72"/>
        <v>1.3775047412552699E-3</v>
      </c>
      <c r="R2072" s="12" t="str">
        <f ca="1">IFERROR(__xludf.DUMMYFUNCTION("""COMPUTED_VALUE"""),"Nerve ")</f>
        <v>Nerve </v>
      </c>
      <c r="S2072" s="12">
        <f t="shared" si="71"/>
        <v>74063785</v>
      </c>
    </row>
    <row r="2073" spans="1:19" x14ac:dyDescent="0.3">
      <c r="A2073" s="2" t="s">
        <v>2251</v>
      </c>
      <c r="B2073" s="2">
        <v>101</v>
      </c>
      <c r="C2073" s="3">
        <v>38201895</v>
      </c>
      <c r="D2073" s="3" t="s">
        <v>520</v>
      </c>
      <c r="E2073" s="2" t="s">
        <v>2252</v>
      </c>
      <c r="F2073" s="2" t="s">
        <v>10</v>
      </c>
      <c r="G2073" s="2" t="s">
        <v>11</v>
      </c>
      <c r="H2073" s="2">
        <v>27000000</v>
      </c>
      <c r="I2073" s="2">
        <v>6.6</v>
      </c>
      <c r="J2073" s="3">
        <v>28014536</v>
      </c>
      <c r="K2073">
        <f t="shared" si="72"/>
        <v>1.3775047412552699E-3</v>
      </c>
      <c r="R2073" s="12" t="str">
        <f ca="1">IFERROR(__xludf.DUMMYFUNCTION("""COMPUTED_VALUE"""),"Vampires ")</f>
        <v>Vampires </v>
      </c>
      <c r="S2073" s="12">
        <f t="shared" ref="S2073:S2136" si="73">C2051-H2051</f>
        <v>46270454</v>
      </c>
    </row>
    <row r="2074" spans="1:19" x14ac:dyDescent="0.3">
      <c r="A2074" s="2" t="s">
        <v>2274</v>
      </c>
      <c r="B2074" s="2">
        <v>139</v>
      </c>
      <c r="C2074" s="3">
        <v>1950218</v>
      </c>
      <c r="D2074" s="3" t="s">
        <v>5773</v>
      </c>
      <c r="E2074" s="2" t="s">
        <v>2275</v>
      </c>
      <c r="F2074" s="2" t="s">
        <v>10</v>
      </c>
      <c r="G2074" s="2" t="s">
        <v>11</v>
      </c>
      <c r="H2074" s="2">
        <v>30000000</v>
      </c>
      <c r="I2074" s="2">
        <v>6.9</v>
      </c>
      <c r="J2074" s="3">
        <v>28031250</v>
      </c>
      <c r="K2074">
        <f t="shared" si="72"/>
        <v>1.3775047412552699E-3</v>
      </c>
      <c r="R2074" s="12" t="str">
        <f ca="1">IFERROR(__xludf.DUMMYFUNCTION("""COMPUTED_VALUE"""),"Psycho ")</f>
        <v>Psycho </v>
      </c>
      <c r="S2074" s="12">
        <f t="shared" si="73"/>
        <v>13592632</v>
      </c>
    </row>
    <row r="2075" spans="1:19" x14ac:dyDescent="0.3">
      <c r="A2075" s="2" t="s">
        <v>462</v>
      </c>
      <c r="B2075" s="2">
        <v>153</v>
      </c>
      <c r="C2075" s="3">
        <v>2483955</v>
      </c>
      <c r="D2075" s="3" t="s">
        <v>5776</v>
      </c>
      <c r="E2075" s="2" t="s">
        <v>863</v>
      </c>
      <c r="F2075" s="2" t="s">
        <v>10</v>
      </c>
      <c r="G2075" s="2" t="s">
        <v>11</v>
      </c>
      <c r="H2075" s="2">
        <v>75000000</v>
      </c>
      <c r="I2075" s="2">
        <v>8.3000000000000007</v>
      </c>
      <c r="J2075" s="3">
        <v>28045540</v>
      </c>
      <c r="K2075">
        <f t="shared" si="72"/>
        <v>1.3775047412552699E-3</v>
      </c>
      <c r="R2075" s="12" t="str">
        <f ca="1">IFERROR(__xludf.DUMMYFUNCTION("""COMPUTED_VALUE"""),"My Best Friend's Girl ")</f>
        <v>My Best Friend's Girl </v>
      </c>
      <c r="S2075" s="12">
        <f t="shared" si="73"/>
        <v>-173949400</v>
      </c>
    </row>
    <row r="2076" spans="1:19" x14ac:dyDescent="0.3">
      <c r="A2076" s="2" t="s">
        <v>795</v>
      </c>
      <c r="B2076" s="2">
        <v>143</v>
      </c>
      <c r="C2076" s="3">
        <v>14348123</v>
      </c>
      <c r="D2076" s="3" t="s">
        <v>5869</v>
      </c>
      <c r="E2076" s="2" t="s">
        <v>983</v>
      </c>
      <c r="F2076" s="2" t="s">
        <v>10</v>
      </c>
      <c r="G2076" s="2" t="s">
        <v>504</v>
      </c>
      <c r="H2076" s="2">
        <v>65000000</v>
      </c>
      <c r="I2076" s="2">
        <v>6.7</v>
      </c>
      <c r="J2076" s="3">
        <v>28064226</v>
      </c>
      <c r="K2076">
        <f t="shared" si="72"/>
        <v>1.3775047412552699E-3</v>
      </c>
      <c r="R2076" s="12" t="str">
        <f ca="1">IFERROR(__xludf.DUMMYFUNCTION("""COMPUTED_VALUE"""),"Endless Love ")</f>
        <v>Endless Love </v>
      </c>
      <c r="S2076" s="12">
        <f t="shared" si="73"/>
        <v>20269340</v>
      </c>
    </row>
    <row r="2077" spans="1:19" x14ac:dyDescent="0.3">
      <c r="A2077" s="2" t="s">
        <v>3495</v>
      </c>
      <c r="B2077" s="2">
        <v>110</v>
      </c>
      <c r="C2077" s="3">
        <v>7948159</v>
      </c>
      <c r="D2077" s="3" t="s">
        <v>5768</v>
      </c>
      <c r="E2077" s="2" t="s">
        <v>4025</v>
      </c>
      <c r="F2077" s="2" t="s">
        <v>10</v>
      </c>
      <c r="G2077" s="2" t="s">
        <v>11</v>
      </c>
      <c r="H2077" s="2">
        <v>30000000</v>
      </c>
      <c r="I2077" s="2">
        <v>6</v>
      </c>
      <c r="J2077" s="3">
        <v>28133159</v>
      </c>
      <c r="K2077">
        <f t="shared" si="72"/>
        <v>1.3775047412552699E-3</v>
      </c>
      <c r="R2077" s="12" t="str">
        <f ca="1">IFERROR(__xludf.DUMMYFUNCTION("""COMPUTED_VALUE"""),"Georgia Rule ")</f>
        <v>Georgia Rule </v>
      </c>
      <c r="S2077" s="12">
        <f t="shared" si="73"/>
        <v>-42006961</v>
      </c>
    </row>
    <row r="2078" spans="1:19" x14ac:dyDescent="0.3">
      <c r="A2078" s="2" t="s">
        <v>5267</v>
      </c>
      <c r="B2078" s="2">
        <v>110</v>
      </c>
      <c r="C2078" s="3">
        <v>4186931</v>
      </c>
      <c r="D2078" s="3" t="s">
        <v>520</v>
      </c>
      <c r="E2078" s="2" t="s">
        <v>5268</v>
      </c>
      <c r="F2078" s="2" t="s">
        <v>723</v>
      </c>
      <c r="G2078" s="2" t="s">
        <v>11</v>
      </c>
      <c r="H2078" s="2">
        <v>1200000</v>
      </c>
      <c r="I2078" s="2">
        <v>7.2</v>
      </c>
      <c r="J2078" s="3">
        <v>28328132</v>
      </c>
      <c r="K2078">
        <f t="shared" si="72"/>
        <v>1.3775047412552699E-3</v>
      </c>
      <c r="R2078" s="12" t="str">
        <f ca="1">IFERROR(__xludf.DUMMYFUNCTION("""COMPUTED_VALUE"""),"Under the Rainbow ")</f>
        <v>Under the Rainbow </v>
      </c>
      <c r="S2078" s="12">
        <f t="shared" si="73"/>
        <v>32176892</v>
      </c>
    </row>
    <row r="2079" spans="1:19" x14ac:dyDescent="0.3">
      <c r="A2079" s="2" t="s">
        <v>1428</v>
      </c>
      <c r="B2079" s="2">
        <v>110</v>
      </c>
      <c r="C2079" s="2">
        <v>52353636</v>
      </c>
      <c r="D2079" s="3" t="s">
        <v>5847</v>
      </c>
      <c r="E2079" s="2" t="s">
        <v>2385</v>
      </c>
      <c r="F2079" s="2" t="s">
        <v>10</v>
      </c>
      <c r="G2079" s="2" t="s">
        <v>11</v>
      </c>
      <c r="H2079" s="2">
        <v>21000000</v>
      </c>
      <c r="I2079" s="2">
        <v>7.6</v>
      </c>
      <c r="J2079" s="3">
        <v>28341469</v>
      </c>
      <c r="K2079">
        <f t="shared" si="72"/>
        <v>1.3775047412552699E-3</v>
      </c>
      <c r="R2079" s="12" t="str">
        <f ca="1">IFERROR(__xludf.DUMMYFUNCTION("""COMPUTED_VALUE"""),"Simon Birch ")</f>
        <v>Simon Birch </v>
      </c>
      <c r="S2079" s="12">
        <f t="shared" si="73"/>
        <v>54360285</v>
      </c>
    </row>
    <row r="2080" spans="1:19" x14ac:dyDescent="0.3">
      <c r="A2080" s="2" t="s">
        <v>5603</v>
      </c>
      <c r="B2080" s="2">
        <v>90</v>
      </c>
      <c r="C2080" s="3">
        <v>44484065</v>
      </c>
      <c r="D2080" s="3" t="s">
        <v>5818</v>
      </c>
      <c r="E2080" s="2" t="s">
        <v>5604</v>
      </c>
      <c r="F2080" s="2" t="s">
        <v>10</v>
      </c>
      <c r="G2080" s="2" t="s">
        <v>11</v>
      </c>
      <c r="H2080" s="2">
        <v>250000</v>
      </c>
      <c r="I2080" s="2">
        <v>6.7</v>
      </c>
      <c r="J2080" s="3">
        <v>28399192</v>
      </c>
      <c r="K2080">
        <f t="shared" si="72"/>
        <v>1.3775047412552699E-3</v>
      </c>
      <c r="R2080" s="12" t="str">
        <f ca="1">IFERROR(__xludf.DUMMYFUNCTION("""COMPUTED_VALUE"""),"Reign Over Me ")</f>
        <v>Reign Over Me </v>
      </c>
      <c r="S2080" s="12">
        <f t="shared" si="73"/>
        <v>-30915039</v>
      </c>
    </row>
    <row r="2081" spans="1:19" x14ac:dyDescent="0.3">
      <c r="A2081" s="2" t="s">
        <v>17</v>
      </c>
      <c r="B2081" s="2">
        <v>113</v>
      </c>
      <c r="C2081" s="3">
        <v>52474616</v>
      </c>
      <c r="D2081" s="3" t="s">
        <v>6134</v>
      </c>
      <c r="E2081" s="2" t="s">
        <v>4614</v>
      </c>
      <c r="F2081" s="2" t="s">
        <v>10</v>
      </c>
      <c r="G2081" s="2" t="s">
        <v>11</v>
      </c>
      <c r="H2081" s="2">
        <v>9000000</v>
      </c>
      <c r="I2081" s="2">
        <v>8.5</v>
      </c>
      <c r="J2081" s="3">
        <v>28435406</v>
      </c>
      <c r="K2081">
        <f t="shared" si="72"/>
        <v>1.3775047412552699E-3</v>
      </c>
      <c r="R2081" s="12" t="str">
        <f ca="1">IFERROR(__xludf.DUMMYFUNCTION("""COMPUTED_VALUE"""),"Into the Wild ")</f>
        <v>Into the Wild </v>
      </c>
      <c r="S2081" s="12">
        <f t="shared" si="73"/>
        <v>35072454</v>
      </c>
    </row>
    <row r="2082" spans="1:19" x14ac:dyDescent="0.3">
      <c r="A2082" s="2" t="s">
        <v>350</v>
      </c>
      <c r="B2082" s="2">
        <v>112</v>
      </c>
      <c r="C2082" s="3">
        <v>43097652</v>
      </c>
      <c r="D2082" s="3" t="s">
        <v>6316</v>
      </c>
      <c r="E2082" s="2" t="s">
        <v>2462</v>
      </c>
      <c r="F2082" s="2" t="s">
        <v>10</v>
      </c>
      <c r="G2082" s="2" t="s">
        <v>11</v>
      </c>
      <c r="H2082" s="2">
        <v>15000000</v>
      </c>
      <c r="I2082" s="2">
        <v>6.4</v>
      </c>
      <c r="J2082" s="3">
        <v>28501605</v>
      </c>
      <c r="K2082">
        <f t="shared" si="72"/>
        <v>1.3775047412552699E-3</v>
      </c>
      <c r="R2082" s="12" t="str">
        <f ca="1">IFERROR(__xludf.DUMMYFUNCTION("""COMPUTED_VALUE"""),"School for Scoundrels ")</f>
        <v>School for Scoundrels </v>
      </c>
      <c r="S2082" s="12">
        <f t="shared" si="73"/>
        <v>3956379</v>
      </c>
    </row>
    <row r="2083" spans="1:19" x14ac:dyDescent="0.3">
      <c r="A2083" s="2" t="s">
        <v>1170</v>
      </c>
      <c r="B2083" s="2">
        <v>90</v>
      </c>
      <c r="C2083" s="3">
        <v>21300000</v>
      </c>
      <c r="D2083" s="3" t="s">
        <v>5940</v>
      </c>
      <c r="E2083" s="2" t="s">
        <v>3974</v>
      </c>
      <c r="F2083" s="2" t="s">
        <v>10</v>
      </c>
      <c r="G2083" s="2" t="s">
        <v>11</v>
      </c>
      <c r="H2083" s="2">
        <v>10000000</v>
      </c>
      <c r="I2083" s="2">
        <v>6.9</v>
      </c>
      <c r="J2083" s="3">
        <v>28501651</v>
      </c>
      <c r="K2083">
        <f t="shared" si="72"/>
        <v>1.3775047412552699E-3</v>
      </c>
      <c r="R2083" s="12" t="str">
        <f ca="1">IFERROR(__xludf.DUMMYFUNCTION("""COMPUTED_VALUE"""),"Silent Hill: Revelation 3D ")</f>
        <v>Silent Hill: Revelation 3D </v>
      </c>
      <c r="S2083" s="12">
        <f t="shared" si="73"/>
        <v>-143698869</v>
      </c>
    </row>
    <row r="2084" spans="1:19" x14ac:dyDescent="0.3">
      <c r="A2084" s="2" t="s">
        <v>4575</v>
      </c>
      <c r="B2084" s="2">
        <v>84</v>
      </c>
      <c r="C2084" s="3">
        <v>10955425</v>
      </c>
      <c r="D2084" s="3" t="s">
        <v>6317</v>
      </c>
      <c r="E2084" s="2" t="s">
        <v>5313</v>
      </c>
      <c r="F2084" s="2" t="s">
        <v>10</v>
      </c>
      <c r="G2084" s="2" t="s">
        <v>11</v>
      </c>
      <c r="H2084" s="2">
        <v>1000000</v>
      </c>
      <c r="I2084" s="2">
        <v>5.6</v>
      </c>
      <c r="J2084" s="3">
        <v>28535768</v>
      </c>
      <c r="K2084">
        <f t="shared" si="72"/>
        <v>1.3775047412552699E-3</v>
      </c>
      <c r="R2084" s="12" t="str">
        <f ca="1">IFERROR(__xludf.DUMMYFUNCTION("""COMPUTED_VALUE"""),"From Dusk Till Dawn ")</f>
        <v>From Dusk Till Dawn </v>
      </c>
      <c r="S2084" s="12">
        <f t="shared" si="73"/>
        <v>-9996700</v>
      </c>
    </row>
    <row r="2085" spans="1:19" x14ac:dyDescent="0.3">
      <c r="A2085" s="2" t="s">
        <v>99</v>
      </c>
      <c r="B2085" s="2">
        <v>139</v>
      </c>
      <c r="C2085" s="3">
        <v>19900000</v>
      </c>
      <c r="D2085" s="3" t="s">
        <v>5936</v>
      </c>
      <c r="E2085" s="2" t="s">
        <v>1584</v>
      </c>
      <c r="F2085" s="2" t="s">
        <v>10</v>
      </c>
      <c r="G2085" s="2" t="s">
        <v>11</v>
      </c>
      <c r="H2085" s="2">
        <v>45000000</v>
      </c>
      <c r="I2085" s="2">
        <v>6.4</v>
      </c>
      <c r="J2085" s="3">
        <v>28563179</v>
      </c>
      <c r="K2085">
        <f t="shared" si="72"/>
        <v>1.3775047412552699E-3</v>
      </c>
      <c r="R2085" s="12" t="str">
        <f ca="1">IFERROR(__xludf.DUMMYFUNCTION("""COMPUTED_VALUE"""),"Pooh's Heffalump Movie ")</f>
        <v>Pooh's Heffalump Movie </v>
      </c>
      <c r="S2085" s="12">
        <f t="shared" si="73"/>
        <v>51418654</v>
      </c>
    </row>
    <row r="2086" spans="1:19" x14ac:dyDescent="0.3">
      <c r="A2086" s="2" t="s">
        <v>3208</v>
      </c>
      <c r="B2086" s="2">
        <v>121</v>
      </c>
      <c r="C2086" s="3">
        <v>52418902</v>
      </c>
      <c r="D2086" s="3" t="s">
        <v>5773</v>
      </c>
      <c r="E2086" s="2" t="s">
        <v>4721</v>
      </c>
      <c r="F2086" s="2" t="s">
        <v>10</v>
      </c>
      <c r="G2086" s="2" t="s">
        <v>11</v>
      </c>
      <c r="H2086" s="2">
        <v>5000000</v>
      </c>
      <c r="I2086" s="2">
        <v>7.4</v>
      </c>
      <c r="J2086" s="3">
        <v>28563926</v>
      </c>
      <c r="K2086">
        <f t="shared" si="72"/>
        <v>1.3775047412552699E-3</v>
      </c>
      <c r="R2086" s="12" t="str">
        <f ca="1">IFERROR(__xludf.DUMMYFUNCTION("""COMPUTED_VALUE"""),"Home for the Holidays ")</f>
        <v>Home for the Holidays </v>
      </c>
      <c r="S2086" s="12">
        <f t="shared" si="73"/>
        <v>42580895</v>
      </c>
    </row>
    <row r="2087" spans="1:19" x14ac:dyDescent="0.3">
      <c r="A2087" s="2" t="s">
        <v>5691</v>
      </c>
      <c r="B2087" s="2">
        <v>111</v>
      </c>
      <c r="C2087" s="3">
        <v>38122105</v>
      </c>
      <c r="D2087" s="3" t="s">
        <v>6318</v>
      </c>
      <c r="E2087" s="2" t="s">
        <v>5692</v>
      </c>
      <c r="F2087" s="2" t="s">
        <v>10</v>
      </c>
      <c r="G2087" s="2" t="s">
        <v>11</v>
      </c>
      <c r="H2087" s="3">
        <v>474544677</v>
      </c>
      <c r="I2087" s="2">
        <v>6</v>
      </c>
      <c r="J2087" s="3">
        <v>28637507</v>
      </c>
      <c r="K2087">
        <f t="shared" si="72"/>
        <v>1.3775047412552699E-3</v>
      </c>
      <c r="R2087" s="12" t="str">
        <f ca="1">IFERROR(__xludf.DUMMYFUNCTION("""COMPUTED_VALUE"""),"Kung Fu Hustle ")</f>
        <v>Kung Fu Hustle </v>
      </c>
      <c r="S2087" s="12">
        <f t="shared" si="73"/>
        <v>27410049</v>
      </c>
    </row>
    <row r="2088" spans="1:19" x14ac:dyDescent="0.3">
      <c r="A2088" s="2" t="s">
        <v>1965</v>
      </c>
      <c r="B2088" s="2">
        <v>92</v>
      </c>
      <c r="C2088" s="3">
        <v>18004225</v>
      </c>
      <c r="D2088" s="3" t="s">
        <v>6246</v>
      </c>
      <c r="E2088" s="2" t="s">
        <v>1966</v>
      </c>
      <c r="F2088" s="2" t="s">
        <v>10</v>
      </c>
      <c r="G2088" s="2" t="s">
        <v>11</v>
      </c>
      <c r="H2088" s="2">
        <v>35000000</v>
      </c>
      <c r="I2088" s="2">
        <v>6</v>
      </c>
      <c r="J2088" s="3">
        <v>28644770</v>
      </c>
      <c r="K2088">
        <f t="shared" si="72"/>
        <v>1.3775047412552699E-3</v>
      </c>
      <c r="R2088" s="12" t="str">
        <f ca="1">IFERROR(__xludf.DUMMYFUNCTION("""COMPUTED_VALUE"""),"The Country Bears ")</f>
        <v>The Country Bears </v>
      </c>
      <c r="S2088" s="12">
        <f t="shared" si="73"/>
        <v>-23450000</v>
      </c>
    </row>
    <row r="2089" spans="1:19" x14ac:dyDescent="0.3">
      <c r="A2089" s="2" t="s">
        <v>2854</v>
      </c>
      <c r="B2089" s="2">
        <v>90</v>
      </c>
      <c r="C2089" s="3">
        <v>14208384</v>
      </c>
      <c r="D2089" s="3" t="s">
        <v>520</v>
      </c>
      <c r="E2089" s="2" t="s">
        <v>2855</v>
      </c>
      <c r="F2089" s="2" t="s">
        <v>10</v>
      </c>
      <c r="G2089" s="2" t="s">
        <v>11</v>
      </c>
      <c r="H2089" s="2">
        <v>20000000</v>
      </c>
      <c r="I2089" s="2">
        <v>4.7</v>
      </c>
      <c r="J2089" s="3">
        <v>28687835</v>
      </c>
      <c r="K2089">
        <f t="shared" si="72"/>
        <v>1.3775047412552699E-3</v>
      </c>
      <c r="R2089" s="12" t="str">
        <f ca="1">IFERROR(__xludf.DUMMYFUNCTION("""COMPUTED_VALUE"""),"The Kite Runner ")</f>
        <v>The Kite Runner </v>
      </c>
      <c r="S2089" s="12">
        <f t="shared" si="73"/>
        <v>45095453</v>
      </c>
    </row>
    <row r="2090" spans="1:19" x14ac:dyDescent="0.3">
      <c r="A2090" s="2" t="s">
        <v>414</v>
      </c>
      <c r="B2090" s="2">
        <v>86</v>
      </c>
      <c r="C2090" s="3">
        <v>36049108</v>
      </c>
      <c r="D2090" s="3" t="s">
        <v>6319</v>
      </c>
      <c r="E2090" s="2" t="s">
        <v>652</v>
      </c>
      <c r="F2090" s="2" t="s">
        <v>10</v>
      </c>
      <c r="G2090" s="2" t="s">
        <v>11</v>
      </c>
      <c r="H2090" s="2">
        <v>84000000</v>
      </c>
      <c r="I2090" s="2">
        <v>4.9000000000000004</v>
      </c>
      <c r="J2090" s="3">
        <v>28734552</v>
      </c>
      <c r="K2090">
        <f t="shared" si="72"/>
        <v>1.3775047412552699E-3</v>
      </c>
      <c r="R2090" s="12" t="str">
        <f ca="1">IFERROR(__xludf.DUMMYFUNCTION("""COMPUTED_VALUE"""),"21 Grams ")</f>
        <v>21 Grams </v>
      </c>
      <c r="S2090" s="12">
        <f t="shared" si="73"/>
        <v>26964818</v>
      </c>
    </row>
    <row r="2091" spans="1:19" x14ac:dyDescent="0.3">
      <c r="A2091" s="2" t="s">
        <v>17</v>
      </c>
      <c r="B2091" s="2">
        <v>148</v>
      </c>
      <c r="C2091" s="3">
        <v>65012000</v>
      </c>
      <c r="D2091" s="3" t="s">
        <v>5778</v>
      </c>
      <c r="E2091" s="2" t="s">
        <v>172</v>
      </c>
      <c r="F2091" s="2" t="s">
        <v>10</v>
      </c>
      <c r="G2091" s="2" t="s">
        <v>11</v>
      </c>
      <c r="H2091" s="2">
        <v>160000000</v>
      </c>
      <c r="I2091" s="2">
        <v>8.8000000000000007</v>
      </c>
      <c r="J2091" s="3">
        <v>28747570</v>
      </c>
      <c r="K2091">
        <f t="shared" si="72"/>
        <v>1.3775047412552699E-3</v>
      </c>
      <c r="R2091" s="12" t="str">
        <f ca="1">IFERROR(__xludf.DUMMYFUNCTION("""COMPUTED_VALUE"""),"Paparazzi ")</f>
        <v>Paparazzi </v>
      </c>
      <c r="S2091" s="12">
        <f t="shared" si="73"/>
        <v>-58811095</v>
      </c>
    </row>
    <row r="2092" spans="1:19" x14ac:dyDescent="0.3">
      <c r="A2092" s="2" t="s">
        <v>50</v>
      </c>
      <c r="B2092" s="2">
        <v>125</v>
      </c>
      <c r="C2092" s="3">
        <v>20257000</v>
      </c>
      <c r="D2092" s="3" t="s">
        <v>520</v>
      </c>
      <c r="E2092" s="2" t="s">
        <v>2233</v>
      </c>
      <c r="F2092" s="2" t="s">
        <v>10</v>
      </c>
      <c r="G2092" s="2" t="s">
        <v>11</v>
      </c>
      <c r="H2092" s="2">
        <v>30000000</v>
      </c>
      <c r="I2092" s="2">
        <v>6.6</v>
      </c>
      <c r="J2092" s="3">
        <v>28751715</v>
      </c>
      <c r="K2092">
        <f t="shared" si="72"/>
        <v>1.3775047412552699E-3</v>
      </c>
      <c r="R2092" s="12" t="str">
        <f ca="1">IFERROR(__xludf.DUMMYFUNCTION("""COMPUTED_VALUE"""),"A Guy Thing ")</f>
        <v>A Guy Thing </v>
      </c>
      <c r="S2092" s="12">
        <f t="shared" si="73"/>
        <v>89400000</v>
      </c>
    </row>
    <row r="2093" spans="1:19" x14ac:dyDescent="0.3">
      <c r="A2093" s="2" t="s">
        <v>104</v>
      </c>
      <c r="B2093" s="2">
        <v>169</v>
      </c>
      <c r="C2093" s="3">
        <v>304124</v>
      </c>
      <c r="D2093" s="3" t="s">
        <v>5869</v>
      </c>
      <c r="E2093" s="2" t="s">
        <v>944</v>
      </c>
      <c r="F2093" s="2" t="s">
        <v>10</v>
      </c>
      <c r="G2093" s="2" t="s">
        <v>11</v>
      </c>
      <c r="H2093" s="2">
        <v>70000000</v>
      </c>
      <c r="I2093" s="2">
        <v>8.6</v>
      </c>
      <c r="J2093" s="3">
        <v>28772222</v>
      </c>
      <c r="K2093">
        <f t="shared" si="72"/>
        <v>1.3775047412552699E-3</v>
      </c>
      <c r="R2093" s="12" t="str">
        <f ca="1">IFERROR(__xludf.DUMMYFUNCTION("""COMPUTED_VALUE"""),"Loser ")</f>
        <v>Loser </v>
      </c>
      <c r="S2093" s="12">
        <f t="shared" si="73"/>
        <v>-32081717</v>
      </c>
    </row>
    <row r="2094" spans="1:19" x14ac:dyDescent="0.3">
      <c r="A2094" s="2" t="s">
        <v>1014</v>
      </c>
      <c r="B2094" s="2">
        <v>100</v>
      </c>
      <c r="C2094" s="3">
        <v>24104113</v>
      </c>
      <c r="D2094" s="3" t="s">
        <v>5940</v>
      </c>
      <c r="E2094" s="2" t="s">
        <v>3998</v>
      </c>
      <c r="F2094" s="2" t="s">
        <v>10</v>
      </c>
      <c r="G2094" s="2" t="s">
        <v>11</v>
      </c>
      <c r="H2094" s="2">
        <v>10000000</v>
      </c>
      <c r="I2094" s="2">
        <v>5.8</v>
      </c>
      <c r="J2094" s="3">
        <v>28831145</v>
      </c>
      <c r="K2094">
        <f t="shared" si="72"/>
        <v>1.3775047412552699E-3</v>
      </c>
      <c r="R2094" s="12" t="str">
        <f ca="1">IFERROR(__xludf.DUMMYFUNCTION("""COMPUTED_VALUE"""),"The Greatest Story Ever Told ")</f>
        <v>The Greatest Story Ever Told </v>
      </c>
      <c r="S2094" s="12">
        <f t="shared" si="73"/>
        <v>66021565</v>
      </c>
    </row>
    <row r="2095" spans="1:19" x14ac:dyDescent="0.3">
      <c r="A2095" s="2" t="s">
        <v>264</v>
      </c>
      <c r="B2095" s="2">
        <v>97</v>
      </c>
      <c r="C2095" s="3">
        <v>6712241</v>
      </c>
      <c r="D2095" s="3" t="s">
        <v>5818</v>
      </c>
      <c r="E2095" s="2" t="s">
        <v>265</v>
      </c>
      <c r="F2095" s="2" t="s">
        <v>10</v>
      </c>
      <c r="G2095" s="2" t="s">
        <v>11</v>
      </c>
      <c r="H2095" s="2">
        <v>145000000</v>
      </c>
      <c r="I2095" s="2">
        <v>7.3</v>
      </c>
      <c r="J2095" s="3">
        <v>28837115</v>
      </c>
      <c r="K2095">
        <f t="shared" si="72"/>
        <v>1.3775047412552699E-3</v>
      </c>
      <c r="R2095" s="12" t="str">
        <f ca="1">IFERROR(__xludf.DUMMYFUNCTION("""COMPUTED_VALUE"""),"Disaster Movie ")</f>
        <v>Disaster Movie </v>
      </c>
      <c r="S2095" s="12">
        <f t="shared" si="73"/>
        <v>11201895</v>
      </c>
    </row>
    <row r="2096" spans="1:19" x14ac:dyDescent="0.3">
      <c r="A2096" s="2" t="s">
        <v>1059</v>
      </c>
      <c r="B2096" s="2">
        <v>92</v>
      </c>
      <c r="C2096" s="3">
        <v>25244700</v>
      </c>
      <c r="D2096" s="3" t="s">
        <v>6320</v>
      </c>
      <c r="E2096" s="2" t="s">
        <v>2032</v>
      </c>
      <c r="F2096" s="2" t="s">
        <v>10</v>
      </c>
      <c r="G2096" s="2" t="s">
        <v>11</v>
      </c>
      <c r="H2096" s="2">
        <v>35000000</v>
      </c>
      <c r="I2096" s="2">
        <v>6.2</v>
      </c>
      <c r="J2096" s="3">
        <v>28871190</v>
      </c>
      <c r="K2096">
        <f t="shared" si="72"/>
        <v>1.3775047412552699E-3</v>
      </c>
      <c r="R2096" s="12" t="str">
        <f ca="1">IFERROR(__xludf.DUMMYFUNCTION("""COMPUTED_VALUE"""),"Armored ")</f>
        <v>Armored </v>
      </c>
      <c r="S2096" s="12">
        <f t="shared" si="73"/>
        <v>-28049782</v>
      </c>
    </row>
    <row r="2097" spans="1:19" x14ac:dyDescent="0.3">
      <c r="A2097" s="2" t="s">
        <v>3208</v>
      </c>
      <c r="B2097" s="2">
        <v>112</v>
      </c>
      <c r="C2097" s="3">
        <v>53337608</v>
      </c>
      <c r="D2097" s="3" t="s">
        <v>5773</v>
      </c>
      <c r="E2097" s="2" t="s">
        <v>3209</v>
      </c>
      <c r="F2097" s="2" t="s">
        <v>10</v>
      </c>
      <c r="G2097" s="2" t="s">
        <v>3210</v>
      </c>
      <c r="H2097" s="2">
        <v>18000000</v>
      </c>
      <c r="I2097" s="2">
        <v>6.7</v>
      </c>
      <c r="J2097" s="3">
        <v>28873374</v>
      </c>
      <c r="K2097">
        <f t="shared" si="72"/>
        <v>1.3775047412552699E-3</v>
      </c>
      <c r="R2097" s="12" t="str">
        <f ca="1">IFERROR(__xludf.DUMMYFUNCTION("""COMPUTED_VALUE"""),"The Man Who Knew Too Little ")</f>
        <v>The Man Who Knew Too Little </v>
      </c>
      <c r="S2097" s="12">
        <f t="shared" si="73"/>
        <v>-72516045</v>
      </c>
    </row>
    <row r="2098" spans="1:19" x14ac:dyDescent="0.3">
      <c r="A2098" s="2" t="s">
        <v>2713</v>
      </c>
      <c r="B2098" s="2">
        <v>118</v>
      </c>
      <c r="C2098" s="3">
        <v>30000000</v>
      </c>
      <c r="D2098" s="3" t="s">
        <v>6181</v>
      </c>
      <c r="E2098" s="2" t="s">
        <v>2714</v>
      </c>
      <c r="F2098" s="2" t="s">
        <v>10</v>
      </c>
      <c r="G2098" s="2" t="s">
        <v>11</v>
      </c>
      <c r="H2098" s="2">
        <v>24000000</v>
      </c>
      <c r="I2098" s="2">
        <v>5.2</v>
      </c>
      <c r="J2098" s="3">
        <v>28876924</v>
      </c>
      <c r="K2098">
        <f t="shared" si="72"/>
        <v>1.3775047412552699E-3</v>
      </c>
      <c r="R2098" s="12" t="str">
        <f ca="1">IFERROR(__xludf.DUMMYFUNCTION("""COMPUTED_VALUE"""),"What's Your Number? ")</f>
        <v>What's Your Number? </v>
      </c>
      <c r="S2098" s="12">
        <f t="shared" si="73"/>
        <v>-50651877</v>
      </c>
    </row>
    <row r="2099" spans="1:19" x14ac:dyDescent="0.3">
      <c r="A2099" s="2" t="s">
        <v>116</v>
      </c>
      <c r="B2099" s="2">
        <v>129</v>
      </c>
      <c r="C2099" s="3">
        <v>15408822</v>
      </c>
      <c r="D2099" s="3" t="s">
        <v>5946</v>
      </c>
      <c r="E2099" s="2" t="s">
        <v>213</v>
      </c>
      <c r="F2099" s="2" t="s">
        <v>10</v>
      </c>
      <c r="G2099" s="2" t="s">
        <v>98</v>
      </c>
      <c r="H2099" s="2">
        <v>150000000</v>
      </c>
      <c r="I2099" s="2">
        <v>6.7</v>
      </c>
      <c r="J2099" s="3">
        <v>28927720</v>
      </c>
      <c r="K2099">
        <f t="shared" si="72"/>
        <v>1.3775047412552699E-3</v>
      </c>
      <c r="R2099" s="12" t="str">
        <f ca="1">IFERROR(__xludf.DUMMYFUNCTION("""COMPUTED_VALUE"""),"Lockout ")</f>
        <v>Lockout </v>
      </c>
      <c r="S2099" s="12">
        <f t="shared" si="73"/>
        <v>-22051841</v>
      </c>
    </row>
    <row r="2100" spans="1:19" x14ac:dyDescent="0.3">
      <c r="A2100" s="2" t="s">
        <v>3289</v>
      </c>
      <c r="B2100" s="2">
        <v>102</v>
      </c>
      <c r="C2100" s="3">
        <v>2126511</v>
      </c>
      <c r="D2100" s="3" t="s">
        <v>5874</v>
      </c>
      <c r="E2100" s="2" t="s">
        <v>3290</v>
      </c>
      <c r="F2100" s="2" t="s">
        <v>10</v>
      </c>
      <c r="G2100" s="2" t="s">
        <v>11</v>
      </c>
      <c r="H2100" s="2">
        <v>16500000</v>
      </c>
      <c r="I2100" s="2">
        <v>6.8</v>
      </c>
      <c r="J2100" s="3">
        <v>28965197</v>
      </c>
      <c r="K2100">
        <f t="shared" si="72"/>
        <v>1.3775047412552699E-3</v>
      </c>
      <c r="R2100" s="12" t="str">
        <f ca="1">IFERROR(__xludf.DUMMYFUNCTION("""COMPUTED_VALUE"""),"Envy ")</f>
        <v>Envy </v>
      </c>
      <c r="S2100" s="12">
        <f t="shared" si="73"/>
        <v>2986931</v>
      </c>
    </row>
    <row r="2101" spans="1:19" x14ac:dyDescent="0.3">
      <c r="A2101" s="2" t="s">
        <v>128</v>
      </c>
      <c r="B2101" s="2">
        <v>134</v>
      </c>
      <c r="C2101" s="3">
        <v>42700000</v>
      </c>
      <c r="D2101" s="3" t="s">
        <v>5874</v>
      </c>
      <c r="E2101" s="2" t="s">
        <v>2417</v>
      </c>
      <c r="F2101" s="2" t="s">
        <v>10</v>
      </c>
      <c r="G2101" s="2" t="s">
        <v>11</v>
      </c>
      <c r="H2101" s="2">
        <v>28000000</v>
      </c>
      <c r="I2101" s="2">
        <v>7</v>
      </c>
      <c r="J2101" s="3">
        <v>28972187</v>
      </c>
      <c r="K2101">
        <f t="shared" si="72"/>
        <v>1.3775047412552699E-3</v>
      </c>
      <c r="R2101" s="12" t="str">
        <f ca="1">IFERROR(__xludf.DUMMYFUNCTION("""COMPUTED_VALUE"""),"Crank: High Voltage ")</f>
        <v>Crank: High Voltage </v>
      </c>
      <c r="S2101" s="12">
        <f t="shared" si="73"/>
        <v>31353636</v>
      </c>
    </row>
    <row r="2102" spans="1:19" x14ac:dyDescent="0.3">
      <c r="A2102" s="2" t="s">
        <v>5671</v>
      </c>
      <c r="B2102" s="2">
        <v>90</v>
      </c>
      <c r="C2102" s="3">
        <v>14291570</v>
      </c>
      <c r="D2102" s="3" t="s">
        <v>5978</v>
      </c>
      <c r="E2102" s="2" t="s">
        <v>5672</v>
      </c>
      <c r="F2102" s="2" t="s">
        <v>10</v>
      </c>
      <c r="G2102" s="2" t="s">
        <v>11</v>
      </c>
      <c r="H2102" s="3">
        <v>474544677</v>
      </c>
      <c r="I2102" s="2">
        <v>7</v>
      </c>
      <c r="J2102" s="3">
        <v>28995450</v>
      </c>
      <c r="K2102">
        <f t="shared" si="72"/>
        <v>1.3775047412552699E-3</v>
      </c>
      <c r="R2102" s="12" t="str">
        <f ca="1">IFERROR(__xludf.DUMMYFUNCTION("""COMPUTED_VALUE"""),"Bullets Over Broadway ")</f>
        <v>Bullets Over Broadway </v>
      </c>
      <c r="S2102" s="12">
        <f t="shared" si="73"/>
        <v>44234065</v>
      </c>
    </row>
    <row r="2103" spans="1:19" x14ac:dyDescent="0.3">
      <c r="A2103" s="2" t="s">
        <v>4291</v>
      </c>
      <c r="B2103" s="2">
        <v>85</v>
      </c>
      <c r="C2103" s="3">
        <v>10907291</v>
      </c>
      <c r="D2103" s="3" t="s">
        <v>6321</v>
      </c>
      <c r="E2103" s="2" t="s">
        <v>5654</v>
      </c>
      <c r="F2103" s="2" t="s">
        <v>10</v>
      </c>
      <c r="G2103" s="2" t="s">
        <v>2131</v>
      </c>
      <c r="H2103" s="3">
        <v>474544677</v>
      </c>
      <c r="I2103" s="2">
        <v>7.9</v>
      </c>
      <c r="J2103" s="3">
        <v>29077547</v>
      </c>
      <c r="K2103">
        <f t="shared" si="72"/>
        <v>1.3775047412552699E-3</v>
      </c>
      <c r="R2103" s="12" t="str">
        <f ca="1">IFERROR(__xludf.DUMMYFUNCTION("""COMPUTED_VALUE"""),"One Night with the King ")</f>
        <v>One Night with the King </v>
      </c>
      <c r="S2103" s="12">
        <f t="shared" si="73"/>
        <v>43474616</v>
      </c>
    </row>
    <row r="2104" spans="1:19" x14ac:dyDescent="0.3">
      <c r="A2104" s="2" t="s">
        <v>292</v>
      </c>
      <c r="B2104" s="2">
        <v>130</v>
      </c>
      <c r="C2104" s="3">
        <v>38120554</v>
      </c>
      <c r="D2104" s="3" t="s">
        <v>5771</v>
      </c>
      <c r="E2104" s="2" t="s">
        <v>798</v>
      </c>
      <c r="F2104" s="2" t="s">
        <v>10</v>
      </c>
      <c r="G2104" s="2" t="s">
        <v>11</v>
      </c>
      <c r="H2104" s="2">
        <v>70000000</v>
      </c>
      <c r="I2104" s="2">
        <v>6.5</v>
      </c>
      <c r="J2104" s="3">
        <v>29106737</v>
      </c>
      <c r="K2104">
        <f t="shared" si="72"/>
        <v>1.3775047412552699E-3</v>
      </c>
      <c r="R2104" s="12" t="str">
        <f ca="1">IFERROR(__xludf.DUMMYFUNCTION("""COMPUTED_VALUE"""),"The Quiet American ")</f>
        <v>The Quiet American </v>
      </c>
      <c r="S2104" s="12">
        <f t="shared" si="73"/>
        <v>28097652</v>
      </c>
    </row>
    <row r="2105" spans="1:19" x14ac:dyDescent="0.3">
      <c r="A2105" s="2" t="s">
        <v>4248</v>
      </c>
      <c r="B2105" s="2">
        <v>108</v>
      </c>
      <c r="C2105" s="3">
        <v>8662318</v>
      </c>
      <c r="D2105" s="3" t="s">
        <v>6144</v>
      </c>
      <c r="E2105" s="2" t="s">
        <v>4249</v>
      </c>
      <c r="F2105" s="2" t="s">
        <v>10</v>
      </c>
      <c r="G2105" s="2" t="s">
        <v>11</v>
      </c>
      <c r="H2105" s="2">
        <v>8000000</v>
      </c>
      <c r="I2105" s="2">
        <v>5.6</v>
      </c>
      <c r="J2105" s="3">
        <v>29113588</v>
      </c>
      <c r="K2105">
        <f t="shared" si="72"/>
        <v>1.3775047412552699E-3</v>
      </c>
      <c r="R2105" s="12" t="str">
        <f ca="1">IFERROR(__xludf.DUMMYFUNCTION("""COMPUTED_VALUE"""),"The Weather Man ")</f>
        <v>The Weather Man </v>
      </c>
      <c r="S2105" s="12">
        <f t="shared" si="73"/>
        <v>11300000</v>
      </c>
    </row>
    <row r="2106" spans="1:19" x14ac:dyDescent="0.3">
      <c r="A2106" s="2" t="s">
        <v>1189</v>
      </c>
      <c r="B2106" s="2">
        <v>96</v>
      </c>
      <c r="C2106" s="3">
        <v>3707794</v>
      </c>
      <c r="D2106" s="3" t="s">
        <v>5958</v>
      </c>
      <c r="E2106" s="2" t="s">
        <v>1190</v>
      </c>
      <c r="F2106" s="2" t="s">
        <v>10</v>
      </c>
      <c r="G2106" s="2" t="s">
        <v>11</v>
      </c>
      <c r="H2106" s="2">
        <v>57000000</v>
      </c>
      <c r="I2106" s="2">
        <v>4.3</v>
      </c>
      <c r="J2106" s="3">
        <v>29136626</v>
      </c>
      <c r="K2106">
        <f t="shared" si="72"/>
        <v>1.3775047412552699E-3</v>
      </c>
      <c r="R2106" s="12" t="str">
        <f ca="1">IFERROR(__xludf.DUMMYFUNCTION("""COMPUTED_VALUE"""),"Undisputed ")</f>
        <v>Undisputed </v>
      </c>
      <c r="S2106" s="12">
        <f t="shared" si="73"/>
        <v>9955425</v>
      </c>
    </row>
    <row r="2107" spans="1:19" x14ac:dyDescent="0.3">
      <c r="A2107" s="2" t="s">
        <v>2194</v>
      </c>
      <c r="B2107" s="2">
        <v>108</v>
      </c>
      <c r="C2107" s="3">
        <v>59073773</v>
      </c>
      <c r="D2107" s="3" t="s">
        <v>5776</v>
      </c>
      <c r="E2107" s="2" t="s">
        <v>2195</v>
      </c>
      <c r="F2107" s="2" t="s">
        <v>10</v>
      </c>
      <c r="G2107" s="2" t="s">
        <v>11</v>
      </c>
      <c r="H2107" s="2">
        <v>25000000</v>
      </c>
      <c r="I2107" s="2">
        <v>7.4</v>
      </c>
      <c r="J2107" s="3">
        <v>29200000</v>
      </c>
      <c r="K2107">
        <f t="shared" si="72"/>
        <v>1.3775047412552699E-3</v>
      </c>
      <c r="R2107" s="12" t="str">
        <f ca="1">IFERROR(__xludf.DUMMYFUNCTION("""COMPUTED_VALUE"""),"Ghost Town ")</f>
        <v>Ghost Town </v>
      </c>
      <c r="S2107" s="12">
        <f t="shared" si="73"/>
        <v>-25100000</v>
      </c>
    </row>
    <row r="2108" spans="1:19" x14ac:dyDescent="0.3">
      <c r="A2108" s="2" t="s">
        <v>2259</v>
      </c>
      <c r="B2108" s="2">
        <v>118</v>
      </c>
      <c r="C2108" s="3">
        <v>23078294</v>
      </c>
      <c r="D2108" s="3" t="s">
        <v>6020</v>
      </c>
      <c r="E2108" s="2" t="s">
        <v>5065</v>
      </c>
      <c r="F2108" s="2" t="s">
        <v>10</v>
      </c>
      <c r="G2108" s="2" t="s">
        <v>11</v>
      </c>
      <c r="H2108" s="2">
        <v>2000000</v>
      </c>
      <c r="I2108" s="2">
        <v>7.6</v>
      </c>
      <c r="J2108" s="3">
        <v>29247405</v>
      </c>
      <c r="K2108">
        <f t="shared" si="72"/>
        <v>1.3775047412552699E-3</v>
      </c>
      <c r="R2108" s="12" t="str">
        <f ca="1">IFERROR(__xludf.DUMMYFUNCTION("""COMPUTED_VALUE"""),"12 Rounds ")</f>
        <v>12 Rounds </v>
      </c>
      <c r="S2108" s="12">
        <f t="shared" si="73"/>
        <v>47418902</v>
      </c>
    </row>
    <row r="2109" spans="1:19" x14ac:dyDescent="0.3">
      <c r="A2109" s="2" t="s">
        <v>25</v>
      </c>
      <c r="B2109" s="2">
        <v>173</v>
      </c>
      <c r="C2109" s="3">
        <v>38119483</v>
      </c>
      <c r="D2109" s="3" t="s">
        <v>6046</v>
      </c>
      <c r="E2109" s="2" t="s">
        <v>40</v>
      </c>
      <c r="F2109" s="2" t="s">
        <v>10</v>
      </c>
      <c r="G2109" s="2" t="s">
        <v>11</v>
      </c>
      <c r="H2109" s="2">
        <v>220000000</v>
      </c>
      <c r="I2109" s="2">
        <v>8.1</v>
      </c>
      <c r="J2109" s="3">
        <v>29302097</v>
      </c>
      <c r="K2109">
        <f t="shared" si="72"/>
        <v>1.3775047412552699E-3</v>
      </c>
      <c r="R2109" s="12" t="str">
        <f ca="1">IFERROR(__xludf.DUMMYFUNCTION("""COMPUTED_VALUE"""),"Let Me In ")</f>
        <v>Let Me In </v>
      </c>
      <c r="S2109" s="12">
        <f t="shared" si="73"/>
        <v>-436422572</v>
      </c>
    </row>
    <row r="2110" spans="1:19" x14ac:dyDescent="0.3">
      <c r="A2110" s="2" t="s">
        <v>3849</v>
      </c>
      <c r="B2110" s="2">
        <v>97</v>
      </c>
      <c r="C2110" s="3">
        <v>10911750</v>
      </c>
      <c r="D2110" s="3" t="s">
        <v>6322</v>
      </c>
      <c r="E2110" s="2" t="s">
        <v>3850</v>
      </c>
      <c r="F2110" s="2" t="s">
        <v>10</v>
      </c>
      <c r="G2110" s="2" t="s">
        <v>11</v>
      </c>
      <c r="H2110" s="2">
        <v>12000000</v>
      </c>
      <c r="I2110" s="2">
        <v>7</v>
      </c>
      <c r="J2110" s="3">
        <v>29374178</v>
      </c>
      <c r="K2110">
        <f t="shared" si="72"/>
        <v>1.3775047412552699E-3</v>
      </c>
      <c r="R2110" s="12" t="str">
        <f ca="1">IFERROR(__xludf.DUMMYFUNCTION("""COMPUTED_VALUE"""),"3 Ninjas Kick Back ")</f>
        <v>3 Ninjas Kick Back </v>
      </c>
      <c r="S2110" s="12">
        <f t="shared" si="73"/>
        <v>-16995775</v>
      </c>
    </row>
    <row r="2111" spans="1:19" x14ac:dyDescent="0.3">
      <c r="A2111" s="2" t="s">
        <v>2659</v>
      </c>
      <c r="B2111" s="2">
        <v>88</v>
      </c>
      <c r="C2111" s="3">
        <v>52397389</v>
      </c>
      <c r="D2111" s="3" t="s">
        <v>6004</v>
      </c>
      <c r="E2111" s="2" t="s">
        <v>2660</v>
      </c>
      <c r="F2111" s="2" t="s">
        <v>10</v>
      </c>
      <c r="G2111" s="2" t="s">
        <v>11</v>
      </c>
      <c r="H2111" s="2">
        <v>17000000</v>
      </c>
      <c r="I2111" s="2">
        <v>5.9</v>
      </c>
      <c r="J2111" s="3">
        <v>29392418</v>
      </c>
      <c r="K2111">
        <f t="shared" si="72"/>
        <v>1.3775047412552699E-3</v>
      </c>
      <c r="R2111" s="12" t="str">
        <f ca="1">IFERROR(__xludf.DUMMYFUNCTION("""COMPUTED_VALUE"""),"Be Kind Rewind ")</f>
        <v>Be Kind Rewind </v>
      </c>
      <c r="S2111" s="12">
        <f t="shared" si="73"/>
        <v>-5791616</v>
      </c>
    </row>
    <row r="2112" spans="1:19" x14ac:dyDescent="0.3">
      <c r="A2112" s="2" t="s">
        <v>379</v>
      </c>
      <c r="B2112" s="2">
        <v>136</v>
      </c>
      <c r="C2112" s="3">
        <v>52320979</v>
      </c>
      <c r="D2112" s="3" t="s">
        <v>6017</v>
      </c>
      <c r="E2112" s="2" t="s">
        <v>384</v>
      </c>
      <c r="F2112" s="2" t="s">
        <v>10</v>
      </c>
      <c r="G2112" s="2" t="s">
        <v>11</v>
      </c>
      <c r="H2112" s="2">
        <v>115000000</v>
      </c>
      <c r="I2112" s="2">
        <v>6.5</v>
      </c>
      <c r="J2112" s="3">
        <v>29500000</v>
      </c>
      <c r="K2112">
        <f t="shared" si="72"/>
        <v>1.3775047412552699E-3</v>
      </c>
      <c r="R2112" s="12" t="str">
        <f ca="1">IFERROR(__xludf.DUMMYFUNCTION("""COMPUTED_VALUE"""),"Mrs Henderson Presents ")</f>
        <v>Mrs Henderson Presents </v>
      </c>
      <c r="S2112" s="12">
        <f t="shared" si="73"/>
        <v>-47950892</v>
      </c>
    </row>
    <row r="2113" spans="1:19" x14ac:dyDescent="0.3">
      <c r="A2113" s="2" t="s">
        <v>2051</v>
      </c>
      <c r="B2113" s="2">
        <v>93</v>
      </c>
      <c r="C2113" s="3">
        <v>4074023</v>
      </c>
      <c r="D2113" s="3" t="s">
        <v>6323</v>
      </c>
      <c r="E2113" s="2" t="s">
        <v>2461</v>
      </c>
      <c r="F2113" s="2" t="s">
        <v>10</v>
      </c>
      <c r="G2113" s="2" t="s">
        <v>16</v>
      </c>
      <c r="H2113" s="2">
        <v>28000000</v>
      </c>
      <c r="I2113" s="2">
        <v>6.3</v>
      </c>
      <c r="J2113" s="3">
        <v>29580087</v>
      </c>
      <c r="K2113">
        <f t="shared" si="72"/>
        <v>1.3775047412552699E-3</v>
      </c>
      <c r="R2113" s="12" t="str">
        <f ca="1">IFERROR(__xludf.DUMMYFUNCTION("""COMPUTED_VALUE"""),"Triple 9 ")</f>
        <v>Triple 9 </v>
      </c>
      <c r="S2113" s="12">
        <f t="shared" si="73"/>
        <v>-94988000</v>
      </c>
    </row>
    <row r="2114" spans="1:19" x14ac:dyDescent="0.3">
      <c r="A2114" s="2" t="s">
        <v>1986</v>
      </c>
      <c r="B2114" s="2">
        <v>112</v>
      </c>
      <c r="C2114" s="3">
        <v>2119994</v>
      </c>
      <c r="D2114" s="3" t="s">
        <v>5865</v>
      </c>
      <c r="E2114" s="2" t="s">
        <v>1987</v>
      </c>
      <c r="F2114" s="2" t="s">
        <v>10</v>
      </c>
      <c r="G2114" s="2" t="s">
        <v>11</v>
      </c>
      <c r="H2114" s="2">
        <v>35000000</v>
      </c>
      <c r="I2114" s="2">
        <v>5.9</v>
      </c>
      <c r="J2114" s="3">
        <v>29655590</v>
      </c>
      <c r="K2114">
        <f t="shared" ref="K2114:K2177" si="74">CORREL(H$2:H$3941,J$2:J$3941)</f>
        <v>1.3775047412552699E-3</v>
      </c>
      <c r="R2114" s="12" t="str">
        <f ca="1">IFERROR(__xludf.DUMMYFUNCTION("""COMPUTED_VALUE"""),"Deconstructing Harry ")</f>
        <v>Deconstructing Harry </v>
      </c>
      <c r="S2114" s="12">
        <f t="shared" si="73"/>
        <v>-9743000</v>
      </c>
    </row>
    <row r="2115" spans="1:19" x14ac:dyDescent="0.3">
      <c r="A2115" s="2" t="s">
        <v>4095</v>
      </c>
      <c r="B2115" s="2">
        <v>118</v>
      </c>
      <c r="C2115" s="3">
        <v>29113588</v>
      </c>
      <c r="D2115" s="3" t="s">
        <v>6288</v>
      </c>
      <c r="E2115" s="2" t="s">
        <v>4096</v>
      </c>
      <c r="F2115" s="2" t="s">
        <v>10</v>
      </c>
      <c r="G2115" s="2" t="s">
        <v>11</v>
      </c>
      <c r="H2115" s="2">
        <v>14000000</v>
      </c>
      <c r="I2115" s="2">
        <v>5.2</v>
      </c>
      <c r="J2115" s="3">
        <v>29753944</v>
      </c>
      <c r="K2115">
        <f t="shared" si="74"/>
        <v>1.3775047412552699E-3</v>
      </c>
      <c r="R2115" s="12" t="str">
        <f ca="1">IFERROR(__xludf.DUMMYFUNCTION("""COMPUTED_VALUE"""),"Three to Tango ")</f>
        <v>Three to Tango </v>
      </c>
      <c r="S2115" s="12">
        <f t="shared" si="73"/>
        <v>-69695876</v>
      </c>
    </row>
    <row r="2116" spans="1:19" x14ac:dyDescent="0.3">
      <c r="A2116" s="2" t="s">
        <v>4029</v>
      </c>
      <c r="B2116" s="2">
        <v>100</v>
      </c>
      <c r="C2116" s="3">
        <v>7060876</v>
      </c>
      <c r="D2116" s="3" t="s">
        <v>6224</v>
      </c>
      <c r="E2116" s="2" t="s">
        <v>5682</v>
      </c>
      <c r="F2116" s="2" t="s">
        <v>10</v>
      </c>
      <c r="G2116" s="2" t="s">
        <v>11</v>
      </c>
      <c r="H2116" s="3">
        <v>474544677</v>
      </c>
      <c r="I2116" s="2">
        <v>7.3</v>
      </c>
      <c r="J2116" s="3">
        <v>29781453</v>
      </c>
      <c r="K2116">
        <f t="shared" si="74"/>
        <v>1.3775047412552699E-3</v>
      </c>
      <c r="R2116" s="12" t="str">
        <f ca="1">IFERROR(__xludf.DUMMYFUNCTION("""COMPUTED_VALUE"""),"Burnt ")</f>
        <v>Burnt </v>
      </c>
      <c r="S2116" s="12">
        <f t="shared" si="73"/>
        <v>14104113</v>
      </c>
    </row>
    <row r="2117" spans="1:19" x14ac:dyDescent="0.3">
      <c r="A2117" s="2" t="s">
        <v>3164</v>
      </c>
      <c r="B2117" s="2">
        <v>86</v>
      </c>
      <c r="C2117" s="3">
        <v>12189514</v>
      </c>
      <c r="D2117" s="3" t="s">
        <v>5996</v>
      </c>
      <c r="E2117" s="2" t="s">
        <v>3165</v>
      </c>
      <c r="F2117" s="2" t="s">
        <v>10</v>
      </c>
      <c r="G2117" s="2" t="s">
        <v>11</v>
      </c>
      <c r="H2117" s="2">
        <v>18000000</v>
      </c>
      <c r="I2117" s="2">
        <v>5.8</v>
      </c>
      <c r="J2117" s="3">
        <v>29802761</v>
      </c>
      <c r="K2117">
        <f t="shared" si="74"/>
        <v>1.3775047412552699E-3</v>
      </c>
      <c r="R2117" s="12" t="str">
        <f ca="1">IFERROR(__xludf.DUMMYFUNCTION("""COMPUTED_VALUE"""),"We're No Angels ")</f>
        <v>We're No Angels </v>
      </c>
      <c r="S2117" s="12">
        <f t="shared" si="73"/>
        <v>-138287759</v>
      </c>
    </row>
    <row r="2118" spans="1:19" x14ac:dyDescent="0.3">
      <c r="A2118" s="2" t="s">
        <v>2628</v>
      </c>
      <c r="B2118" s="2">
        <v>99</v>
      </c>
      <c r="C2118" s="3">
        <v>41067398</v>
      </c>
      <c r="D2118" s="3" t="s">
        <v>5778</v>
      </c>
      <c r="E2118" s="2" t="s">
        <v>2629</v>
      </c>
      <c r="F2118" s="2" t="s">
        <v>10</v>
      </c>
      <c r="G2118" s="2" t="s">
        <v>11</v>
      </c>
      <c r="H2118" s="2">
        <v>25000000</v>
      </c>
      <c r="I2118" s="2">
        <v>4.7</v>
      </c>
      <c r="J2118" s="3">
        <v>29959436</v>
      </c>
      <c r="K2118">
        <f t="shared" si="74"/>
        <v>1.3775047412552699E-3</v>
      </c>
      <c r="R2118" s="12" t="str">
        <f ca="1">IFERROR(__xludf.DUMMYFUNCTION("""COMPUTED_VALUE"""),"Everyone Says I Love You ")</f>
        <v>Everyone Says I Love You </v>
      </c>
      <c r="S2118" s="12">
        <f t="shared" si="73"/>
        <v>-9755300</v>
      </c>
    </row>
    <row r="2119" spans="1:19" x14ac:dyDescent="0.3">
      <c r="A2119" s="2" t="s">
        <v>2948</v>
      </c>
      <c r="B2119" s="2">
        <v>97</v>
      </c>
      <c r="C2119" s="2">
        <v>35794166</v>
      </c>
      <c r="D2119" s="3" t="s">
        <v>5857</v>
      </c>
      <c r="E2119" s="2" t="s">
        <v>3981</v>
      </c>
      <c r="F2119" s="2" t="s">
        <v>10</v>
      </c>
      <c r="G2119" s="2" t="s">
        <v>11</v>
      </c>
      <c r="H2119" s="2">
        <v>10000000</v>
      </c>
      <c r="I2119" s="2">
        <v>6</v>
      </c>
      <c r="J2119" s="3">
        <v>29975979</v>
      </c>
      <c r="K2119">
        <f t="shared" si="74"/>
        <v>1.3775047412552699E-3</v>
      </c>
      <c r="R2119" s="12" t="str">
        <f ca="1">IFERROR(__xludf.DUMMYFUNCTION("""COMPUTED_VALUE"""),"Death Sentence ")</f>
        <v>Death Sentence </v>
      </c>
      <c r="S2119" s="12">
        <f t="shared" si="73"/>
        <v>35337608</v>
      </c>
    </row>
    <row r="2120" spans="1:19" x14ac:dyDescent="0.3">
      <c r="A2120" s="2" t="s">
        <v>5723</v>
      </c>
      <c r="B2120" s="2">
        <v>90</v>
      </c>
      <c r="C2120" s="3">
        <v>26494611</v>
      </c>
      <c r="D2120" s="3" t="s">
        <v>6051</v>
      </c>
      <c r="E2120" s="2" t="s">
        <v>5724</v>
      </c>
      <c r="F2120" s="2" t="s">
        <v>5427</v>
      </c>
      <c r="G2120" s="2" t="s">
        <v>3631</v>
      </c>
      <c r="H2120" s="3">
        <v>474544677</v>
      </c>
      <c r="I2120" s="2">
        <v>7.5</v>
      </c>
      <c r="J2120" s="3">
        <v>29997095</v>
      </c>
      <c r="K2120">
        <f t="shared" si="74"/>
        <v>1.3775047412552699E-3</v>
      </c>
      <c r="R2120" s="12" t="str">
        <f ca="1">IFERROR(__xludf.DUMMYFUNCTION("""COMPUTED_VALUE"""),"Everybody's Fine ")</f>
        <v>Everybody's Fine </v>
      </c>
      <c r="S2120" s="12">
        <f t="shared" si="73"/>
        <v>6000000</v>
      </c>
    </row>
    <row r="2121" spans="1:19" x14ac:dyDescent="0.3">
      <c r="A2121" s="2" t="s">
        <v>1611</v>
      </c>
      <c r="B2121" s="2">
        <v>102</v>
      </c>
      <c r="C2121" s="3">
        <v>95632614</v>
      </c>
      <c r="D2121" s="3" t="s">
        <v>5754</v>
      </c>
      <c r="E2121" s="2" t="s">
        <v>1700</v>
      </c>
      <c r="F2121" s="2" t="s">
        <v>10</v>
      </c>
      <c r="G2121" s="2" t="s">
        <v>11</v>
      </c>
      <c r="H2121" s="2">
        <v>20000000</v>
      </c>
      <c r="I2121" s="2">
        <v>6.4</v>
      </c>
      <c r="J2121" s="3">
        <v>30000000</v>
      </c>
      <c r="K2121">
        <f t="shared" si="74"/>
        <v>1.3775047412552699E-3</v>
      </c>
      <c r="R2121" s="12" t="str">
        <f ca="1">IFERROR(__xludf.DUMMYFUNCTION("""COMPUTED_VALUE"""),"Superbabies: Baby Geniuses 2 ")</f>
        <v>Superbabies: Baby Geniuses 2 </v>
      </c>
      <c r="S2121" s="12">
        <f t="shared" si="73"/>
        <v>-134591178</v>
      </c>
    </row>
    <row r="2122" spans="1:19" x14ac:dyDescent="0.3">
      <c r="A2122" s="2" t="s">
        <v>4668</v>
      </c>
      <c r="B2122" s="2">
        <v>112</v>
      </c>
      <c r="C2122" s="3">
        <v>23020488</v>
      </c>
      <c r="D2122" s="3" t="s">
        <v>6324</v>
      </c>
      <c r="E2122" s="2" t="s">
        <v>4669</v>
      </c>
      <c r="F2122" s="2" t="s">
        <v>751</v>
      </c>
      <c r="G2122" s="2" t="s">
        <v>71</v>
      </c>
      <c r="H2122" s="2">
        <v>6000000</v>
      </c>
      <c r="I2122" s="2">
        <v>7.7</v>
      </c>
      <c r="J2122" s="3">
        <v>30012990</v>
      </c>
      <c r="K2122">
        <f t="shared" si="74"/>
        <v>1.3775047412552699E-3</v>
      </c>
      <c r="R2122" s="12" t="str">
        <f ca="1">IFERROR(__xludf.DUMMYFUNCTION("""COMPUTED_VALUE"""),"The Man ")</f>
        <v>The Man </v>
      </c>
      <c r="S2122" s="12">
        <f t="shared" si="73"/>
        <v>-14373489</v>
      </c>
    </row>
    <row r="2123" spans="1:19" x14ac:dyDescent="0.3">
      <c r="A2123" s="2" t="s">
        <v>1922</v>
      </c>
      <c r="B2123" s="2">
        <v>127</v>
      </c>
      <c r="C2123" s="3">
        <v>1325073</v>
      </c>
      <c r="D2123" s="3" t="s">
        <v>5849</v>
      </c>
      <c r="E2123" s="2" t="s">
        <v>1923</v>
      </c>
      <c r="F2123" s="2" t="s">
        <v>10</v>
      </c>
      <c r="G2123" s="2" t="s">
        <v>11</v>
      </c>
      <c r="H2123" s="2">
        <v>36000000</v>
      </c>
      <c r="I2123" s="2">
        <v>6.8</v>
      </c>
      <c r="J2123" s="3">
        <v>30013346</v>
      </c>
      <c r="K2123">
        <f t="shared" si="74"/>
        <v>1.3775047412552699E-3</v>
      </c>
      <c r="R2123" s="12" t="str">
        <f ca="1">IFERROR(__xludf.DUMMYFUNCTION("""COMPUTED_VALUE"""),"Code Name: The Cleaner ")</f>
        <v>Code Name: The Cleaner </v>
      </c>
      <c r="S2123" s="12">
        <f t="shared" si="73"/>
        <v>14700000</v>
      </c>
    </row>
    <row r="2124" spans="1:19" x14ac:dyDescent="0.3">
      <c r="A2124" s="2" t="s">
        <v>992</v>
      </c>
      <c r="B2124" s="2">
        <v>100</v>
      </c>
      <c r="C2124" s="3">
        <v>29302097</v>
      </c>
      <c r="D2124" s="3" t="s">
        <v>6325</v>
      </c>
      <c r="E2124" s="2" t="s">
        <v>993</v>
      </c>
      <c r="F2124" s="2" t="s">
        <v>10</v>
      </c>
      <c r="G2124" s="2" t="s">
        <v>11</v>
      </c>
      <c r="H2124" s="2">
        <v>70000000</v>
      </c>
      <c r="I2124" s="2">
        <v>5.7</v>
      </c>
      <c r="J2124" s="3">
        <v>30028592</v>
      </c>
      <c r="K2124">
        <f t="shared" si="74"/>
        <v>1.3775047412552699E-3</v>
      </c>
      <c r="R2124" s="12" t="str">
        <f ca="1">IFERROR(__xludf.DUMMYFUNCTION("""COMPUTED_VALUE"""),"Connie and Carla ")</f>
        <v>Connie and Carla </v>
      </c>
      <c r="S2124" s="12">
        <f t="shared" si="73"/>
        <v>-460253107</v>
      </c>
    </row>
    <row r="2125" spans="1:19" x14ac:dyDescent="0.3">
      <c r="A2125" s="2" t="s">
        <v>5524</v>
      </c>
      <c r="B2125" s="2">
        <v>108</v>
      </c>
      <c r="C2125" s="3">
        <v>52353636</v>
      </c>
      <c r="D2125" s="3" t="s">
        <v>6326</v>
      </c>
      <c r="E2125" s="2" t="s">
        <v>5616</v>
      </c>
      <c r="F2125" s="2" t="s">
        <v>10</v>
      </c>
      <c r="G2125" s="2" t="s">
        <v>11</v>
      </c>
      <c r="H2125" s="2">
        <v>250000</v>
      </c>
      <c r="I2125" s="2">
        <v>6.6</v>
      </c>
      <c r="J2125" s="3">
        <v>30050028</v>
      </c>
      <c r="K2125">
        <f t="shared" si="74"/>
        <v>1.3775047412552699E-3</v>
      </c>
      <c r="R2125" s="12" t="str">
        <f ca="1">IFERROR(__xludf.DUMMYFUNCTION("""COMPUTED_VALUE"""),"Inherent Vice ")</f>
        <v>Inherent Vice </v>
      </c>
      <c r="S2125" s="12">
        <f t="shared" si="73"/>
        <v>-463637386</v>
      </c>
    </row>
    <row r="2126" spans="1:19" x14ac:dyDescent="0.3">
      <c r="A2126" s="2" t="s">
        <v>268</v>
      </c>
      <c r="B2126" s="2">
        <v>122</v>
      </c>
      <c r="C2126" s="3">
        <v>26442251</v>
      </c>
      <c r="D2126" s="3" t="s">
        <v>6327</v>
      </c>
      <c r="E2126" s="2" t="s">
        <v>2333</v>
      </c>
      <c r="F2126" s="2" t="s">
        <v>10</v>
      </c>
      <c r="G2126" s="2" t="s">
        <v>11</v>
      </c>
      <c r="H2126" s="2">
        <v>18000000</v>
      </c>
      <c r="I2126" s="2">
        <v>7.9</v>
      </c>
      <c r="J2126" s="3">
        <v>30059386</v>
      </c>
      <c r="K2126">
        <f t="shared" si="74"/>
        <v>1.3775047412552699E-3</v>
      </c>
      <c r="R2126" s="12" t="str">
        <f ca="1">IFERROR(__xludf.DUMMYFUNCTION("""COMPUTED_VALUE"""),"Doogal ")</f>
        <v>Doogal </v>
      </c>
      <c r="S2126" s="12">
        <f t="shared" si="73"/>
        <v>-31879446</v>
      </c>
    </row>
    <row r="2127" spans="1:19" x14ac:dyDescent="0.3">
      <c r="A2127" s="2" t="s">
        <v>738</v>
      </c>
      <c r="B2127" s="2">
        <v>91</v>
      </c>
      <c r="C2127" s="3">
        <v>3752725</v>
      </c>
      <c r="D2127" s="3" t="s">
        <v>6328</v>
      </c>
      <c r="E2127" s="2" t="s">
        <v>739</v>
      </c>
      <c r="F2127" s="2" t="s">
        <v>10</v>
      </c>
      <c r="G2127" s="2" t="s">
        <v>199</v>
      </c>
      <c r="H2127" s="2">
        <v>80000000</v>
      </c>
      <c r="I2127" s="2">
        <v>5.7</v>
      </c>
      <c r="J2127" s="3">
        <v>30063805</v>
      </c>
      <c r="K2127">
        <f t="shared" si="74"/>
        <v>1.3775047412552699E-3</v>
      </c>
      <c r="R2127" s="12" t="str">
        <f ca="1">IFERROR(__xludf.DUMMYFUNCTION("""COMPUTED_VALUE"""),"Battle of the Year ")</f>
        <v>Battle of the Year </v>
      </c>
      <c r="S2127" s="12">
        <f t="shared" si="73"/>
        <v>662318</v>
      </c>
    </row>
    <row r="2128" spans="1:19" x14ac:dyDescent="0.3">
      <c r="A2128" s="2" t="s">
        <v>3444</v>
      </c>
      <c r="B2128" s="2">
        <v>124</v>
      </c>
      <c r="C2128" s="3">
        <v>29077547</v>
      </c>
      <c r="D2128" s="3" t="s">
        <v>5865</v>
      </c>
      <c r="E2128" s="2" t="s">
        <v>3445</v>
      </c>
      <c r="F2128" s="2" t="s">
        <v>10</v>
      </c>
      <c r="G2128" s="2" t="s">
        <v>11</v>
      </c>
      <c r="H2128" s="2">
        <v>15000000</v>
      </c>
      <c r="I2128" s="2">
        <v>7.2</v>
      </c>
      <c r="J2128" s="3">
        <v>30079316</v>
      </c>
      <c r="K2128">
        <f t="shared" si="74"/>
        <v>1.3775047412552699E-3</v>
      </c>
      <c r="R2128" s="12" t="str">
        <f ca="1">IFERROR(__xludf.DUMMYFUNCTION("""COMPUTED_VALUE"""),"An American Carol ")</f>
        <v>An American Carol </v>
      </c>
      <c r="S2128" s="12">
        <f t="shared" si="73"/>
        <v>-53292206</v>
      </c>
    </row>
    <row r="2129" spans="1:19" x14ac:dyDescent="0.3">
      <c r="A2129" s="2" t="s">
        <v>1771</v>
      </c>
      <c r="B2129" s="2">
        <v>115</v>
      </c>
      <c r="C2129" s="3">
        <v>49002815</v>
      </c>
      <c r="D2129" s="3" t="s">
        <v>6201</v>
      </c>
      <c r="E2129" s="2" t="s">
        <v>1772</v>
      </c>
      <c r="F2129" s="2" t="s">
        <v>10</v>
      </c>
      <c r="G2129" s="2" t="s">
        <v>16</v>
      </c>
      <c r="H2129" s="2">
        <v>35000000</v>
      </c>
      <c r="I2129" s="2">
        <v>6.7</v>
      </c>
      <c r="J2129" s="3">
        <v>30093107</v>
      </c>
      <c r="K2129">
        <f t="shared" si="74"/>
        <v>1.3775047412552699E-3</v>
      </c>
      <c r="R2129" s="12" t="str">
        <f ca="1">IFERROR(__xludf.DUMMYFUNCTION("""COMPUTED_VALUE"""),"Machete Kills ")</f>
        <v>Machete Kills </v>
      </c>
      <c r="S2129" s="12">
        <f t="shared" si="73"/>
        <v>34073773</v>
      </c>
    </row>
    <row r="2130" spans="1:19" x14ac:dyDescent="0.3">
      <c r="A2130" s="2" t="s">
        <v>4735</v>
      </c>
      <c r="B2130" s="2">
        <v>115</v>
      </c>
      <c r="C2130" s="3">
        <v>36073232</v>
      </c>
      <c r="D2130" s="3" t="s">
        <v>5846</v>
      </c>
      <c r="E2130" s="2" t="s">
        <v>4736</v>
      </c>
      <c r="F2130" s="2" t="s">
        <v>723</v>
      </c>
      <c r="G2130" s="2" t="s">
        <v>932</v>
      </c>
      <c r="H2130" s="2">
        <v>700000000</v>
      </c>
      <c r="I2130" s="2">
        <v>7.2</v>
      </c>
      <c r="J2130" s="3">
        <v>30102717</v>
      </c>
      <c r="K2130">
        <f t="shared" si="74"/>
        <v>1.3775047412552699E-3</v>
      </c>
      <c r="R2130" s="12" t="str">
        <f ca="1">IFERROR(__xludf.DUMMYFUNCTION("""COMPUTED_VALUE"""),"Willard ")</f>
        <v>Willard </v>
      </c>
      <c r="S2130" s="12">
        <f t="shared" si="73"/>
        <v>21078294</v>
      </c>
    </row>
    <row r="2131" spans="1:19" x14ac:dyDescent="0.3">
      <c r="A2131" s="2" t="s">
        <v>220</v>
      </c>
      <c r="B2131" s="2">
        <v>135</v>
      </c>
      <c r="C2131" s="3">
        <v>13269963</v>
      </c>
      <c r="D2131" s="3" t="s">
        <v>6004</v>
      </c>
      <c r="E2131" s="2" t="s">
        <v>754</v>
      </c>
      <c r="F2131" s="2" t="s">
        <v>10</v>
      </c>
      <c r="G2131" s="2" t="s">
        <v>11</v>
      </c>
      <c r="H2131" s="2">
        <v>58000000</v>
      </c>
      <c r="I2131" s="2">
        <v>8.1999999999999993</v>
      </c>
      <c r="J2131" s="3">
        <v>30105968</v>
      </c>
      <c r="K2131">
        <f t="shared" si="74"/>
        <v>1.3775047412552699E-3</v>
      </c>
      <c r="R2131" s="12" t="str">
        <f ca="1">IFERROR(__xludf.DUMMYFUNCTION("""COMPUTED_VALUE"""),"Strange Wilderness ")</f>
        <v>Strange Wilderness </v>
      </c>
      <c r="S2131" s="12">
        <f t="shared" si="73"/>
        <v>-181880517</v>
      </c>
    </row>
    <row r="2132" spans="1:19" x14ac:dyDescent="0.3">
      <c r="A2132" s="2" t="s">
        <v>5636</v>
      </c>
      <c r="B2132" s="2">
        <v>103</v>
      </c>
      <c r="C2132" s="3">
        <v>38168022</v>
      </c>
      <c r="D2132" s="3" t="s">
        <v>6100</v>
      </c>
      <c r="E2132" s="2" t="s">
        <v>5637</v>
      </c>
      <c r="F2132" s="2" t="s">
        <v>10</v>
      </c>
      <c r="G2132" s="2" t="s">
        <v>11</v>
      </c>
      <c r="H2132" s="3">
        <v>474544677</v>
      </c>
      <c r="I2132" s="2">
        <v>6.9</v>
      </c>
      <c r="J2132" s="3">
        <v>30127963</v>
      </c>
      <c r="K2132">
        <f t="shared" si="74"/>
        <v>1.3775047412552699E-3</v>
      </c>
      <c r="R2132" s="12" t="str">
        <f ca="1">IFERROR(__xludf.DUMMYFUNCTION("""COMPUTED_VALUE"""),"Topsy-Turvy ")</f>
        <v>Topsy-Turvy </v>
      </c>
      <c r="S2132" s="12">
        <f t="shared" si="73"/>
        <v>-1088250</v>
      </c>
    </row>
    <row r="2133" spans="1:19" x14ac:dyDescent="0.3">
      <c r="A2133" s="2" t="s">
        <v>1990</v>
      </c>
      <c r="B2133" s="2">
        <v>102</v>
      </c>
      <c r="C2133" s="3">
        <v>1943649</v>
      </c>
      <c r="D2133" s="3" t="s">
        <v>6275</v>
      </c>
      <c r="E2133" s="2" t="s">
        <v>1991</v>
      </c>
      <c r="F2133" s="2" t="s">
        <v>10</v>
      </c>
      <c r="G2133" s="2" t="s">
        <v>771</v>
      </c>
      <c r="H2133" s="2">
        <v>35000000</v>
      </c>
      <c r="I2133" s="2">
        <v>3.8</v>
      </c>
      <c r="J2133" s="3">
        <v>30157016</v>
      </c>
      <c r="K2133">
        <f t="shared" si="74"/>
        <v>1.3775047412552699E-3</v>
      </c>
      <c r="R2133" s="12" t="str">
        <f ca="1">IFERROR(__xludf.DUMMYFUNCTION("""COMPUTED_VALUE"""),"Little Boy ")</f>
        <v>Little Boy </v>
      </c>
      <c r="S2133" s="12">
        <f t="shared" si="73"/>
        <v>35397389</v>
      </c>
    </row>
    <row r="2134" spans="1:19" x14ac:dyDescent="0.3">
      <c r="A2134" s="2" t="s">
        <v>3727</v>
      </c>
      <c r="B2134" s="2">
        <v>88</v>
      </c>
      <c r="C2134" s="3">
        <v>10880926</v>
      </c>
      <c r="D2134" s="3" t="s">
        <v>5767</v>
      </c>
      <c r="E2134" s="2" t="s">
        <v>3728</v>
      </c>
      <c r="F2134" s="2" t="s">
        <v>10</v>
      </c>
      <c r="G2134" s="2" t="s">
        <v>16</v>
      </c>
      <c r="H2134" s="2">
        <v>13000000</v>
      </c>
      <c r="I2134" s="2">
        <v>6.6</v>
      </c>
      <c r="J2134" s="3">
        <v>30199105</v>
      </c>
      <c r="K2134">
        <f t="shared" si="74"/>
        <v>1.3775047412552699E-3</v>
      </c>
      <c r="R2134" s="12" t="str">
        <f ca="1">IFERROR(__xludf.DUMMYFUNCTION("""COMPUTED_VALUE"""),"A Dangerous Method ")</f>
        <v>A Dangerous Method </v>
      </c>
      <c r="S2134" s="12">
        <f t="shared" si="73"/>
        <v>-62679021</v>
      </c>
    </row>
    <row r="2135" spans="1:19" x14ac:dyDescent="0.3">
      <c r="A2135" s="2" t="s">
        <v>1338</v>
      </c>
      <c r="B2135" s="2">
        <v>108</v>
      </c>
      <c r="C2135" s="3">
        <v>143000</v>
      </c>
      <c r="D2135" s="3" t="s">
        <v>6329</v>
      </c>
      <c r="E2135" s="2" t="s">
        <v>3841</v>
      </c>
      <c r="F2135" s="2" t="s">
        <v>10</v>
      </c>
      <c r="G2135" s="2" t="s">
        <v>11</v>
      </c>
      <c r="H2135" s="2">
        <v>12000000</v>
      </c>
      <c r="I2135" s="2">
        <v>5</v>
      </c>
      <c r="J2135" s="3">
        <v>30212620</v>
      </c>
      <c r="K2135">
        <f t="shared" si="74"/>
        <v>1.3775047412552699E-3</v>
      </c>
      <c r="R2135" s="12" t="str">
        <f ca="1">IFERROR(__xludf.DUMMYFUNCTION("""COMPUTED_VALUE"""),"A Scanner Darkly ")</f>
        <v>A Scanner Darkly </v>
      </c>
      <c r="S2135" s="12">
        <f t="shared" si="73"/>
        <v>-23925977</v>
      </c>
    </row>
    <row r="2136" spans="1:19" x14ac:dyDescent="0.3">
      <c r="A2136" s="2" t="s">
        <v>3476</v>
      </c>
      <c r="B2136" s="2">
        <v>109</v>
      </c>
      <c r="C2136" s="3">
        <v>33349949</v>
      </c>
      <c r="D2136" s="3" t="s">
        <v>5925</v>
      </c>
      <c r="E2136" s="2" t="s">
        <v>3477</v>
      </c>
      <c r="F2136" s="2" t="s">
        <v>10</v>
      </c>
      <c r="G2136" s="2" t="s">
        <v>71</v>
      </c>
      <c r="H2136" s="2">
        <v>15000000</v>
      </c>
      <c r="I2136" s="2">
        <v>4.9000000000000004</v>
      </c>
      <c r="J2136" s="3">
        <v>30222640</v>
      </c>
      <c r="K2136">
        <f t="shared" si="74"/>
        <v>1.3775047412552699E-3</v>
      </c>
      <c r="R2136" s="12" t="str">
        <f ca="1">IFERROR(__xludf.DUMMYFUNCTION("""COMPUTED_VALUE"""),"Chasing Mavericks ")</f>
        <v>Chasing Mavericks </v>
      </c>
      <c r="S2136" s="12">
        <f t="shared" si="73"/>
        <v>-32880006</v>
      </c>
    </row>
    <row r="2137" spans="1:19" x14ac:dyDescent="0.3">
      <c r="A2137" s="2" t="s">
        <v>1585</v>
      </c>
      <c r="B2137" s="2">
        <v>103</v>
      </c>
      <c r="C2137" s="3">
        <v>38087756</v>
      </c>
      <c r="D2137" s="3" t="s">
        <v>5965</v>
      </c>
      <c r="E2137" s="2" t="s">
        <v>1586</v>
      </c>
      <c r="F2137" s="2" t="s">
        <v>10</v>
      </c>
      <c r="G2137" s="2" t="s">
        <v>11</v>
      </c>
      <c r="H2137" s="2">
        <v>45000000</v>
      </c>
      <c r="I2137" s="2">
        <v>4.9000000000000004</v>
      </c>
      <c r="J2137" s="3">
        <v>30226144</v>
      </c>
      <c r="K2137">
        <f t="shared" si="74"/>
        <v>1.3775047412552699E-3</v>
      </c>
      <c r="R2137" s="12" t="str">
        <f ca="1">IFERROR(__xludf.DUMMYFUNCTION("""COMPUTED_VALUE"""),"Alone in the Dark ")</f>
        <v>Alone in the Dark </v>
      </c>
      <c r="S2137" s="12">
        <f t="shared" ref="S2137:S2200" si="75">C2115-H2115</f>
        <v>15113588</v>
      </c>
    </row>
    <row r="2138" spans="1:19" x14ac:dyDescent="0.3">
      <c r="A2138" s="2" t="s">
        <v>2216</v>
      </c>
      <c r="B2138" s="2">
        <v>113</v>
      </c>
      <c r="C2138" s="2">
        <v>5032496</v>
      </c>
      <c r="D2138" s="3" t="s">
        <v>6330</v>
      </c>
      <c r="E2138" s="2" t="s">
        <v>3838</v>
      </c>
      <c r="F2138" s="2" t="s">
        <v>10</v>
      </c>
      <c r="G2138" s="2" t="s">
        <v>11</v>
      </c>
      <c r="H2138" s="2">
        <v>12000000</v>
      </c>
      <c r="I2138" s="2">
        <v>6.3</v>
      </c>
      <c r="J2138" s="3">
        <v>30259652</v>
      </c>
      <c r="K2138">
        <f t="shared" si="74"/>
        <v>1.3775047412552699E-3</v>
      </c>
      <c r="R2138" s="12" t="str">
        <f ca="1">IFERROR(__xludf.DUMMYFUNCTION("""COMPUTED_VALUE"""),"Bandslam ")</f>
        <v>Bandslam </v>
      </c>
      <c r="S2138" s="12">
        <f t="shared" si="75"/>
        <v>-467483801</v>
      </c>
    </row>
    <row r="2139" spans="1:19" x14ac:dyDescent="0.3">
      <c r="A2139" s="2" t="s">
        <v>4961</v>
      </c>
      <c r="B2139" s="2">
        <v>101</v>
      </c>
      <c r="C2139" s="3">
        <v>6291602</v>
      </c>
      <c r="D2139" s="3" t="s">
        <v>6331</v>
      </c>
      <c r="E2139" s="2" t="s">
        <v>4962</v>
      </c>
      <c r="F2139" s="2" t="s">
        <v>10</v>
      </c>
      <c r="G2139" s="2" t="s">
        <v>3044</v>
      </c>
      <c r="H2139" s="2">
        <v>3000000</v>
      </c>
      <c r="I2139" s="2">
        <v>5</v>
      </c>
      <c r="J2139" s="3">
        <v>30306268</v>
      </c>
      <c r="K2139">
        <f t="shared" si="74"/>
        <v>1.3775047412552699E-3</v>
      </c>
      <c r="R2139" s="12" t="str">
        <f ca="1">IFERROR(__xludf.DUMMYFUNCTION("""COMPUTED_VALUE"""),"Birth ")</f>
        <v>Birth </v>
      </c>
      <c r="S2139" s="12">
        <f t="shared" si="75"/>
        <v>-5810486</v>
      </c>
    </row>
    <row r="2140" spans="1:19" x14ac:dyDescent="0.3">
      <c r="A2140" s="2" t="s">
        <v>653</v>
      </c>
      <c r="B2140" s="2">
        <v>95</v>
      </c>
      <c r="C2140" s="3">
        <v>52293982</v>
      </c>
      <c r="D2140" s="3" t="s">
        <v>6332</v>
      </c>
      <c r="E2140" s="2" t="s">
        <v>654</v>
      </c>
      <c r="F2140" s="2" t="s">
        <v>10</v>
      </c>
      <c r="G2140" s="2" t="s">
        <v>16</v>
      </c>
      <c r="H2140" s="2">
        <v>35000000</v>
      </c>
      <c r="I2140" s="2">
        <v>7.1</v>
      </c>
      <c r="J2140" s="3">
        <v>30306281</v>
      </c>
      <c r="K2140">
        <f t="shared" si="74"/>
        <v>1.3775047412552699E-3</v>
      </c>
      <c r="R2140" s="12" t="str">
        <f ca="1">IFERROR(__xludf.DUMMYFUNCTION("""COMPUTED_VALUE"""),"A Most Violent Year ")</f>
        <v>A Most Violent Year </v>
      </c>
      <c r="S2140" s="12">
        <f t="shared" si="75"/>
        <v>16067398</v>
      </c>
    </row>
    <row r="2141" spans="1:19" x14ac:dyDescent="0.3">
      <c r="A2141" s="2" t="s">
        <v>4215</v>
      </c>
      <c r="B2141" s="2">
        <v>96</v>
      </c>
      <c r="C2141" s="3">
        <v>14131298</v>
      </c>
      <c r="D2141" s="3" t="s">
        <v>5936</v>
      </c>
      <c r="E2141" s="2" t="s">
        <v>4216</v>
      </c>
      <c r="F2141" s="2" t="s">
        <v>10</v>
      </c>
      <c r="G2141" s="2" t="s">
        <v>3563</v>
      </c>
      <c r="H2141" s="2">
        <v>9000000</v>
      </c>
      <c r="I2141" s="2">
        <v>5.7</v>
      </c>
      <c r="J2141" s="3">
        <v>30307804</v>
      </c>
      <c r="K2141">
        <f t="shared" si="74"/>
        <v>1.3775047412552699E-3</v>
      </c>
      <c r="R2141" s="12" t="str">
        <f ca="1">IFERROR(__xludf.DUMMYFUNCTION("""COMPUTED_VALUE"""),"Flash of Genius ")</f>
        <v>Flash of Genius </v>
      </c>
      <c r="S2141" s="12">
        <f t="shared" si="75"/>
        <v>25794166</v>
      </c>
    </row>
    <row r="2142" spans="1:19" x14ac:dyDescent="0.3">
      <c r="A2142" s="2" t="s">
        <v>2362</v>
      </c>
      <c r="B2142" s="2">
        <v>147</v>
      </c>
      <c r="C2142" s="3">
        <v>34963967</v>
      </c>
      <c r="D2142" s="3" t="s">
        <v>5767</v>
      </c>
      <c r="E2142" s="2" t="s">
        <v>2363</v>
      </c>
      <c r="F2142" s="2" t="s">
        <v>10</v>
      </c>
      <c r="G2142" s="2" t="s">
        <v>16</v>
      </c>
      <c r="H2142" s="2">
        <v>29000000</v>
      </c>
      <c r="I2142" s="2">
        <v>7.5</v>
      </c>
      <c r="J2142" s="3">
        <v>30324946</v>
      </c>
      <c r="K2142">
        <f t="shared" si="74"/>
        <v>1.3775047412552699E-3</v>
      </c>
      <c r="R2142" s="12" t="str">
        <f ca="1">IFERROR(__xludf.DUMMYFUNCTION("""COMPUTED_VALUE"""),"I'm Not There. ")</f>
        <v>I'm Not There. </v>
      </c>
      <c r="S2142" s="12">
        <f t="shared" si="75"/>
        <v>-448050066</v>
      </c>
    </row>
    <row r="2143" spans="1:19" x14ac:dyDescent="0.3">
      <c r="A2143" s="2" t="s">
        <v>546</v>
      </c>
      <c r="B2143" s="2">
        <v>127</v>
      </c>
      <c r="C2143" s="3">
        <v>12276810</v>
      </c>
      <c r="D2143" s="3" t="s">
        <v>6237</v>
      </c>
      <c r="E2143" s="2" t="s">
        <v>2769</v>
      </c>
      <c r="F2143" s="2" t="s">
        <v>10</v>
      </c>
      <c r="G2143" s="2" t="s">
        <v>11</v>
      </c>
      <c r="H2143" s="2">
        <v>20000000</v>
      </c>
      <c r="I2143" s="2">
        <v>7</v>
      </c>
      <c r="J2143" s="3">
        <v>30400000</v>
      </c>
      <c r="K2143">
        <f t="shared" si="74"/>
        <v>1.3775047412552699E-3</v>
      </c>
      <c r="R2143" s="12" t="str">
        <f ca="1">IFERROR(__xludf.DUMMYFUNCTION("""COMPUTED_VALUE"""),"The Cold Light of Day ")</f>
        <v>The Cold Light of Day </v>
      </c>
      <c r="S2143" s="12">
        <f t="shared" si="75"/>
        <v>75632614</v>
      </c>
    </row>
    <row r="2144" spans="1:19" x14ac:dyDescent="0.3">
      <c r="A2144" s="2" t="s">
        <v>246</v>
      </c>
      <c r="B2144" s="2">
        <v>94</v>
      </c>
      <c r="C2144" s="3">
        <v>45996718</v>
      </c>
      <c r="D2144" s="3" t="s">
        <v>6140</v>
      </c>
      <c r="E2144" s="2" t="s">
        <v>2787</v>
      </c>
      <c r="F2144" s="2" t="s">
        <v>10</v>
      </c>
      <c r="G2144" s="2" t="s">
        <v>11</v>
      </c>
      <c r="H2144" s="2">
        <v>22000000</v>
      </c>
      <c r="I2144" s="2">
        <v>6.4</v>
      </c>
      <c r="J2144" s="3">
        <v>30400000</v>
      </c>
      <c r="K2144">
        <f t="shared" si="74"/>
        <v>1.3775047412552699E-3</v>
      </c>
      <c r="R2144" s="12" t="str">
        <f ca="1">IFERROR(__xludf.DUMMYFUNCTION("""COMPUTED_VALUE"""),"The Brothers Bloom ")</f>
        <v>The Brothers Bloom </v>
      </c>
      <c r="S2144" s="12">
        <f t="shared" si="75"/>
        <v>17020488</v>
      </c>
    </row>
    <row r="2145" spans="1:19" x14ac:dyDescent="0.3">
      <c r="A2145" s="2" t="s">
        <v>691</v>
      </c>
      <c r="B2145" s="2">
        <v>162</v>
      </c>
      <c r="C2145" s="3">
        <v>148337537</v>
      </c>
      <c r="D2145" s="3" t="s">
        <v>520</v>
      </c>
      <c r="E2145" s="2" t="s">
        <v>1951</v>
      </c>
      <c r="F2145" s="2" t="s">
        <v>10</v>
      </c>
      <c r="G2145" s="2" t="s">
        <v>11</v>
      </c>
      <c r="H2145" s="2">
        <v>27000000</v>
      </c>
      <c r="I2145" s="2">
        <v>7.4</v>
      </c>
      <c r="J2145" s="3">
        <v>30500882</v>
      </c>
      <c r="K2145">
        <f t="shared" si="74"/>
        <v>1.3775047412552699E-3</v>
      </c>
      <c r="R2145" s="12" t="str">
        <f ca="1">IFERROR(__xludf.DUMMYFUNCTION("""COMPUTED_VALUE"""),"Synecdoche, New York ")</f>
        <v>Synecdoche, New York </v>
      </c>
      <c r="S2145" s="12">
        <f t="shared" si="75"/>
        <v>-34674927</v>
      </c>
    </row>
    <row r="2146" spans="1:19" x14ac:dyDescent="0.3">
      <c r="A2146" s="2" t="s">
        <v>5617</v>
      </c>
      <c r="B2146" s="2">
        <v>90</v>
      </c>
      <c r="C2146" s="3">
        <v>17803796</v>
      </c>
      <c r="D2146" s="3" t="s">
        <v>5913</v>
      </c>
      <c r="E2146" s="2" t="s">
        <v>5618</v>
      </c>
      <c r="F2146" s="2" t="s">
        <v>10</v>
      </c>
      <c r="G2146" s="2" t="s">
        <v>11</v>
      </c>
      <c r="H2146" s="2">
        <v>250000</v>
      </c>
      <c r="I2146" s="2">
        <v>8</v>
      </c>
      <c r="J2146" s="3">
        <v>30513940</v>
      </c>
      <c r="K2146">
        <f t="shared" si="74"/>
        <v>1.3775047412552699E-3</v>
      </c>
      <c r="R2146" s="12" t="str">
        <f ca="1">IFERROR(__xludf.DUMMYFUNCTION("""COMPUTED_VALUE"""),"Princess Mononoke ")</f>
        <v>Princess Mononoke </v>
      </c>
      <c r="S2146" s="12">
        <f t="shared" si="75"/>
        <v>-40697903</v>
      </c>
    </row>
    <row r="2147" spans="1:19" x14ac:dyDescent="0.3">
      <c r="A2147" s="2" t="s">
        <v>4892</v>
      </c>
      <c r="B2147" s="2">
        <v>99</v>
      </c>
      <c r="C2147" s="3">
        <v>17951431</v>
      </c>
      <c r="D2147" s="3" t="s">
        <v>5954</v>
      </c>
      <c r="E2147" s="2" t="s">
        <v>4893</v>
      </c>
      <c r="F2147" s="2" t="s">
        <v>10</v>
      </c>
      <c r="G2147" s="2" t="s">
        <v>16</v>
      </c>
      <c r="H2147" s="2">
        <v>2200000</v>
      </c>
      <c r="I2147" s="2">
        <v>7.1</v>
      </c>
      <c r="J2147" s="3">
        <v>30523568</v>
      </c>
      <c r="K2147">
        <f t="shared" si="74"/>
        <v>1.3775047412552699E-3</v>
      </c>
      <c r="R2147" s="12" t="str">
        <f ca="1">IFERROR(__xludf.DUMMYFUNCTION("""COMPUTED_VALUE"""),"Bon voyage ")</f>
        <v>Bon voyage </v>
      </c>
      <c r="S2147" s="12">
        <f t="shared" si="75"/>
        <v>52103636</v>
      </c>
    </row>
    <row r="2148" spans="1:19" x14ac:dyDescent="0.3">
      <c r="A2148" s="2" t="s">
        <v>2158</v>
      </c>
      <c r="B2148" s="2">
        <v>99</v>
      </c>
      <c r="C2148" s="3">
        <v>41008532</v>
      </c>
      <c r="D2148" s="3" t="s">
        <v>6148</v>
      </c>
      <c r="E2148" s="2" t="s">
        <v>2159</v>
      </c>
      <c r="F2148" s="2" t="s">
        <v>10</v>
      </c>
      <c r="G2148" s="2" t="s">
        <v>11</v>
      </c>
      <c r="H2148" s="2">
        <v>31000000</v>
      </c>
      <c r="I2148" s="2">
        <v>6.1</v>
      </c>
      <c r="J2148" s="3">
        <v>30628981</v>
      </c>
      <c r="K2148">
        <f t="shared" si="74"/>
        <v>1.3775047412552699E-3</v>
      </c>
      <c r="R2148" s="12" t="str">
        <f ca="1">IFERROR(__xludf.DUMMYFUNCTION("""COMPUTED_VALUE"""),"Can't Stop the Music ")</f>
        <v>Can't Stop the Music </v>
      </c>
      <c r="S2148" s="12">
        <f t="shared" si="75"/>
        <v>8442251</v>
      </c>
    </row>
    <row r="2149" spans="1:19" x14ac:dyDescent="0.3">
      <c r="A2149" s="2" t="s">
        <v>2200</v>
      </c>
      <c r="B2149" s="2">
        <v>114</v>
      </c>
      <c r="C2149" s="3">
        <v>52287414</v>
      </c>
      <c r="D2149" s="3" t="s">
        <v>1703</v>
      </c>
      <c r="E2149" s="2" t="s">
        <v>3060</v>
      </c>
      <c r="F2149" s="2" t="s">
        <v>10</v>
      </c>
      <c r="G2149" s="2" t="s">
        <v>11</v>
      </c>
      <c r="H2149" s="2">
        <v>20000000</v>
      </c>
      <c r="I2149" s="2">
        <v>6.9</v>
      </c>
      <c r="J2149" s="3">
        <v>30651422</v>
      </c>
      <c r="K2149">
        <f t="shared" si="74"/>
        <v>1.3775047412552699E-3</v>
      </c>
      <c r="R2149" s="12" t="str">
        <f ca="1">IFERROR(__xludf.DUMMYFUNCTION("""COMPUTED_VALUE"""),"The Proposition ")</f>
        <v>The Proposition </v>
      </c>
      <c r="S2149" s="12">
        <f t="shared" si="75"/>
        <v>-76247275</v>
      </c>
    </row>
    <row r="2150" spans="1:19" x14ac:dyDescent="0.3">
      <c r="A2150" s="2" t="s">
        <v>1045</v>
      </c>
      <c r="B2150" s="2">
        <v>101</v>
      </c>
      <c r="C2150" s="3">
        <v>26400000</v>
      </c>
      <c r="D2150" s="3" t="s">
        <v>5887</v>
      </c>
      <c r="E2150" s="2" t="s">
        <v>1046</v>
      </c>
      <c r="F2150" s="2" t="s">
        <v>10</v>
      </c>
      <c r="G2150" s="2" t="s">
        <v>11</v>
      </c>
      <c r="H2150" s="2">
        <v>60000000</v>
      </c>
      <c r="I2150" s="2">
        <v>6.1</v>
      </c>
      <c r="J2150" s="3">
        <v>30659817</v>
      </c>
      <c r="K2150">
        <f t="shared" si="74"/>
        <v>1.3775047412552699E-3</v>
      </c>
      <c r="R2150" s="12" t="str">
        <f ca="1">IFERROR(__xludf.DUMMYFUNCTION("""COMPUTED_VALUE"""),"Courage ")</f>
        <v>Courage </v>
      </c>
      <c r="S2150" s="12">
        <f t="shared" si="75"/>
        <v>14077547</v>
      </c>
    </row>
    <row r="2151" spans="1:19" x14ac:dyDescent="0.3">
      <c r="A2151" s="2" t="s">
        <v>116</v>
      </c>
      <c r="B2151" s="2">
        <v>136</v>
      </c>
      <c r="C2151" s="3">
        <v>14174654</v>
      </c>
      <c r="D2151" s="3" t="s">
        <v>5973</v>
      </c>
      <c r="E2151" s="2" t="s">
        <v>952</v>
      </c>
      <c r="F2151" s="2" t="s">
        <v>10</v>
      </c>
      <c r="G2151" s="2" t="s">
        <v>11</v>
      </c>
      <c r="H2151" s="2">
        <v>63000000</v>
      </c>
      <c r="I2151" s="2">
        <v>8.6999999999999993</v>
      </c>
      <c r="J2151" s="3">
        <v>30669413</v>
      </c>
      <c r="K2151">
        <f t="shared" si="74"/>
        <v>1.3775047412552699E-3</v>
      </c>
      <c r="R2151" s="12" t="str">
        <f ca="1">IFERROR(__xludf.DUMMYFUNCTION("""COMPUTED_VALUE"""),"Marci X ")</f>
        <v>Marci X </v>
      </c>
      <c r="S2151" s="12">
        <f t="shared" si="75"/>
        <v>14002815</v>
      </c>
    </row>
    <row r="2152" spans="1:19" x14ac:dyDescent="0.3">
      <c r="A2152" s="2" t="s">
        <v>866</v>
      </c>
      <c r="B2152" s="2">
        <v>117</v>
      </c>
      <c r="C2152" s="3">
        <v>19819494</v>
      </c>
      <c r="D2152" s="3" t="s">
        <v>5940</v>
      </c>
      <c r="E2152" s="2" t="s">
        <v>867</v>
      </c>
      <c r="F2152" s="2" t="s">
        <v>10</v>
      </c>
      <c r="G2152" s="2" t="s">
        <v>11</v>
      </c>
      <c r="H2152" s="2">
        <v>80000000</v>
      </c>
      <c r="I2152" s="2">
        <v>6</v>
      </c>
      <c r="J2152" s="3">
        <v>30688364</v>
      </c>
      <c r="K2152">
        <f t="shared" si="74"/>
        <v>1.3775047412552699E-3</v>
      </c>
      <c r="R2152" s="12" t="str">
        <f ca="1">IFERROR(__xludf.DUMMYFUNCTION("""COMPUTED_VALUE"""),"Equilibrium ")</f>
        <v>Equilibrium </v>
      </c>
      <c r="S2152" s="12">
        <f t="shared" si="75"/>
        <v>-663926768</v>
      </c>
    </row>
    <row r="2153" spans="1:19" x14ac:dyDescent="0.3">
      <c r="A2153" s="2" t="s">
        <v>220</v>
      </c>
      <c r="B2153" s="2">
        <v>146</v>
      </c>
      <c r="C2153" s="3">
        <v>14123773</v>
      </c>
      <c r="D2153" s="3" t="s">
        <v>5849</v>
      </c>
      <c r="E2153" s="2" t="s">
        <v>221</v>
      </c>
      <c r="F2153" s="2" t="s">
        <v>10</v>
      </c>
      <c r="G2153" s="2" t="s">
        <v>11</v>
      </c>
      <c r="H2153" s="2">
        <v>150000000</v>
      </c>
      <c r="I2153" s="2">
        <v>6.7</v>
      </c>
      <c r="J2153" s="3">
        <v>30691439</v>
      </c>
      <c r="K2153">
        <f t="shared" si="74"/>
        <v>1.3775047412552699E-3</v>
      </c>
      <c r="R2153" s="12" t="str">
        <f ca="1">IFERROR(__xludf.DUMMYFUNCTION("""COMPUTED_VALUE"""),"The Children of Huang Shi ")</f>
        <v>The Children of Huang Shi </v>
      </c>
      <c r="S2153" s="12">
        <f t="shared" si="75"/>
        <v>-44730037</v>
      </c>
    </row>
    <row r="2154" spans="1:19" x14ac:dyDescent="0.3">
      <c r="A2154" s="2" t="s">
        <v>1338</v>
      </c>
      <c r="B2154" s="2">
        <v>120</v>
      </c>
      <c r="C2154" s="3">
        <v>3645438</v>
      </c>
      <c r="D2154" s="3" t="s">
        <v>5869</v>
      </c>
      <c r="E2154" s="2" t="s">
        <v>5035</v>
      </c>
      <c r="F2154" s="2" t="s">
        <v>10</v>
      </c>
      <c r="G2154" s="2" t="s">
        <v>11</v>
      </c>
      <c r="H2154" s="2">
        <v>2400000</v>
      </c>
      <c r="I2154" s="2">
        <v>6.8</v>
      </c>
      <c r="J2154" s="3">
        <v>30695227</v>
      </c>
      <c r="K2154">
        <f t="shared" si="74"/>
        <v>1.3775047412552699E-3</v>
      </c>
      <c r="R2154" s="12" t="str">
        <f ca="1">IFERROR(__xludf.DUMMYFUNCTION("""COMPUTED_VALUE"""),"The Yards ")</f>
        <v>The Yards </v>
      </c>
      <c r="S2154" s="12">
        <f t="shared" si="75"/>
        <v>-436376655</v>
      </c>
    </row>
    <row r="2155" spans="1:19" x14ac:dyDescent="0.3">
      <c r="A2155" s="2" t="s">
        <v>5445</v>
      </c>
      <c r="B2155" s="2">
        <v>99</v>
      </c>
      <c r="C2155" s="3">
        <v>38087366</v>
      </c>
      <c r="D2155" s="3" t="s">
        <v>6017</v>
      </c>
      <c r="E2155" s="2" t="s">
        <v>5446</v>
      </c>
      <c r="F2155" s="2" t="s">
        <v>10</v>
      </c>
      <c r="G2155" s="2" t="s">
        <v>16</v>
      </c>
      <c r="H2155" s="2">
        <v>900000</v>
      </c>
      <c r="I2155" s="2">
        <v>5.2</v>
      </c>
      <c r="J2155" s="3">
        <v>30857814</v>
      </c>
      <c r="K2155">
        <f t="shared" si="74"/>
        <v>1.3775047412552699E-3</v>
      </c>
      <c r="R2155" s="12" t="str">
        <f ca="1">IFERROR(__xludf.DUMMYFUNCTION("""COMPUTED_VALUE"""),"The Oogieloves in the Big Balloon Adventure ")</f>
        <v>The Oogieloves in the Big Balloon Adventure </v>
      </c>
      <c r="S2155" s="12">
        <f t="shared" si="75"/>
        <v>-33056351</v>
      </c>
    </row>
    <row r="2156" spans="1:19" x14ac:dyDescent="0.3">
      <c r="A2156" s="2" t="s">
        <v>852</v>
      </c>
      <c r="B2156" s="2">
        <v>85</v>
      </c>
      <c r="C2156" s="3">
        <v>57366262</v>
      </c>
      <c r="D2156" s="3" t="s">
        <v>5932</v>
      </c>
      <c r="E2156" s="2" t="s">
        <v>853</v>
      </c>
      <c r="F2156" s="2" t="s">
        <v>10</v>
      </c>
      <c r="G2156" s="2" t="s">
        <v>11</v>
      </c>
      <c r="H2156" s="2">
        <v>71500000</v>
      </c>
      <c r="I2156" s="2">
        <v>5.3</v>
      </c>
      <c r="J2156" s="3">
        <v>30859000</v>
      </c>
      <c r="K2156">
        <f t="shared" si="74"/>
        <v>1.3775047412552699E-3</v>
      </c>
      <c r="R2156" s="12" t="str">
        <f ca="1">IFERROR(__xludf.DUMMYFUNCTION("""COMPUTED_VALUE"""),"By the Sea ")</f>
        <v>By the Sea </v>
      </c>
      <c r="S2156" s="12">
        <f t="shared" si="75"/>
        <v>-2119074</v>
      </c>
    </row>
    <row r="2157" spans="1:19" x14ac:dyDescent="0.3">
      <c r="A2157" s="2" t="s">
        <v>3368</v>
      </c>
      <c r="B2157" s="2">
        <v>91</v>
      </c>
      <c r="C2157" s="3">
        <v>20422207</v>
      </c>
      <c r="D2157" s="3" t="s">
        <v>6163</v>
      </c>
      <c r="E2157" s="2" t="s">
        <v>3369</v>
      </c>
      <c r="F2157" s="2" t="s">
        <v>10</v>
      </c>
      <c r="G2157" s="2" t="s">
        <v>11</v>
      </c>
      <c r="H2157" s="2">
        <v>15600000</v>
      </c>
      <c r="I2157" s="2">
        <v>4.5</v>
      </c>
      <c r="J2157" s="3">
        <v>30920167</v>
      </c>
      <c r="K2157">
        <f t="shared" si="74"/>
        <v>1.3775047412552699E-3</v>
      </c>
      <c r="R2157" s="12" t="str">
        <f ca="1">IFERROR(__xludf.DUMMYFUNCTION("""COMPUTED_VALUE"""),"Steamboy ")</f>
        <v>Steamboy </v>
      </c>
      <c r="S2157" s="12">
        <f t="shared" si="75"/>
        <v>-11857000</v>
      </c>
    </row>
    <row r="2158" spans="1:19" x14ac:dyDescent="0.3">
      <c r="A2158" s="2" t="s">
        <v>3536</v>
      </c>
      <c r="B2158" s="2">
        <v>120</v>
      </c>
      <c r="C2158" s="3">
        <v>10824921</v>
      </c>
      <c r="D2158" s="3" t="s">
        <v>5794</v>
      </c>
      <c r="E2158" s="2" t="s">
        <v>3537</v>
      </c>
      <c r="F2158" s="2" t="s">
        <v>10</v>
      </c>
      <c r="G2158" s="2" t="s">
        <v>504</v>
      </c>
      <c r="H2158" s="2">
        <v>15000000</v>
      </c>
      <c r="I2158" s="2">
        <v>6.5</v>
      </c>
      <c r="J2158" s="3">
        <v>30981850</v>
      </c>
      <c r="K2158">
        <f t="shared" si="74"/>
        <v>1.3775047412552699E-3</v>
      </c>
      <c r="R2158" s="12" t="str">
        <f ca="1">IFERROR(__xludf.DUMMYFUNCTION("""COMPUTED_VALUE"""),"The Game of Their Lives ")</f>
        <v>The Game of Their Lives </v>
      </c>
      <c r="S2158" s="12">
        <f t="shared" si="75"/>
        <v>18349949</v>
      </c>
    </row>
    <row r="2159" spans="1:19" x14ac:dyDescent="0.3">
      <c r="A2159" s="2" t="s">
        <v>1831</v>
      </c>
      <c r="B2159" s="2">
        <v>101</v>
      </c>
      <c r="C2159" s="3">
        <v>10814185</v>
      </c>
      <c r="D2159" s="3" t="s">
        <v>5965</v>
      </c>
      <c r="E2159" s="2" t="s">
        <v>1832</v>
      </c>
      <c r="F2159" s="2" t="s">
        <v>10</v>
      </c>
      <c r="G2159" s="2" t="s">
        <v>11</v>
      </c>
      <c r="H2159" s="2">
        <v>25000000</v>
      </c>
      <c r="I2159" s="2">
        <v>6.9</v>
      </c>
      <c r="J2159" s="3">
        <v>30993544</v>
      </c>
      <c r="K2159">
        <f t="shared" si="74"/>
        <v>1.3775047412552699E-3</v>
      </c>
      <c r="R2159" s="12" t="str">
        <f ca="1">IFERROR(__xludf.DUMMYFUNCTION("""COMPUTED_VALUE"""),"Rapa Nui ")</f>
        <v>Rapa Nui </v>
      </c>
      <c r="S2159" s="12">
        <f t="shared" si="75"/>
        <v>-6912244</v>
      </c>
    </row>
    <row r="2160" spans="1:19" x14ac:dyDescent="0.3">
      <c r="A2160" s="2" t="s">
        <v>278</v>
      </c>
      <c r="B2160" s="2">
        <v>101</v>
      </c>
      <c r="C2160" s="3">
        <v>4692814</v>
      </c>
      <c r="D2160" s="3" t="s">
        <v>6004</v>
      </c>
      <c r="E2160" s="2" t="s">
        <v>2108</v>
      </c>
      <c r="F2160" s="2" t="s">
        <v>10</v>
      </c>
      <c r="G2160" s="2" t="s">
        <v>11</v>
      </c>
      <c r="H2160" s="2">
        <v>32000000</v>
      </c>
      <c r="I2160" s="2">
        <v>7</v>
      </c>
      <c r="J2160" s="3">
        <v>31051126</v>
      </c>
      <c r="K2160">
        <f t="shared" si="74"/>
        <v>1.3775047412552699E-3</v>
      </c>
      <c r="R2160" s="12" t="str">
        <f ca="1">IFERROR(__xludf.DUMMYFUNCTION("""COMPUTED_VALUE"""),"Les couloirs du temps: Les visiteurs II ")</f>
        <v>Les couloirs du temps: Les visiteurs II </v>
      </c>
      <c r="S2160" s="12">
        <f t="shared" si="75"/>
        <v>-6967504</v>
      </c>
    </row>
    <row r="2161" spans="1:19" x14ac:dyDescent="0.3">
      <c r="A2161" s="2" t="s">
        <v>4834</v>
      </c>
      <c r="B2161" s="2">
        <v>93</v>
      </c>
      <c r="C2161" s="3">
        <v>2711210</v>
      </c>
      <c r="D2161" s="3" t="s">
        <v>6333</v>
      </c>
      <c r="E2161" s="2" t="s">
        <v>4835</v>
      </c>
      <c r="F2161" s="2" t="s">
        <v>10</v>
      </c>
      <c r="G2161" s="2" t="s">
        <v>71</v>
      </c>
      <c r="H2161" s="2">
        <v>4000000</v>
      </c>
      <c r="I2161" s="2">
        <v>5.2</v>
      </c>
      <c r="J2161" s="3">
        <v>31054924</v>
      </c>
      <c r="K2161">
        <f t="shared" si="74"/>
        <v>1.3775047412552699E-3</v>
      </c>
      <c r="R2161" s="12" t="str">
        <f ca="1">IFERROR(__xludf.DUMMYFUNCTION("""COMPUTED_VALUE"""),"Dylan Dog: Dead of Night ")</f>
        <v>Dylan Dog: Dead of Night </v>
      </c>
      <c r="S2161" s="12">
        <f t="shared" si="75"/>
        <v>3291602</v>
      </c>
    </row>
    <row r="2162" spans="1:19" x14ac:dyDescent="0.3">
      <c r="A2162" s="2" t="s">
        <v>5259</v>
      </c>
      <c r="B2162" s="2">
        <v>108</v>
      </c>
      <c r="C2162" s="3">
        <v>638476</v>
      </c>
      <c r="D2162" s="3" t="s">
        <v>5869</v>
      </c>
      <c r="E2162" s="2" t="s">
        <v>5260</v>
      </c>
      <c r="F2162" s="2" t="s">
        <v>10</v>
      </c>
      <c r="G2162" s="2" t="s">
        <v>11</v>
      </c>
      <c r="H2162" s="2">
        <v>1200000</v>
      </c>
      <c r="I2162" s="2">
        <v>6</v>
      </c>
      <c r="J2162" s="3">
        <v>31111260</v>
      </c>
      <c r="K2162">
        <f t="shared" si="74"/>
        <v>1.3775047412552699E-3</v>
      </c>
      <c r="R2162" s="12" t="str">
        <f ca="1">IFERROR(__xludf.DUMMYFUNCTION("""COMPUTED_VALUE"""),"People I Know ")</f>
        <v>People I Know </v>
      </c>
      <c r="S2162" s="12">
        <f t="shared" si="75"/>
        <v>17293982</v>
      </c>
    </row>
    <row r="2163" spans="1:19" x14ac:dyDescent="0.3">
      <c r="A2163" s="2" t="s">
        <v>1527</v>
      </c>
      <c r="B2163" s="2">
        <v>89</v>
      </c>
      <c r="C2163" s="3">
        <v>8600000</v>
      </c>
      <c r="D2163" s="3" t="s">
        <v>5849</v>
      </c>
      <c r="E2163" s="2" t="s">
        <v>1528</v>
      </c>
      <c r="F2163" s="2" t="s">
        <v>10</v>
      </c>
      <c r="G2163" s="2" t="s">
        <v>11</v>
      </c>
      <c r="H2163" s="2">
        <v>45000000</v>
      </c>
      <c r="I2163" s="2">
        <v>4.5999999999999996</v>
      </c>
      <c r="J2163" s="3">
        <v>31136950</v>
      </c>
      <c r="K2163">
        <f t="shared" si="74"/>
        <v>1.3775047412552699E-3</v>
      </c>
      <c r="R2163" s="12" t="str">
        <f ca="1">IFERROR(__xludf.DUMMYFUNCTION("""COMPUTED_VALUE"""),"The Tempest ")</f>
        <v>The Tempest </v>
      </c>
      <c r="S2163" s="12">
        <f t="shared" si="75"/>
        <v>5131298</v>
      </c>
    </row>
    <row r="2164" spans="1:19" x14ac:dyDescent="0.3">
      <c r="A2164" s="2" t="s">
        <v>5005</v>
      </c>
      <c r="B2164" s="2">
        <v>98</v>
      </c>
      <c r="C2164" s="3">
        <v>78030</v>
      </c>
      <c r="D2164" s="3" t="s">
        <v>6334</v>
      </c>
      <c r="E2164" s="2" t="s">
        <v>5006</v>
      </c>
      <c r="F2164" s="2" t="s">
        <v>10</v>
      </c>
      <c r="G2164" s="2" t="s">
        <v>11</v>
      </c>
      <c r="H2164" s="2">
        <v>2500000</v>
      </c>
      <c r="I2164" s="2">
        <v>4.5999999999999996</v>
      </c>
      <c r="J2164" s="3">
        <v>31141074</v>
      </c>
      <c r="K2164">
        <f t="shared" si="74"/>
        <v>1.3775047412552699E-3</v>
      </c>
      <c r="R2164" s="12" t="str">
        <f ca="1">IFERROR(__xludf.DUMMYFUNCTION("""COMPUTED_VALUE"""),"The Painted Veil ")</f>
        <v>The Painted Veil </v>
      </c>
      <c r="S2164" s="12">
        <f t="shared" si="75"/>
        <v>5963967</v>
      </c>
    </row>
    <row r="2165" spans="1:19" x14ac:dyDescent="0.3">
      <c r="A2165" s="2" t="s">
        <v>4595</v>
      </c>
      <c r="B2165" s="2">
        <v>81</v>
      </c>
      <c r="C2165" s="3">
        <v>29136626</v>
      </c>
      <c r="D2165" s="3" t="s">
        <v>6335</v>
      </c>
      <c r="E2165" s="2" t="s">
        <v>4596</v>
      </c>
      <c r="F2165" s="2" t="s">
        <v>10</v>
      </c>
      <c r="G2165" s="2" t="s">
        <v>11</v>
      </c>
      <c r="H2165" s="2">
        <v>4900000</v>
      </c>
      <c r="I2165" s="2">
        <v>6.9</v>
      </c>
      <c r="J2165" s="3">
        <v>31146570</v>
      </c>
      <c r="K2165">
        <f t="shared" si="74"/>
        <v>1.3775047412552699E-3</v>
      </c>
      <c r="R2165" s="12" t="str">
        <f ca="1">IFERROR(__xludf.DUMMYFUNCTION("""COMPUTED_VALUE"""),"The Baader Meinhof Complex ")</f>
        <v>The Baader Meinhof Complex </v>
      </c>
      <c r="S2165" s="12">
        <f t="shared" si="75"/>
        <v>-7723190</v>
      </c>
    </row>
    <row r="2166" spans="1:19" x14ac:dyDescent="0.3">
      <c r="A2166" s="2" t="s">
        <v>1635</v>
      </c>
      <c r="B2166" s="2">
        <v>120</v>
      </c>
      <c r="C2166" s="3">
        <v>46455802</v>
      </c>
      <c r="D2166" s="3" t="s">
        <v>6142</v>
      </c>
      <c r="E2166" s="2" t="s">
        <v>1636</v>
      </c>
      <c r="F2166" s="2" t="s">
        <v>10</v>
      </c>
      <c r="G2166" s="2" t="s">
        <v>11</v>
      </c>
      <c r="H2166" s="2">
        <v>42000000</v>
      </c>
      <c r="I2166" s="2">
        <v>6.1</v>
      </c>
      <c r="J2166" s="3">
        <v>31155435</v>
      </c>
      <c r="K2166">
        <f t="shared" si="74"/>
        <v>1.3775047412552699E-3</v>
      </c>
      <c r="R2166" s="12" t="str">
        <f ca="1">IFERROR(__xludf.DUMMYFUNCTION("""COMPUTED_VALUE"""),"Dances with Wolves ")</f>
        <v>Dances with Wolves </v>
      </c>
      <c r="S2166" s="12">
        <f t="shared" si="75"/>
        <v>23996718</v>
      </c>
    </row>
    <row r="2167" spans="1:19" x14ac:dyDescent="0.3">
      <c r="A2167" s="2" t="s">
        <v>114</v>
      </c>
      <c r="B2167" s="2">
        <v>142</v>
      </c>
      <c r="C2167" s="3">
        <v>3895664</v>
      </c>
      <c r="D2167" s="3" t="s">
        <v>5940</v>
      </c>
      <c r="E2167" s="2" t="s">
        <v>1196</v>
      </c>
      <c r="F2167" s="2" t="s">
        <v>10</v>
      </c>
      <c r="G2167" s="2" t="s">
        <v>11</v>
      </c>
      <c r="H2167" s="2">
        <v>55000000</v>
      </c>
      <c r="I2167" s="2">
        <v>8.8000000000000007</v>
      </c>
      <c r="J2167" s="3">
        <v>31165421</v>
      </c>
      <c r="K2167">
        <f t="shared" si="74"/>
        <v>1.3775047412552699E-3</v>
      </c>
      <c r="R2167" s="12" t="str">
        <f ca="1">IFERROR(__xludf.DUMMYFUNCTION("""COMPUTED_VALUE"""),"Bad Teacher ")</f>
        <v>Bad Teacher </v>
      </c>
      <c r="S2167" s="12">
        <f t="shared" si="75"/>
        <v>121337537</v>
      </c>
    </row>
    <row r="2168" spans="1:19" x14ac:dyDescent="0.3">
      <c r="A2168" s="2" t="s">
        <v>4510</v>
      </c>
      <c r="B2168" s="2">
        <v>102</v>
      </c>
      <c r="C2168" s="3">
        <v>46440491</v>
      </c>
      <c r="D2168" s="3" t="s">
        <v>1703</v>
      </c>
      <c r="E2168" s="2" t="s">
        <v>4511</v>
      </c>
      <c r="F2168" s="2" t="s">
        <v>10</v>
      </c>
      <c r="G2168" s="2" t="s">
        <v>11</v>
      </c>
      <c r="H2168" s="2">
        <v>6000000</v>
      </c>
      <c r="I2168" s="2">
        <v>7.1</v>
      </c>
      <c r="J2168" s="3">
        <v>31179516</v>
      </c>
      <c r="K2168">
        <f t="shared" si="74"/>
        <v>1.3775047412552699E-3</v>
      </c>
      <c r="R2168" s="12" t="str">
        <f ca="1">IFERROR(__xludf.DUMMYFUNCTION("""COMPUTED_VALUE"""),"Sea of Love ")</f>
        <v>Sea of Love </v>
      </c>
      <c r="S2168" s="12">
        <f t="shared" si="75"/>
        <v>17553796</v>
      </c>
    </row>
    <row r="2169" spans="1:19" x14ac:dyDescent="0.3">
      <c r="A2169" s="2" t="s">
        <v>613</v>
      </c>
      <c r="B2169" s="2">
        <v>110</v>
      </c>
      <c r="C2169" s="3">
        <v>4068087</v>
      </c>
      <c r="D2169" s="3" t="s">
        <v>6103</v>
      </c>
      <c r="E2169" s="2" t="s">
        <v>614</v>
      </c>
      <c r="F2169" s="2" t="s">
        <v>10</v>
      </c>
      <c r="G2169" s="2" t="s">
        <v>199</v>
      </c>
      <c r="H2169" s="2">
        <v>75000000</v>
      </c>
      <c r="I2169" s="2">
        <v>5.8</v>
      </c>
      <c r="J2169" s="3">
        <v>31199215</v>
      </c>
      <c r="K2169">
        <f t="shared" si="74"/>
        <v>1.3775047412552699E-3</v>
      </c>
      <c r="R2169" s="12" t="str">
        <f ca="1">IFERROR(__xludf.DUMMYFUNCTION("""COMPUTED_VALUE"""),"A Cinderella Story ")</f>
        <v>A Cinderella Story </v>
      </c>
      <c r="S2169" s="12">
        <f t="shared" si="75"/>
        <v>15751431</v>
      </c>
    </row>
    <row r="2170" spans="1:19" x14ac:dyDescent="0.3">
      <c r="A2170" s="2" t="s">
        <v>222</v>
      </c>
      <c r="B2170" s="2">
        <v>105</v>
      </c>
      <c r="C2170" s="3">
        <v>84518155</v>
      </c>
      <c r="D2170" s="3" t="s">
        <v>6019</v>
      </c>
      <c r="E2170" s="2" t="s">
        <v>529</v>
      </c>
      <c r="F2170" s="2" t="s">
        <v>10</v>
      </c>
      <c r="G2170" s="2" t="s">
        <v>11</v>
      </c>
      <c r="H2170" s="2">
        <v>95000000</v>
      </c>
      <c r="I2170" s="2">
        <v>7</v>
      </c>
      <c r="J2170" s="3">
        <v>31252964</v>
      </c>
      <c r="K2170">
        <f t="shared" si="74"/>
        <v>1.3775047412552699E-3</v>
      </c>
      <c r="R2170" s="12" t="str">
        <f ca="1">IFERROR(__xludf.DUMMYFUNCTION("""COMPUTED_VALUE"""),"Scream ")</f>
        <v>Scream </v>
      </c>
      <c r="S2170" s="12">
        <f t="shared" si="75"/>
        <v>10008532</v>
      </c>
    </row>
    <row r="2171" spans="1:19" x14ac:dyDescent="0.3">
      <c r="A2171" s="2" t="s">
        <v>59</v>
      </c>
      <c r="B2171" s="2">
        <v>110</v>
      </c>
      <c r="C2171" s="3">
        <v>46377022</v>
      </c>
      <c r="D2171" s="3" t="s">
        <v>520</v>
      </c>
      <c r="E2171" s="2" t="s">
        <v>838</v>
      </c>
      <c r="F2171" s="2" t="s">
        <v>10</v>
      </c>
      <c r="G2171" s="2" t="s">
        <v>11</v>
      </c>
      <c r="H2171" s="2">
        <v>70000000</v>
      </c>
      <c r="I2171" s="2">
        <v>7.1</v>
      </c>
      <c r="J2171" s="3">
        <v>31397498</v>
      </c>
      <c r="K2171">
        <f t="shared" si="74"/>
        <v>1.3775047412552699E-3</v>
      </c>
      <c r="R2171" s="12" t="str">
        <f ca="1">IFERROR(__xludf.DUMMYFUNCTION("""COMPUTED_VALUE"""),"Thir13en Ghosts ")</f>
        <v>Thir13en Ghosts </v>
      </c>
      <c r="S2171" s="12">
        <f t="shared" si="75"/>
        <v>32287414</v>
      </c>
    </row>
    <row r="2172" spans="1:19" x14ac:dyDescent="0.3">
      <c r="A2172" s="2" t="s">
        <v>5398</v>
      </c>
      <c r="B2172" s="2">
        <v>111</v>
      </c>
      <c r="C2172" s="3">
        <v>25167270</v>
      </c>
      <c r="D2172" s="3" t="s">
        <v>6314</v>
      </c>
      <c r="E2172" s="2" t="s">
        <v>5399</v>
      </c>
      <c r="F2172" s="2"/>
      <c r="G2172" s="2" t="s">
        <v>11</v>
      </c>
      <c r="H2172" s="2">
        <v>1000000</v>
      </c>
      <c r="I2172" s="2">
        <v>5.3</v>
      </c>
      <c r="J2172" s="3">
        <v>31452765</v>
      </c>
      <c r="K2172">
        <f t="shared" si="74"/>
        <v>1.3775047412552699E-3</v>
      </c>
      <c r="R2172" s="12" t="str">
        <f ca="1">IFERROR(__xludf.DUMMYFUNCTION("""COMPUTED_VALUE"""),"Back to the Future ")</f>
        <v>Back to the Future </v>
      </c>
      <c r="S2172" s="12">
        <f t="shared" si="75"/>
        <v>-33600000</v>
      </c>
    </row>
    <row r="2173" spans="1:19" x14ac:dyDescent="0.3">
      <c r="A2173" s="2" t="s">
        <v>1291</v>
      </c>
      <c r="B2173" s="2">
        <v>124</v>
      </c>
      <c r="C2173" s="3">
        <v>33328051</v>
      </c>
      <c r="D2173" s="3" t="s">
        <v>6154</v>
      </c>
      <c r="E2173" s="2" t="s">
        <v>1292</v>
      </c>
      <c r="F2173" s="2" t="s">
        <v>10</v>
      </c>
      <c r="G2173" s="2" t="s">
        <v>11</v>
      </c>
      <c r="H2173" s="2">
        <v>55000000</v>
      </c>
      <c r="I2173" s="2">
        <v>5.9</v>
      </c>
      <c r="J2173" s="3">
        <v>31471430</v>
      </c>
      <c r="K2173">
        <f t="shared" si="74"/>
        <v>1.3775047412552699E-3</v>
      </c>
      <c r="R2173" s="12" t="str">
        <f ca="1">IFERROR(__xludf.DUMMYFUNCTION("""COMPUTED_VALUE"""),"House on Haunted Hill ")</f>
        <v>House on Haunted Hill </v>
      </c>
      <c r="S2173" s="12">
        <f t="shared" si="75"/>
        <v>-48825346</v>
      </c>
    </row>
    <row r="2174" spans="1:19" x14ac:dyDescent="0.3">
      <c r="A2174" s="2" t="s">
        <v>1782</v>
      </c>
      <c r="B2174" s="2">
        <v>114</v>
      </c>
      <c r="C2174" s="3">
        <v>52277485</v>
      </c>
      <c r="D2174" s="3" t="s">
        <v>520</v>
      </c>
      <c r="E2174" s="2" t="s">
        <v>2774</v>
      </c>
      <c r="F2174" s="2" t="s">
        <v>10</v>
      </c>
      <c r="G2174" s="2" t="s">
        <v>11</v>
      </c>
      <c r="H2174" s="2">
        <v>22000000</v>
      </c>
      <c r="I2174" s="2">
        <v>5.8</v>
      </c>
      <c r="J2174" s="3">
        <v>31487293</v>
      </c>
      <c r="K2174">
        <f t="shared" si="74"/>
        <v>1.3775047412552699E-3</v>
      </c>
      <c r="R2174" s="12" t="str">
        <f ca="1">IFERROR(__xludf.DUMMYFUNCTION("""COMPUTED_VALUE"""),"I Can Do Bad All by Myself ")</f>
        <v>I Can Do Bad All by Myself </v>
      </c>
      <c r="S2174" s="12">
        <f t="shared" si="75"/>
        <v>-60180506</v>
      </c>
    </row>
    <row r="2175" spans="1:19" x14ac:dyDescent="0.3">
      <c r="A2175" s="2" t="s">
        <v>116</v>
      </c>
      <c r="B2175" s="2">
        <v>109</v>
      </c>
      <c r="C2175" s="3">
        <v>15988876</v>
      </c>
      <c r="D2175" s="3" t="s">
        <v>5869</v>
      </c>
      <c r="E2175" s="2" t="s">
        <v>4733</v>
      </c>
      <c r="F2175" s="2" t="s">
        <v>10</v>
      </c>
      <c r="G2175" s="2" t="s">
        <v>11</v>
      </c>
      <c r="H2175" s="2">
        <v>4500000</v>
      </c>
      <c r="I2175" s="2">
        <v>7.4</v>
      </c>
      <c r="J2175" s="3">
        <v>31493782</v>
      </c>
      <c r="K2175">
        <f t="shared" si="74"/>
        <v>1.3775047412552699E-3</v>
      </c>
      <c r="R2175" s="12" t="str">
        <f ca="1">IFERROR(__xludf.DUMMYFUNCTION("""COMPUTED_VALUE"""),"The Switch ")</f>
        <v>The Switch </v>
      </c>
      <c r="S2175" s="12">
        <f t="shared" si="75"/>
        <v>-135876227</v>
      </c>
    </row>
    <row r="2176" spans="1:19" x14ac:dyDescent="0.3">
      <c r="A2176" s="2" t="s">
        <v>1256</v>
      </c>
      <c r="B2176" s="2">
        <v>93</v>
      </c>
      <c r="C2176" s="3">
        <v>634277</v>
      </c>
      <c r="D2176" s="3" t="s">
        <v>5755</v>
      </c>
      <c r="E2176" s="2" t="s">
        <v>1257</v>
      </c>
      <c r="F2176" s="2" t="s">
        <v>10</v>
      </c>
      <c r="G2176" s="2" t="s">
        <v>11</v>
      </c>
      <c r="H2176" s="2">
        <v>62000000</v>
      </c>
      <c r="I2176" s="2">
        <v>5.5</v>
      </c>
      <c r="J2176" s="3">
        <v>31494270</v>
      </c>
      <c r="K2176">
        <f t="shared" si="74"/>
        <v>1.3775047412552699E-3</v>
      </c>
      <c r="R2176" s="12" t="str">
        <f ca="1">IFERROR(__xludf.DUMMYFUNCTION("""COMPUTED_VALUE"""),"Just Married ")</f>
        <v>Just Married </v>
      </c>
      <c r="S2176" s="12">
        <f t="shared" si="75"/>
        <v>1245438</v>
      </c>
    </row>
    <row r="2177" spans="1:19" x14ac:dyDescent="0.3">
      <c r="A2177" s="2" t="s">
        <v>2292</v>
      </c>
      <c r="B2177" s="2">
        <v>109</v>
      </c>
      <c r="C2177" s="3">
        <v>65010106</v>
      </c>
      <c r="D2177" s="3" t="s">
        <v>6062</v>
      </c>
      <c r="E2177" s="2" t="s">
        <v>2293</v>
      </c>
      <c r="F2177" s="2" t="s">
        <v>10</v>
      </c>
      <c r="G2177" s="2" t="s">
        <v>11</v>
      </c>
      <c r="H2177" s="2">
        <v>20000000</v>
      </c>
      <c r="I2177" s="2">
        <v>6.3</v>
      </c>
      <c r="J2177" s="3">
        <v>31501218</v>
      </c>
      <c r="K2177">
        <f t="shared" si="74"/>
        <v>1.3775047412552699E-3</v>
      </c>
      <c r="R2177" s="12" t="str">
        <f ca="1">IFERROR(__xludf.DUMMYFUNCTION("""COMPUTED_VALUE"""),"The Devil's Double ")</f>
        <v>The Devil's Double </v>
      </c>
      <c r="S2177" s="12">
        <f t="shared" si="75"/>
        <v>37187366</v>
      </c>
    </row>
    <row r="2178" spans="1:19" x14ac:dyDescent="0.3">
      <c r="A2178" s="2" t="s">
        <v>5319</v>
      </c>
      <c r="B2178" s="2">
        <v>100</v>
      </c>
      <c r="C2178" s="3">
        <v>22927390</v>
      </c>
      <c r="D2178" s="3" t="s">
        <v>5869</v>
      </c>
      <c r="E2178" s="2" t="s">
        <v>5320</v>
      </c>
      <c r="F2178" s="2" t="s">
        <v>10</v>
      </c>
      <c r="G2178" s="2" t="s">
        <v>11</v>
      </c>
      <c r="H2178" s="2">
        <v>1000000</v>
      </c>
      <c r="I2178" s="2">
        <v>7.2</v>
      </c>
      <c r="J2178" s="3">
        <v>31526393</v>
      </c>
      <c r="K2178">
        <f t="shared" ref="K2178:K2241" si="76">CORREL(H$2:H$3941,J$2:J$3941)</f>
        <v>1.3775047412552699E-3</v>
      </c>
      <c r="R2178" s="12" t="str">
        <f ca="1">IFERROR(__xludf.DUMMYFUNCTION("""COMPUTED_VALUE"""),"Thomas and the Magic Railroad ")</f>
        <v>Thomas and the Magic Railroad </v>
      </c>
      <c r="S2178" s="12">
        <f t="shared" si="75"/>
        <v>-14133738</v>
      </c>
    </row>
    <row r="2179" spans="1:19" x14ac:dyDescent="0.3">
      <c r="A2179" s="2" t="s">
        <v>819</v>
      </c>
      <c r="B2179" s="2">
        <v>94</v>
      </c>
      <c r="C2179" s="3">
        <v>127997349</v>
      </c>
      <c r="D2179" s="3" t="s">
        <v>6336</v>
      </c>
      <c r="E2179" s="2" t="s">
        <v>820</v>
      </c>
      <c r="F2179" s="2" t="s">
        <v>10</v>
      </c>
      <c r="G2179" s="2" t="s">
        <v>11</v>
      </c>
      <c r="H2179" s="2">
        <v>75000000</v>
      </c>
      <c r="I2179" s="2">
        <v>6.6</v>
      </c>
      <c r="J2179" s="3">
        <v>31537320</v>
      </c>
      <c r="K2179">
        <f t="shared" si="76"/>
        <v>1.3775047412552699E-3</v>
      </c>
      <c r="R2179" s="12" t="str">
        <f ca="1">IFERROR(__xludf.DUMMYFUNCTION("""COMPUTED_VALUE"""),"The Crazies ")</f>
        <v>The Crazies </v>
      </c>
      <c r="S2179" s="12">
        <f t="shared" si="75"/>
        <v>4822207</v>
      </c>
    </row>
    <row r="2180" spans="1:19" x14ac:dyDescent="0.3">
      <c r="A2180" s="2" t="s">
        <v>650</v>
      </c>
      <c r="B2180" s="2">
        <v>109</v>
      </c>
      <c r="C2180" s="3">
        <v>6842058</v>
      </c>
      <c r="D2180" s="3" t="s">
        <v>5849</v>
      </c>
      <c r="E2180" s="2" t="s">
        <v>651</v>
      </c>
      <c r="F2180" s="2" t="s">
        <v>10</v>
      </c>
      <c r="G2180" s="2" t="s">
        <v>11</v>
      </c>
      <c r="H2180" s="2">
        <v>65000000</v>
      </c>
      <c r="I2180" s="2">
        <v>4.3</v>
      </c>
      <c r="J2180" s="3">
        <v>31569268</v>
      </c>
      <c r="K2180">
        <f t="shared" si="76"/>
        <v>1.3775047412552699E-3</v>
      </c>
      <c r="R2180" s="12" t="str">
        <f ca="1">IFERROR(__xludf.DUMMYFUNCTION("""COMPUTED_VALUE"""),"Spirited Away ")</f>
        <v>Spirited Away </v>
      </c>
      <c r="S2180" s="12">
        <f t="shared" si="75"/>
        <v>-4175079</v>
      </c>
    </row>
    <row r="2181" spans="1:19" x14ac:dyDescent="0.3">
      <c r="A2181" s="2" t="s">
        <v>965</v>
      </c>
      <c r="B2181" s="2">
        <v>134</v>
      </c>
      <c r="C2181" s="3">
        <v>29655590</v>
      </c>
      <c r="D2181" s="3" t="s">
        <v>5940</v>
      </c>
      <c r="E2181" s="2" t="s">
        <v>1732</v>
      </c>
      <c r="F2181" s="2" t="s">
        <v>10</v>
      </c>
      <c r="G2181" s="2" t="s">
        <v>11</v>
      </c>
      <c r="H2181" s="2">
        <v>40000000</v>
      </c>
      <c r="I2181" s="2">
        <v>6.9</v>
      </c>
      <c r="J2181" s="3">
        <v>31584722</v>
      </c>
      <c r="K2181">
        <f t="shared" si="76"/>
        <v>1.3775047412552699E-3</v>
      </c>
      <c r="R2181" s="12" t="str">
        <f ca="1">IFERROR(__xludf.DUMMYFUNCTION("""COMPUTED_VALUE"""),"The Bounty ")</f>
        <v>The Bounty </v>
      </c>
      <c r="S2181" s="12">
        <f t="shared" si="75"/>
        <v>-14185815</v>
      </c>
    </row>
    <row r="2182" spans="1:19" x14ac:dyDescent="0.3">
      <c r="A2182" s="2" t="s">
        <v>155</v>
      </c>
      <c r="B2182" s="2">
        <v>100</v>
      </c>
      <c r="C2182" s="3">
        <v>38048637</v>
      </c>
      <c r="D2182" s="3" t="s">
        <v>6251</v>
      </c>
      <c r="E2182" s="2" t="s">
        <v>1953</v>
      </c>
      <c r="F2182" s="2" t="s">
        <v>10</v>
      </c>
      <c r="G2182" s="2" t="s">
        <v>11</v>
      </c>
      <c r="H2182" s="2">
        <v>35000000</v>
      </c>
      <c r="I2182" s="2">
        <v>6.2</v>
      </c>
      <c r="J2182" s="3">
        <v>31585300</v>
      </c>
      <c r="K2182">
        <f t="shared" si="76"/>
        <v>1.3775047412552699E-3</v>
      </c>
      <c r="R2182" s="12" t="str">
        <f ca="1">IFERROR(__xludf.DUMMYFUNCTION("""COMPUTED_VALUE"""),"The Book Thief ")</f>
        <v>The Book Thief </v>
      </c>
      <c r="S2182" s="12">
        <f t="shared" si="75"/>
        <v>-27307186</v>
      </c>
    </row>
    <row r="2183" spans="1:19" x14ac:dyDescent="0.3">
      <c r="A2183" s="2" t="s">
        <v>3779</v>
      </c>
      <c r="B2183" s="2">
        <v>89</v>
      </c>
      <c r="C2183" s="3">
        <v>46338728</v>
      </c>
      <c r="D2183" s="3" t="s">
        <v>5818</v>
      </c>
      <c r="E2183" s="2" t="s">
        <v>4042</v>
      </c>
      <c r="F2183" s="2" t="s">
        <v>10</v>
      </c>
      <c r="G2183" s="2" t="s">
        <v>11</v>
      </c>
      <c r="H2183" s="2">
        <v>10000000</v>
      </c>
      <c r="I2183" s="2">
        <v>7.8</v>
      </c>
      <c r="J2183" s="3">
        <v>31597131</v>
      </c>
      <c r="K2183">
        <f t="shared" si="76"/>
        <v>1.3775047412552699E-3</v>
      </c>
      <c r="R2183" s="12" t="str">
        <f ca="1">IFERROR(__xludf.DUMMYFUNCTION("""COMPUTED_VALUE"""),"Sex Drive ")</f>
        <v>Sex Drive </v>
      </c>
      <c r="S2183" s="12">
        <f t="shared" si="75"/>
        <v>-1288790</v>
      </c>
    </row>
    <row r="2184" spans="1:19" x14ac:dyDescent="0.3">
      <c r="A2184" s="2" t="s">
        <v>2542</v>
      </c>
      <c r="B2184" s="2">
        <v>117</v>
      </c>
      <c r="C2184" s="3">
        <v>7689458</v>
      </c>
      <c r="D2184" s="3" t="s">
        <v>5954</v>
      </c>
      <c r="E2184" s="2" t="s">
        <v>2543</v>
      </c>
      <c r="F2184" s="2" t="s">
        <v>10</v>
      </c>
      <c r="G2184" s="2" t="s">
        <v>11</v>
      </c>
      <c r="H2184" s="2">
        <v>25000000</v>
      </c>
      <c r="I2184" s="2">
        <v>6.8</v>
      </c>
      <c r="J2184" s="3">
        <v>31598308</v>
      </c>
      <c r="K2184">
        <f t="shared" si="76"/>
        <v>1.3775047412552699E-3</v>
      </c>
      <c r="R2184" s="12" t="str">
        <f ca="1">IFERROR(__xludf.DUMMYFUNCTION("""COMPUTED_VALUE"""),"Leap Year ")</f>
        <v>Leap Year </v>
      </c>
      <c r="S2184" s="12">
        <f t="shared" si="75"/>
        <v>-561524</v>
      </c>
    </row>
    <row r="2185" spans="1:19" x14ac:dyDescent="0.3">
      <c r="A2185" s="2" t="s">
        <v>108</v>
      </c>
      <c r="B2185" s="2">
        <v>104</v>
      </c>
      <c r="C2185" s="3">
        <v>19783777</v>
      </c>
      <c r="D2185" s="3" t="s">
        <v>5975</v>
      </c>
      <c r="E2185" s="2" t="s">
        <v>637</v>
      </c>
      <c r="F2185" s="2" t="s">
        <v>10</v>
      </c>
      <c r="G2185" s="2" t="s">
        <v>11</v>
      </c>
      <c r="H2185" s="2">
        <v>85000000</v>
      </c>
      <c r="I2185" s="2">
        <v>6</v>
      </c>
      <c r="J2185" s="3">
        <v>31600000</v>
      </c>
      <c r="K2185">
        <f t="shared" si="76"/>
        <v>1.3775047412552699E-3</v>
      </c>
      <c r="R2185" s="12" t="str">
        <f ca="1">IFERROR(__xludf.DUMMYFUNCTION("""COMPUTED_VALUE"""),"Take Me Home Tonight ")</f>
        <v>Take Me Home Tonight </v>
      </c>
      <c r="S2185" s="12">
        <f t="shared" si="75"/>
        <v>-36400000</v>
      </c>
    </row>
    <row r="2186" spans="1:19" x14ac:dyDescent="0.3">
      <c r="A2186" s="2" t="s">
        <v>1425</v>
      </c>
      <c r="B2186" s="2">
        <v>99</v>
      </c>
      <c r="C2186" s="3">
        <v>67900000</v>
      </c>
      <c r="D2186" s="3" t="s">
        <v>6045</v>
      </c>
      <c r="E2186" s="2" t="s">
        <v>2645</v>
      </c>
      <c r="F2186" s="2" t="s">
        <v>10</v>
      </c>
      <c r="G2186" s="2" t="s">
        <v>11</v>
      </c>
      <c r="H2186" s="2">
        <v>25000000</v>
      </c>
      <c r="I2186" s="2">
        <v>7.3</v>
      </c>
      <c r="J2186" s="3">
        <v>31607598</v>
      </c>
      <c r="K2186">
        <f t="shared" si="76"/>
        <v>1.3775047412552699E-3</v>
      </c>
      <c r="R2186" s="12" t="str">
        <f ca="1">IFERROR(__xludf.DUMMYFUNCTION("""COMPUTED_VALUE"""),"The Nutcracker ")</f>
        <v>The Nutcracker </v>
      </c>
      <c r="S2186" s="12">
        <f t="shared" si="75"/>
        <v>-2421970</v>
      </c>
    </row>
    <row r="2187" spans="1:19" x14ac:dyDescent="0.3">
      <c r="A2187" s="2" t="s">
        <v>2589</v>
      </c>
      <c r="B2187" s="2">
        <v>93</v>
      </c>
      <c r="C2187" s="3">
        <v>23014504</v>
      </c>
      <c r="D2187" s="3" t="s">
        <v>6337</v>
      </c>
      <c r="E2187" s="2" t="s">
        <v>2590</v>
      </c>
      <c r="F2187" s="2" t="s">
        <v>10</v>
      </c>
      <c r="G2187" s="2" t="s">
        <v>16</v>
      </c>
      <c r="H2187" s="2">
        <v>25000000</v>
      </c>
      <c r="I2187" s="2">
        <v>3.3</v>
      </c>
      <c r="J2187" s="3">
        <v>31655091</v>
      </c>
      <c r="K2187">
        <f t="shared" si="76"/>
        <v>1.3775047412552699E-3</v>
      </c>
      <c r="R2187" s="12" t="str">
        <f ca="1">IFERROR(__xludf.DUMMYFUNCTION("""COMPUTED_VALUE"""),"Kansas City ")</f>
        <v>Kansas City </v>
      </c>
      <c r="S2187" s="12">
        <f t="shared" si="75"/>
        <v>24236626</v>
      </c>
    </row>
    <row r="2188" spans="1:19" x14ac:dyDescent="0.3">
      <c r="A2188" s="2" t="s">
        <v>5131</v>
      </c>
      <c r="B2188" s="2">
        <v>95</v>
      </c>
      <c r="C2188" s="3">
        <v>3629758</v>
      </c>
      <c r="D2188" s="3" t="s">
        <v>6148</v>
      </c>
      <c r="E2188" s="2" t="s">
        <v>5132</v>
      </c>
      <c r="F2188" s="2" t="s">
        <v>10</v>
      </c>
      <c r="G2188" s="2" t="s">
        <v>932</v>
      </c>
      <c r="H2188" s="2">
        <v>3000000</v>
      </c>
      <c r="I2188" s="2">
        <v>7</v>
      </c>
      <c r="J2188" s="3">
        <v>31670931</v>
      </c>
      <c r="K2188">
        <f t="shared" si="76"/>
        <v>1.3775047412552699E-3</v>
      </c>
      <c r="R2188" s="12" t="str">
        <f ca="1">IFERROR(__xludf.DUMMYFUNCTION("""COMPUTED_VALUE"""),"The Amityville Horror ")</f>
        <v>The Amityville Horror </v>
      </c>
      <c r="S2188" s="12">
        <f t="shared" si="75"/>
        <v>4455802</v>
      </c>
    </row>
    <row r="2189" spans="1:19" x14ac:dyDescent="0.3">
      <c r="A2189" s="2" t="s">
        <v>1091</v>
      </c>
      <c r="B2189" s="2">
        <v>98</v>
      </c>
      <c r="C2189" s="3">
        <v>46363118</v>
      </c>
      <c r="D2189" s="3" t="s">
        <v>520</v>
      </c>
      <c r="E2189" s="2" t="s">
        <v>1092</v>
      </c>
      <c r="F2189" s="2" t="s">
        <v>10</v>
      </c>
      <c r="G2189" s="2" t="s">
        <v>11</v>
      </c>
      <c r="H2189" s="2">
        <v>60000000</v>
      </c>
      <c r="I2189" s="2">
        <v>5.3</v>
      </c>
      <c r="J2189" s="3">
        <v>31691811</v>
      </c>
      <c r="K2189">
        <f t="shared" si="76"/>
        <v>1.3775047412552699E-3</v>
      </c>
      <c r="R2189" s="12" t="str">
        <f ca="1">IFERROR(__xludf.DUMMYFUNCTION("""COMPUTED_VALUE"""),"Adaptation. ")</f>
        <v>Adaptation. </v>
      </c>
      <c r="S2189" s="12">
        <f t="shared" si="75"/>
        <v>-51104336</v>
      </c>
    </row>
    <row r="2190" spans="1:19" x14ac:dyDescent="0.3">
      <c r="A2190" s="2" t="s">
        <v>1814</v>
      </c>
      <c r="B2190" s="2">
        <v>83</v>
      </c>
      <c r="C2190" s="3">
        <v>81525</v>
      </c>
      <c r="D2190" s="3" t="s">
        <v>5849</v>
      </c>
      <c r="E2190" s="2" t="s">
        <v>1815</v>
      </c>
      <c r="F2190" s="2" t="s">
        <v>10</v>
      </c>
      <c r="G2190" s="2" t="s">
        <v>11</v>
      </c>
      <c r="H2190" s="2">
        <v>24000000</v>
      </c>
      <c r="I2190" s="2">
        <v>4.0999999999999996</v>
      </c>
      <c r="J2190" s="3">
        <v>31704416</v>
      </c>
      <c r="K2190">
        <f t="shared" si="76"/>
        <v>1.3775047412552699E-3</v>
      </c>
      <c r="R2190" s="12" t="str">
        <f ca="1">IFERROR(__xludf.DUMMYFUNCTION("""COMPUTED_VALUE"""),"Land of the Dead ")</f>
        <v>Land of the Dead </v>
      </c>
      <c r="S2190" s="12">
        <f t="shared" si="75"/>
        <v>40440491</v>
      </c>
    </row>
    <row r="2191" spans="1:19" x14ac:dyDescent="0.3">
      <c r="A2191" s="2" t="s">
        <v>5539</v>
      </c>
      <c r="B2191" s="2">
        <v>133</v>
      </c>
      <c r="C2191" s="3">
        <v>17757087</v>
      </c>
      <c r="D2191" s="3" t="s">
        <v>6220</v>
      </c>
      <c r="E2191" s="2" t="s">
        <v>5540</v>
      </c>
      <c r="F2191" s="2" t="s">
        <v>5541</v>
      </c>
      <c r="G2191" s="2" t="s">
        <v>5542</v>
      </c>
      <c r="H2191" s="2">
        <v>25000000</v>
      </c>
      <c r="I2191" s="2">
        <v>7.6</v>
      </c>
      <c r="J2191" s="3">
        <v>31743332</v>
      </c>
      <c r="K2191">
        <f t="shared" si="76"/>
        <v>1.3775047412552699E-3</v>
      </c>
      <c r="R2191" s="12" t="str">
        <f ca="1">IFERROR(__xludf.DUMMYFUNCTION("""COMPUTED_VALUE"""),"Fear and Loathing in Las Vegas ")</f>
        <v>Fear and Loathing in Las Vegas </v>
      </c>
      <c r="S2191" s="12">
        <f t="shared" si="75"/>
        <v>-70931913</v>
      </c>
    </row>
    <row r="2192" spans="1:19" x14ac:dyDescent="0.3">
      <c r="A2192" s="2" t="s">
        <v>3276</v>
      </c>
      <c r="B2192" s="2">
        <v>122</v>
      </c>
      <c r="C2192" s="2">
        <v>6855137</v>
      </c>
      <c r="D2192" s="3" t="s">
        <v>5936</v>
      </c>
      <c r="E2192" s="2" t="s">
        <v>3277</v>
      </c>
      <c r="F2192" s="2" t="s">
        <v>10</v>
      </c>
      <c r="G2192" s="2" t="s">
        <v>199</v>
      </c>
      <c r="H2192" s="2">
        <v>17000000</v>
      </c>
      <c r="I2192" s="2">
        <v>7.4</v>
      </c>
      <c r="J2192" s="3">
        <v>31768374</v>
      </c>
      <c r="K2192">
        <f t="shared" si="76"/>
        <v>1.3775047412552699E-3</v>
      </c>
      <c r="R2192" s="12" t="str">
        <f ca="1">IFERROR(__xludf.DUMMYFUNCTION("""COMPUTED_VALUE"""),"The Invention of Lying ")</f>
        <v>The Invention of Lying </v>
      </c>
      <c r="S2192" s="12">
        <f t="shared" si="75"/>
        <v>-10481845</v>
      </c>
    </row>
    <row r="2193" spans="1:19" x14ac:dyDescent="0.3">
      <c r="A2193" s="2" t="s">
        <v>282</v>
      </c>
      <c r="B2193" s="2">
        <v>115</v>
      </c>
      <c r="C2193" s="3">
        <v>10769960</v>
      </c>
      <c r="D2193" s="3" t="s">
        <v>5849</v>
      </c>
      <c r="E2193" s="2" t="s">
        <v>3648</v>
      </c>
      <c r="F2193" s="2" t="s">
        <v>10</v>
      </c>
      <c r="G2193" s="2" t="s">
        <v>11</v>
      </c>
      <c r="H2193" s="2">
        <v>13000000</v>
      </c>
      <c r="I2193" s="2">
        <v>1.6</v>
      </c>
      <c r="J2193" s="3">
        <v>31836745</v>
      </c>
      <c r="K2193">
        <f t="shared" si="76"/>
        <v>1.3775047412552699E-3</v>
      </c>
      <c r="R2193" s="12" t="str">
        <f ca="1">IFERROR(__xludf.DUMMYFUNCTION("""COMPUTED_VALUE"""),"Neighbors ")</f>
        <v>Neighbors </v>
      </c>
      <c r="S2193" s="12">
        <f t="shared" si="75"/>
        <v>-23622978</v>
      </c>
    </row>
    <row r="2194" spans="1:19" x14ac:dyDescent="0.3">
      <c r="A2194" s="2" t="s">
        <v>630</v>
      </c>
      <c r="B2194" s="2">
        <v>139</v>
      </c>
      <c r="C2194" s="3">
        <v>28972187</v>
      </c>
      <c r="D2194" s="3" t="s">
        <v>885</v>
      </c>
      <c r="E2194" s="2" t="s">
        <v>631</v>
      </c>
      <c r="F2194" s="2" t="s">
        <v>10</v>
      </c>
      <c r="G2194" s="2" t="s">
        <v>11</v>
      </c>
      <c r="H2194" s="2">
        <v>85000000</v>
      </c>
      <c r="I2194" s="2">
        <v>6.7</v>
      </c>
      <c r="J2194" s="3">
        <v>31838002</v>
      </c>
      <c r="K2194">
        <f t="shared" si="76"/>
        <v>1.3775047412552699E-3</v>
      </c>
      <c r="R2194" s="12" t="str">
        <f ca="1">IFERROR(__xludf.DUMMYFUNCTION("""COMPUTED_VALUE"""),"The Mask ")</f>
        <v>The Mask </v>
      </c>
      <c r="S2194" s="12">
        <f t="shared" si="75"/>
        <v>24167270</v>
      </c>
    </row>
    <row r="2195" spans="1:19" x14ac:dyDescent="0.3">
      <c r="A2195" s="2" t="s">
        <v>549</v>
      </c>
      <c r="B2195" s="2">
        <v>105</v>
      </c>
      <c r="C2195" s="3">
        <v>6262942</v>
      </c>
      <c r="D2195" s="3" t="s">
        <v>5961</v>
      </c>
      <c r="E2195" s="2" t="s">
        <v>1066</v>
      </c>
      <c r="F2195" s="2" t="s">
        <v>10</v>
      </c>
      <c r="G2195" s="2" t="s">
        <v>11</v>
      </c>
      <c r="H2195" s="2">
        <v>60000000</v>
      </c>
      <c r="I2195" s="2">
        <v>5.8</v>
      </c>
      <c r="J2195" s="3">
        <v>31874869</v>
      </c>
      <c r="K2195">
        <f t="shared" si="76"/>
        <v>1.3775047412552699E-3</v>
      </c>
      <c r="R2195" s="12" t="str">
        <f ca="1">IFERROR(__xludf.DUMMYFUNCTION("""COMPUTED_VALUE"""),"Big ")</f>
        <v>Big </v>
      </c>
      <c r="S2195" s="12">
        <f t="shared" si="75"/>
        <v>-21671949</v>
      </c>
    </row>
    <row r="2196" spans="1:19" x14ac:dyDescent="0.3">
      <c r="A2196" s="2" t="s">
        <v>280</v>
      </c>
      <c r="B2196" s="2">
        <v>127</v>
      </c>
      <c r="C2196" s="3">
        <v>68642452</v>
      </c>
      <c r="D2196" s="3" t="s">
        <v>6207</v>
      </c>
      <c r="E2196" s="2" t="s">
        <v>360</v>
      </c>
      <c r="F2196" s="2" t="s">
        <v>10</v>
      </c>
      <c r="G2196" s="2" t="s">
        <v>11</v>
      </c>
      <c r="H2196" s="2">
        <v>120000000</v>
      </c>
      <c r="I2196" s="2">
        <v>8</v>
      </c>
      <c r="J2196" s="3">
        <v>31899000</v>
      </c>
      <c r="K2196">
        <f t="shared" si="76"/>
        <v>1.3775047412552699E-3</v>
      </c>
      <c r="R2196" s="12" t="str">
        <f ca="1">IFERROR(__xludf.DUMMYFUNCTION("""COMPUTED_VALUE"""),"Borat: Cultural Learnings of America for Make Benefit Glorious Nation of Kazakhstan ")</f>
        <v>Borat: Cultural Learnings of America for Make Benefit Glorious Nation of Kazakhstan </v>
      </c>
      <c r="S2196" s="12">
        <f t="shared" si="75"/>
        <v>30277485</v>
      </c>
    </row>
    <row r="2197" spans="1:19" x14ac:dyDescent="0.3">
      <c r="A2197" s="2" t="s">
        <v>5360</v>
      </c>
      <c r="B2197" s="2">
        <v>97</v>
      </c>
      <c r="C2197" s="3">
        <v>85017401</v>
      </c>
      <c r="D2197" s="3" t="s">
        <v>5912</v>
      </c>
      <c r="E2197" s="2" t="s">
        <v>5361</v>
      </c>
      <c r="F2197" s="2" t="s">
        <v>10</v>
      </c>
      <c r="G2197" s="2" t="s">
        <v>11</v>
      </c>
      <c r="H2197" s="2">
        <v>1000000</v>
      </c>
      <c r="I2197" s="2">
        <v>5.5</v>
      </c>
      <c r="J2197" s="3">
        <v>31968347</v>
      </c>
      <c r="K2197">
        <f t="shared" si="76"/>
        <v>1.3775047412552699E-3</v>
      </c>
      <c r="R2197" s="12" t="str">
        <f ca="1">IFERROR(__xludf.DUMMYFUNCTION("""COMPUTED_VALUE"""),"Legally Blonde ")</f>
        <v>Legally Blonde </v>
      </c>
      <c r="S2197" s="12">
        <f t="shared" si="75"/>
        <v>11488876</v>
      </c>
    </row>
    <row r="2198" spans="1:19" x14ac:dyDescent="0.3">
      <c r="A2198" s="2" t="s">
        <v>2989</v>
      </c>
      <c r="B2198" s="2">
        <v>97</v>
      </c>
      <c r="C2198" s="3">
        <v>46978995</v>
      </c>
      <c r="D2198" s="3" t="s">
        <v>6195</v>
      </c>
      <c r="E2198" s="2" t="s">
        <v>3639</v>
      </c>
      <c r="F2198" s="2" t="s">
        <v>10</v>
      </c>
      <c r="G2198" s="2" t="s">
        <v>11</v>
      </c>
      <c r="H2198" s="2">
        <v>12000000</v>
      </c>
      <c r="I2198" s="2">
        <v>6.8</v>
      </c>
      <c r="J2198" s="3">
        <v>31990064</v>
      </c>
      <c r="K2198">
        <f t="shared" si="76"/>
        <v>1.3775047412552699E-3</v>
      </c>
      <c r="R2198" s="12" t="str">
        <f ca="1">IFERROR(__xludf.DUMMYFUNCTION("""COMPUTED_VALUE"""),"Star Trek III: The Search for Spock ")</f>
        <v>Star Trek III: The Search for Spock </v>
      </c>
      <c r="S2198" s="12">
        <f t="shared" si="75"/>
        <v>-61365723</v>
      </c>
    </row>
    <row r="2199" spans="1:19" x14ac:dyDescent="0.3">
      <c r="A2199" s="2" t="s">
        <v>795</v>
      </c>
      <c r="B2199" s="2">
        <v>125</v>
      </c>
      <c r="C2199" s="3">
        <v>15062898</v>
      </c>
      <c r="D2199" s="3" t="s">
        <v>6338</v>
      </c>
      <c r="E2199" s="2" t="s">
        <v>880</v>
      </c>
      <c r="F2199" s="2" t="s">
        <v>10</v>
      </c>
      <c r="G2199" s="2" t="s">
        <v>11</v>
      </c>
      <c r="H2199" s="2">
        <v>70000000</v>
      </c>
      <c r="I2199" s="2">
        <v>6.2</v>
      </c>
      <c r="J2199" s="3">
        <v>32000000</v>
      </c>
      <c r="K2199">
        <f t="shared" si="76"/>
        <v>1.3775047412552699E-3</v>
      </c>
      <c r="R2199" s="12" t="str">
        <f ca="1">IFERROR(__xludf.DUMMYFUNCTION("""COMPUTED_VALUE"""),"The Exorcism of Emily Rose ")</f>
        <v>The Exorcism of Emily Rose </v>
      </c>
      <c r="S2199" s="12">
        <f t="shared" si="75"/>
        <v>45010106</v>
      </c>
    </row>
    <row r="2200" spans="1:19" x14ac:dyDescent="0.3">
      <c r="A2200" s="2" t="s">
        <v>187</v>
      </c>
      <c r="B2200" s="2">
        <v>90</v>
      </c>
      <c r="C2200" s="3">
        <v>30013346</v>
      </c>
      <c r="D2200" s="3" t="s">
        <v>6251</v>
      </c>
      <c r="E2200" s="2" t="s">
        <v>315</v>
      </c>
      <c r="F2200" s="2" t="s">
        <v>10</v>
      </c>
      <c r="G2200" s="2" t="s">
        <v>11</v>
      </c>
      <c r="H2200" s="2">
        <v>130000000</v>
      </c>
      <c r="I2200" s="2">
        <v>6.7</v>
      </c>
      <c r="J2200" s="3">
        <v>32000000</v>
      </c>
      <c r="K2200">
        <f t="shared" si="76"/>
        <v>1.3775047412552699E-3</v>
      </c>
      <c r="R2200" s="12" t="str">
        <f ca="1">IFERROR(__xludf.DUMMYFUNCTION("""COMPUTED_VALUE"""),"Deuce Bigalow: Male Gigolo ")</f>
        <v>Deuce Bigalow: Male Gigolo </v>
      </c>
      <c r="S2200" s="12">
        <f t="shared" si="75"/>
        <v>21927390</v>
      </c>
    </row>
    <row r="2201" spans="1:19" x14ac:dyDescent="0.3">
      <c r="A2201" s="2" t="s">
        <v>847</v>
      </c>
      <c r="B2201" s="2">
        <v>152</v>
      </c>
      <c r="C2201" s="3">
        <v>7916887</v>
      </c>
      <c r="D2201" s="3" t="s">
        <v>5752</v>
      </c>
      <c r="E2201" s="2" t="s">
        <v>848</v>
      </c>
      <c r="F2201" s="2" t="s">
        <v>10</v>
      </c>
      <c r="G2201" s="2" t="s">
        <v>11</v>
      </c>
      <c r="H2201" s="2">
        <v>72000000</v>
      </c>
      <c r="I2201" s="2">
        <v>6.9</v>
      </c>
      <c r="J2201" s="3">
        <v>32003620</v>
      </c>
      <c r="K2201">
        <f t="shared" si="76"/>
        <v>1.3775047412552699E-3</v>
      </c>
      <c r="R2201" s="12" t="str">
        <f ca="1">IFERROR(__xludf.DUMMYFUNCTION("""COMPUTED_VALUE"""),"Left Behind ")</f>
        <v>Left Behind </v>
      </c>
      <c r="S2201" s="12">
        <f t="shared" ref="S2201:S2264" si="77">C2179-H2179</f>
        <v>52997349</v>
      </c>
    </row>
    <row r="2202" spans="1:19" x14ac:dyDescent="0.3">
      <c r="A2202" s="2" t="s">
        <v>965</v>
      </c>
      <c r="B2202" s="2">
        <v>155</v>
      </c>
      <c r="C2202" s="3">
        <v>28965197</v>
      </c>
      <c r="D2202" s="3" t="s">
        <v>5865</v>
      </c>
      <c r="E2202" s="2" t="s">
        <v>2007</v>
      </c>
      <c r="F2202" s="2" t="s">
        <v>10</v>
      </c>
      <c r="G2202" s="2" t="s">
        <v>11</v>
      </c>
      <c r="H2202" s="2">
        <v>30000000</v>
      </c>
      <c r="I2202" s="2">
        <v>6.6</v>
      </c>
      <c r="J2202" s="3">
        <v>32014289</v>
      </c>
      <c r="K2202">
        <f t="shared" si="76"/>
        <v>1.3775047412552699E-3</v>
      </c>
      <c r="R2202" s="12" t="str">
        <f ca="1">IFERROR(__xludf.DUMMYFUNCTION("""COMPUTED_VALUE"""),"The Family Stone ")</f>
        <v>The Family Stone </v>
      </c>
      <c r="S2202" s="12">
        <f t="shared" si="77"/>
        <v>-58157942</v>
      </c>
    </row>
    <row r="2203" spans="1:19" x14ac:dyDescent="0.3">
      <c r="A2203" s="2" t="s">
        <v>220</v>
      </c>
      <c r="B2203" s="2">
        <v>140</v>
      </c>
      <c r="C2203" s="3">
        <v>14100000</v>
      </c>
      <c r="D2203" s="3" t="s">
        <v>5767</v>
      </c>
      <c r="E2203" s="2" t="s">
        <v>953</v>
      </c>
      <c r="F2203" s="2" t="s">
        <v>10</v>
      </c>
      <c r="G2203" s="2" t="s">
        <v>11</v>
      </c>
      <c r="H2203" s="2">
        <v>62000000</v>
      </c>
      <c r="I2203" s="2">
        <v>7.6</v>
      </c>
      <c r="J2203" s="3">
        <v>32048809</v>
      </c>
      <c r="K2203">
        <f t="shared" si="76"/>
        <v>1.3775047412552699E-3</v>
      </c>
      <c r="R2203" s="12" t="str">
        <f ca="1">IFERROR(__xludf.DUMMYFUNCTION("""COMPUTED_VALUE"""),"Barbershop 2: Back in Business ")</f>
        <v>Barbershop 2: Back in Business </v>
      </c>
      <c r="S2203" s="12">
        <f t="shared" si="77"/>
        <v>-10344410</v>
      </c>
    </row>
    <row r="2204" spans="1:19" x14ac:dyDescent="0.3">
      <c r="A2204" s="2" t="s">
        <v>1358</v>
      </c>
      <c r="B2204" s="2">
        <v>132</v>
      </c>
      <c r="C2204" s="3">
        <v>28927720</v>
      </c>
      <c r="D2204" s="3" t="s">
        <v>6339</v>
      </c>
      <c r="E2204" s="2" t="s">
        <v>1359</v>
      </c>
      <c r="F2204" s="2" t="s">
        <v>10</v>
      </c>
      <c r="G2204" s="2" t="s">
        <v>11</v>
      </c>
      <c r="H2204" s="2">
        <v>54000000</v>
      </c>
      <c r="I2204" s="2">
        <v>8.1999999999999993</v>
      </c>
      <c r="J2204" s="3">
        <v>32051917</v>
      </c>
      <c r="K2204">
        <f t="shared" si="76"/>
        <v>1.3775047412552699E-3</v>
      </c>
      <c r="R2204" s="12" t="str">
        <f ca="1">IFERROR(__xludf.DUMMYFUNCTION("""COMPUTED_VALUE"""),"Bad Santa ")</f>
        <v>Bad Santa </v>
      </c>
      <c r="S2204" s="12">
        <f t="shared" si="77"/>
        <v>3048637</v>
      </c>
    </row>
    <row r="2205" spans="1:19" x14ac:dyDescent="0.3">
      <c r="A2205" s="2" t="s">
        <v>4659</v>
      </c>
      <c r="B2205" s="2">
        <v>86</v>
      </c>
      <c r="C2205" s="3">
        <v>10763469</v>
      </c>
      <c r="D2205" s="3" t="s">
        <v>6010</v>
      </c>
      <c r="E2205" s="2" t="s">
        <v>4788</v>
      </c>
      <c r="F2205" s="2" t="s">
        <v>10</v>
      </c>
      <c r="G2205" s="2" t="s">
        <v>11</v>
      </c>
      <c r="H2205" s="2">
        <v>4000000</v>
      </c>
      <c r="I2205" s="2">
        <v>4.7</v>
      </c>
      <c r="J2205" s="3">
        <v>32055248</v>
      </c>
      <c r="K2205">
        <f t="shared" si="76"/>
        <v>1.3775047412552699E-3</v>
      </c>
      <c r="R2205" s="12" t="str">
        <f ca="1">IFERROR(__xludf.DUMMYFUNCTION("""COMPUTED_VALUE"""),"Austin Powers: International Man of Mystery ")</f>
        <v>Austin Powers: International Man of Mystery </v>
      </c>
      <c r="S2205" s="12">
        <f t="shared" si="77"/>
        <v>36338728</v>
      </c>
    </row>
    <row r="2206" spans="1:19" x14ac:dyDescent="0.3">
      <c r="A2206" s="2" t="s">
        <v>4058</v>
      </c>
      <c r="B2206" s="2">
        <v>82</v>
      </c>
      <c r="C2206" s="3">
        <v>17750583</v>
      </c>
      <c r="D2206" s="3" t="s">
        <v>6204</v>
      </c>
      <c r="E2206" s="2" t="s">
        <v>4059</v>
      </c>
      <c r="F2206" s="2" t="s">
        <v>10</v>
      </c>
      <c r="G2206" s="2" t="s">
        <v>11</v>
      </c>
      <c r="H2206" s="2">
        <v>10000000</v>
      </c>
      <c r="I2206" s="2">
        <v>6.1</v>
      </c>
      <c r="J2206" s="3">
        <v>32095318</v>
      </c>
      <c r="K2206">
        <f t="shared" si="76"/>
        <v>1.3775047412552699E-3</v>
      </c>
      <c r="R2206" s="12" t="str">
        <f ca="1">IFERROR(__xludf.DUMMYFUNCTION("""COMPUTED_VALUE"""),"My Big Fat Greek Wedding 2 ")</f>
        <v>My Big Fat Greek Wedding 2 </v>
      </c>
      <c r="S2206" s="12">
        <f t="shared" si="77"/>
        <v>-17310542</v>
      </c>
    </row>
    <row r="2207" spans="1:19" x14ac:dyDescent="0.3">
      <c r="A2207" s="2" t="s">
        <v>3527</v>
      </c>
      <c r="B2207" s="2">
        <v>86</v>
      </c>
      <c r="C2207" s="3">
        <v>52200504</v>
      </c>
      <c r="D2207" s="3" t="s">
        <v>5818</v>
      </c>
      <c r="E2207" s="2" t="s">
        <v>4205</v>
      </c>
      <c r="F2207" s="2" t="s">
        <v>10</v>
      </c>
      <c r="G2207" s="2" t="s">
        <v>98</v>
      </c>
      <c r="H2207" s="2">
        <v>11400000</v>
      </c>
      <c r="I2207" s="2">
        <v>6.6</v>
      </c>
      <c r="J2207" s="3">
        <v>32101000</v>
      </c>
      <c r="K2207">
        <f t="shared" si="76"/>
        <v>1.3775047412552699E-3</v>
      </c>
      <c r="R2207" s="12" t="str">
        <f ca="1">IFERROR(__xludf.DUMMYFUNCTION("""COMPUTED_VALUE"""),"Diary of a Wimpy Kid: Rodrick Rules ")</f>
        <v>Diary of a Wimpy Kid: Rodrick Rules </v>
      </c>
      <c r="S2207" s="12">
        <f t="shared" si="77"/>
        <v>-65216223</v>
      </c>
    </row>
    <row r="2208" spans="1:19" x14ac:dyDescent="0.3">
      <c r="A2208" s="2" t="s">
        <v>332</v>
      </c>
      <c r="B2208" s="2">
        <v>111</v>
      </c>
      <c r="C2208" s="3">
        <v>3588432</v>
      </c>
      <c r="D2208" s="3" t="s">
        <v>6207</v>
      </c>
      <c r="E2208" s="2" t="s">
        <v>1057</v>
      </c>
      <c r="F2208" s="2" t="s">
        <v>10</v>
      </c>
      <c r="G2208" s="2" t="s">
        <v>11</v>
      </c>
      <c r="H2208" s="2">
        <v>58000000</v>
      </c>
      <c r="I2208" s="2">
        <v>7.1</v>
      </c>
      <c r="J2208" s="3">
        <v>32122249</v>
      </c>
      <c r="K2208">
        <f t="shared" si="76"/>
        <v>1.3775047412552699E-3</v>
      </c>
      <c r="R2208" s="12" t="str">
        <f ca="1">IFERROR(__xludf.DUMMYFUNCTION("""COMPUTED_VALUE"""),"Predator ")</f>
        <v>Predator </v>
      </c>
      <c r="S2208" s="12">
        <f t="shared" si="77"/>
        <v>42900000</v>
      </c>
    </row>
    <row r="2209" spans="1:19" x14ac:dyDescent="0.3">
      <c r="A2209" s="2" t="s">
        <v>5196</v>
      </c>
      <c r="B2209" s="2">
        <v>104</v>
      </c>
      <c r="C2209" s="3">
        <v>64955956</v>
      </c>
      <c r="D2209" s="3" t="s">
        <v>520</v>
      </c>
      <c r="E2209" s="2" t="s">
        <v>5197</v>
      </c>
      <c r="F2209" s="2" t="s">
        <v>10</v>
      </c>
      <c r="G2209" s="2" t="s">
        <v>11</v>
      </c>
      <c r="H2209" s="2">
        <v>1500000</v>
      </c>
      <c r="I2209" s="2">
        <v>5.8</v>
      </c>
      <c r="J2209" s="3">
        <v>32131483</v>
      </c>
      <c r="K2209">
        <f t="shared" si="76"/>
        <v>1.3775047412552699E-3</v>
      </c>
      <c r="R2209" s="12" t="str">
        <f ca="1">IFERROR(__xludf.DUMMYFUNCTION("""COMPUTED_VALUE"""),"Amadeus ")</f>
        <v>Amadeus </v>
      </c>
      <c r="S2209" s="12">
        <f t="shared" si="77"/>
        <v>-1985496</v>
      </c>
    </row>
    <row r="2210" spans="1:19" x14ac:dyDescent="0.3">
      <c r="A2210" s="2" t="s">
        <v>726</v>
      </c>
      <c r="B2210" s="2">
        <v>95</v>
      </c>
      <c r="C2210" s="3">
        <v>92401</v>
      </c>
      <c r="D2210" s="3" t="s">
        <v>5818</v>
      </c>
      <c r="E2210" s="2" t="s">
        <v>2214</v>
      </c>
      <c r="F2210" s="2" t="s">
        <v>10</v>
      </c>
      <c r="G2210" s="2" t="s">
        <v>11</v>
      </c>
      <c r="H2210" s="2">
        <v>19000000</v>
      </c>
      <c r="I2210" s="2">
        <v>5.9</v>
      </c>
      <c r="J2210" s="3">
        <v>32131830</v>
      </c>
      <c r="K2210">
        <f t="shared" si="76"/>
        <v>1.3775047412552699E-3</v>
      </c>
      <c r="R2210" s="12" t="str">
        <f ca="1">IFERROR(__xludf.DUMMYFUNCTION("""COMPUTED_VALUE"""),"Prom Night ")</f>
        <v>Prom Night </v>
      </c>
      <c r="S2210" s="12">
        <f t="shared" si="77"/>
        <v>629758</v>
      </c>
    </row>
    <row r="2211" spans="1:19" x14ac:dyDescent="0.3">
      <c r="A2211" s="2" t="s">
        <v>571</v>
      </c>
      <c r="B2211" s="2">
        <v>94</v>
      </c>
      <c r="C2211" s="2">
        <v>21005329</v>
      </c>
      <c r="D2211" s="3" t="s">
        <v>885</v>
      </c>
      <c r="E2211" s="2" t="s">
        <v>4486</v>
      </c>
      <c r="F2211" s="2" t="s">
        <v>10</v>
      </c>
      <c r="G2211" s="2" t="s">
        <v>199</v>
      </c>
      <c r="H2211" s="2">
        <v>6000000</v>
      </c>
      <c r="I2211" s="2">
        <v>6.4</v>
      </c>
      <c r="J2211" s="3">
        <v>32154410</v>
      </c>
      <c r="K2211">
        <f t="shared" si="76"/>
        <v>1.3775047412552699E-3</v>
      </c>
      <c r="R2211" s="12" t="str">
        <f ca="1">IFERROR(__xludf.DUMMYFUNCTION("""COMPUTED_VALUE"""),"Mean Girls ")</f>
        <v>Mean Girls </v>
      </c>
      <c r="S2211" s="12">
        <f t="shared" si="77"/>
        <v>-13636882</v>
      </c>
    </row>
    <row r="2212" spans="1:19" x14ac:dyDescent="0.3">
      <c r="A2212" s="2" t="s">
        <v>87</v>
      </c>
      <c r="B2212" s="2">
        <v>123</v>
      </c>
      <c r="C2212" s="3">
        <v>2849142</v>
      </c>
      <c r="D2212" s="3" t="s">
        <v>5857</v>
      </c>
      <c r="E2212" s="2" t="s">
        <v>2403</v>
      </c>
      <c r="F2212" s="2" t="s">
        <v>10</v>
      </c>
      <c r="G2212" s="2" t="s">
        <v>11</v>
      </c>
      <c r="H2212" s="2">
        <v>28000000</v>
      </c>
      <c r="I2212" s="2">
        <v>6.2</v>
      </c>
      <c r="J2212" s="3">
        <v>32178777</v>
      </c>
      <c r="K2212">
        <f t="shared" si="76"/>
        <v>1.3775047412552699E-3</v>
      </c>
      <c r="R2212" s="12" t="str">
        <f ca="1">IFERROR(__xludf.DUMMYFUNCTION("""COMPUTED_VALUE"""),"Under the Tuscan Sun ")</f>
        <v>Under the Tuscan Sun </v>
      </c>
      <c r="S2212" s="12">
        <f t="shared" si="77"/>
        <v>-23918475</v>
      </c>
    </row>
    <row r="2213" spans="1:19" x14ac:dyDescent="0.3">
      <c r="A2213" s="2" t="s">
        <v>1896</v>
      </c>
      <c r="B2213" s="2">
        <v>96</v>
      </c>
      <c r="C2213" s="3">
        <v>103738726</v>
      </c>
      <c r="D2213" s="3" t="s">
        <v>5869</v>
      </c>
      <c r="E2213" s="2" t="s">
        <v>1897</v>
      </c>
      <c r="F2213" s="2" t="s">
        <v>10</v>
      </c>
      <c r="G2213" s="2" t="s">
        <v>11</v>
      </c>
      <c r="H2213" s="2">
        <v>37000000</v>
      </c>
      <c r="I2213" s="2">
        <v>7</v>
      </c>
      <c r="J2213" s="3">
        <v>32230907</v>
      </c>
      <c r="K2213">
        <f t="shared" si="76"/>
        <v>1.3775047412552699E-3</v>
      </c>
      <c r="R2213" s="12" t="str">
        <f ca="1">IFERROR(__xludf.DUMMYFUNCTION("""COMPUTED_VALUE"""),"Gosford Park ")</f>
        <v>Gosford Park </v>
      </c>
      <c r="S2213" s="12">
        <f t="shared" si="77"/>
        <v>-7242913</v>
      </c>
    </row>
    <row r="2214" spans="1:19" x14ac:dyDescent="0.3">
      <c r="A2214" s="2" t="s">
        <v>1215</v>
      </c>
      <c r="B2214" s="2">
        <v>117</v>
      </c>
      <c r="C2214" s="3">
        <v>59992760</v>
      </c>
      <c r="D2214" s="3" t="s">
        <v>5849</v>
      </c>
      <c r="E2214" s="2" t="s">
        <v>1216</v>
      </c>
      <c r="F2214" s="2" t="s">
        <v>10</v>
      </c>
      <c r="G2214" s="2" t="s">
        <v>11</v>
      </c>
      <c r="H2214" s="2">
        <v>55000000</v>
      </c>
      <c r="I2214" s="2">
        <v>8</v>
      </c>
      <c r="J2214" s="3">
        <v>32279955</v>
      </c>
      <c r="K2214">
        <f t="shared" si="76"/>
        <v>1.3775047412552699E-3</v>
      </c>
      <c r="R2214" s="12" t="str">
        <f ca="1">IFERROR(__xludf.DUMMYFUNCTION("""COMPUTED_VALUE"""),"Peggy Sue Got Married ")</f>
        <v>Peggy Sue Got Married </v>
      </c>
      <c r="S2214" s="12">
        <f t="shared" si="77"/>
        <v>-10144863</v>
      </c>
    </row>
    <row r="2215" spans="1:19" x14ac:dyDescent="0.3">
      <c r="A2215" s="2" t="s">
        <v>3516</v>
      </c>
      <c r="B2215" s="2">
        <v>113</v>
      </c>
      <c r="C2215" s="3">
        <v>63408614</v>
      </c>
      <c r="D2215" s="3" t="s">
        <v>5760</v>
      </c>
      <c r="E2215" s="2" t="s">
        <v>4915</v>
      </c>
      <c r="F2215" s="2" t="s">
        <v>10</v>
      </c>
      <c r="G2215" s="2" t="s">
        <v>11</v>
      </c>
      <c r="H2215" s="2">
        <v>3000000</v>
      </c>
      <c r="I2215" s="2">
        <v>5.4</v>
      </c>
      <c r="J2215" s="3">
        <v>32333860</v>
      </c>
      <c r="K2215">
        <f t="shared" si="76"/>
        <v>1.3775047412552699E-3</v>
      </c>
      <c r="R2215" s="12" t="str">
        <f ca="1">IFERROR(__xludf.DUMMYFUNCTION("""COMPUTED_VALUE"""),"Birdman or (The Unexpected Virtue of Ignorance) ")</f>
        <v>Birdman or (The Unexpected Virtue of Ignorance) </v>
      </c>
      <c r="S2215" s="12">
        <f t="shared" si="77"/>
        <v>-2230040</v>
      </c>
    </row>
    <row r="2216" spans="1:19" x14ac:dyDescent="0.3">
      <c r="A2216" s="2" t="s">
        <v>1551</v>
      </c>
      <c r="B2216" s="2">
        <v>87</v>
      </c>
      <c r="C2216" s="3">
        <v>18272447</v>
      </c>
      <c r="D2216" s="3" t="s">
        <v>6041</v>
      </c>
      <c r="E2216" s="2" t="s">
        <v>1552</v>
      </c>
      <c r="F2216" s="2" t="s">
        <v>10</v>
      </c>
      <c r="G2216" s="2" t="s">
        <v>16</v>
      </c>
      <c r="H2216" s="2">
        <v>35000000</v>
      </c>
      <c r="I2216" s="2">
        <v>6.1</v>
      </c>
      <c r="J2216" s="3">
        <v>32357532</v>
      </c>
      <c r="K2216">
        <f t="shared" si="76"/>
        <v>1.3775047412552699E-3</v>
      </c>
      <c r="R2216" s="12" t="str">
        <f ca="1">IFERROR(__xludf.DUMMYFUNCTION("""COMPUTED_VALUE"""),"Blue Jasmine ")</f>
        <v>Blue Jasmine </v>
      </c>
      <c r="S2216" s="12">
        <f t="shared" si="77"/>
        <v>-56027813</v>
      </c>
    </row>
    <row r="2217" spans="1:19" x14ac:dyDescent="0.3">
      <c r="A2217" s="2" t="s">
        <v>997</v>
      </c>
      <c r="B2217" s="2">
        <v>128</v>
      </c>
      <c r="C2217" s="3">
        <v>23031390</v>
      </c>
      <c r="D2217" s="3" t="s">
        <v>5773</v>
      </c>
      <c r="E2217" s="2" t="s">
        <v>1577</v>
      </c>
      <c r="F2217" s="2" t="s">
        <v>10</v>
      </c>
      <c r="G2217" s="2" t="s">
        <v>504</v>
      </c>
      <c r="H2217" s="2">
        <v>45000000</v>
      </c>
      <c r="I2217" s="2">
        <v>7.2</v>
      </c>
      <c r="J2217" s="3">
        <v>32368960</v>
      </c>
      <c r="K2217">
        <f t="shared" si="76"/>
        <v>1.3775047412552699E-3</v>
      </c>
      <c r="R2217" s="12" t="str">
        <f ca="1">IFERROR(__xludf.DUMMYFUNCTION("""COMPUTED_VALUE"""),"United 93 ")</f>
        <v>United 93 </v>
      </c>
      <c r="S2217" s="12">
        <f t="shared" si="77"/>
        <v>-53737058</v>
      </c>
    </row>
    <row r="2218" spans="1:19" x14ac:dyDescent="0.3">
      <c r="A2218" s="2" t="s">
        <v>284</v>
      </c>
      <c r="B2218" s="2">
        <v>124</v>
      </c>
      <c r="C2218" s="3">
        <v>64685359</v>
      </c>
      <c r="D2218" s="3" t="s">
        <v>885</v>
      </c>
      <c r="E2218" s="2" t="s">
        <v>285</v>
      </c>
      <c r="F2218" s="2" t="s">
        <v>10</v>
      </c>
      <c r="G2218" s="2" t="s">
        <v>16</v>
      </c>
      <c r="H2218" s="2">
        <v>130000000</v>
      </c>
      <c r="I2218" s="2">
        <v>6</v>
      </c>
      <c r="J2218" s="3">
        <v>32391374</v>
      </c>
      <c r="K2218">
        <f t="shared" si="76"/>
        <v>1.3775047412552699E-3</v>
      </c>
      <c r="R2218" s="12" t="str">
        <f ca="1">IFERROR(__xludf.DUMMYFUNCTION("""COMPUTED_VALUE"""),"Honey ")</f>
        <v>Honey </v>
      </c>
      <c r="S2218" s="12">
        <f t="shared" si="77"/>
        <v>-51357548</v>
      </c>
    </row>
    <row r="2219" spans="1:19" x14ac:dyDescent="0.3">
      <c r="A2219" s="2" t="s">
        <v>3608</v>
      </c>
      <c r="B2219" s="2">
        <v>117</v>
      </c>
      <c r="C2219" s="3">
        <v>25200412</v>
      </c>
      <c r="D2219" s="3" t="s">
        <v>5849</v>
      </c>
      <c r="E2219" s="2" t="s">
        <v>3609</v>
      </c>
      <c r="F2219" s="2" t="s">
        <v>10</v>
      </c>
      <c r="G2219" s="2" t="s">
        <v>2336</v>
      </c>
      <c r="H2219" s="2">
        <v>12000000</v>
      </c>
      <c r="I2219" s="2">
        <v>6.9</v>
      </c>
      <c r="J2219" s="3">
        <v>32416109</v>
      </c>
      <c r="K2219">
        <f t="shared" si="76"/>
        <v>1.3775047412552699E-3</v>
      </c>
      <c r="R2219" s="12" t="str">
        <f ca="1">IFERROR(__xludf.DUMMYFUNCTION("""COMPUTED_VALUE"""),"Spy Hard ")</f>
        <v>Spy Hard </v>
      </c>
      <c r="S2219" s="12">
        <f t="shared" si="77"/>
        <v>84017401</v>
      </c>
    </row>
    <row r="2220" spans="1:19" x14ac:dyDescent="0.3">
      <c r="A2220" s="2" t="s">
        <v>4695</v>
      </c>
      <c r="B2220" s="2">
        <v>89</v>
      </c>
      <c r="C2220" s="3">
        <v>76261036</v>
      </c>
      <c r="D2220" s="3" t="s">
        <v>6046</v>
      </c>
      <c r="E2220" s="2" t="s">
        <v>5101</v>
      </c>
      <c r="F2220" s="2" t="s">
        <v>10</v>
      </c>
      <c r="G2220" s="2" t="s">
        <v>11</v>
      </c>
      <c r="H2220" s="2">
        <v>2000000</v>
      </c>
      <c r="I2220" s="2">
        <v>6.8</v>
      </c>
      <c r="J2220" s="3">
        <v>32453345</v>
      </c>
      <c r="K2220">
        <f t="shared" si="76"/>
        <v>1.3775047412552699E-3</v>
      </c>
      <c r="R2220" s="12" t="str">
        <f ca="1">IFERROR(__xludf.DUMMYFUNCTION("""COMPUTED_VALUE"""),"The Fog ")</f>
        <v>The Fog </v>
      </c>
      <c r="S2220" s="12">
        <f t="shared" si="77"/>
        <v>34978995</v>
      </c>
    </row>
    <row r="2221" spans="1:19" x14ac:dyDescent="0.3">
      <c r="A2221" s="2" t="s">
        <v>4268</v>
      </c>
      <c r="B2221" s="2">
        <v>88</v>
      </c>
      <c r="C2221" s="3">
        <v>14060950</v>
      </c>
      <c r="D2221" s="3" t="s">
        <v>5849</v>
      </c>
      <c r="E2221" s="2" t="s">
        <v>4448</v>
      </c>
      <c r="F2221" s="2" t="s">
        <v>10</v>
      </c>
      <c r="G2221" s="2" t="s">
        <v>11</v>
      </c>
      <c r="H2221" s="2">
        <v>6500000</v>
      </c>
      <c r="I2221" s="2">
        <v>5.9</v>
      </c>
      <c r="J2221" s="3">
        <v>32519322</v>
      </c>
      <c r="K2221">
        <f t="shared" si="76"/>
        <v>1.3775047412552699E-3</v>
      </c>
      <c r="R2221" s="12" t="str">
        <f ca="1">IFERROR(__xludf.DUMMYFUNCTION("""COMPUTED_VALUE"""),"Soul Surfer ")</f>
        <v>Soul Surfer </v>
      </c>
      <c r="S2221" s="12">
        <f t="shared" si="77"/>
        <v>-54937102</v>
      </c>
    </row>
    <row r="2222" spans="1:19" x14ac:dyDescent="0.3">
      <c r="A2222" s="2" t="s">
        <v>104</v>
      </c>
      <c r="B2222" s="2">
        <v>127</v>
      </c>
      <c r="C2222" s="3">
        <v>3650677</v>
      </c>
      <c r="D2222" s="3" t="s">
        <v>5767</v>
      </c>
      <c r="E2222" s="2" t="s">
        <v>1009</v>
      </c>
      <c r="F2222" s="2" t="s">
        <v>10</v>
      </c>
      <c r="G2222" s="2" t="s">
        <v>11</v>
      </c>
      <c r="H2222" s="2">
        <v>63000000</v>
      </c>
      <c r="I2222" s="2">
        <v>8.1</v>
      </c>
      <c r="J2222" s="3">
        <v>32522352</v>
      </c>
      <c r="K2222">
        <f t="shared" si="76"/>
        <v>1.3775047412552699E-3</v>
      </c>
      <c r="R2222" s="12" t="str">
        <f ca="1">IFERROR(__xludf.DUMMYFUNCTION("""COMPUTED_VALUE"""),"Observe and Report ")</f>
        <v>Observe and Report </v>
      </c>
      <c r="S2222" s="12">
        <f t="shared" si="77"/>
        <v>-99986654</v>
      </c>
    </row>
    <row r="2223" spans="1:19" x14ac:dyDescent="0.3">
      <c r="A2223" s="2" t="s">
        <v>5073</v>
      </c>
      <c r="B2223" s="2">
        <v>89</v>
      </c>
      <c r="C2223" s="3">
        <v>73661010</v>
      </c>
      <c r="D2223" s="3" t="s">
        <v>5752</v>
      </c>
      <c r="E2223" s="2" t="s">
        <v>5074</v>
      </c>
      <c r="F2223" s="2" t="s">
        <v>10</v>
      </c>
      <c r="G2223" s="2" t="s">
        <v>71</v>
      </c>
      <c r="H2223" s="2">
        <v>2000000</v>
      </c>
      <c r="I2223" s="2">
        <v>7.2</v>
      </c>
      <c r="J2223" s="3">
        <v>32541719</v>
      </c>
      <c r="K2223">
        <f t="shared" si="76"/>
        <v>1.3775047412552699E-3</v>
      </c>
      <c r="R2223" s="12" t="str">
        <f ca="1">IFERROR(__xludf.DUMMYFUNCTION("""COMPUTED_VALUE"""),"Conan the Destroyer ")</f>
        <v>Conan the Destroyer </v>
      </c>
      <c r="S2223" s="12">
        <f t="shared" si="77"/>
        <v>-64083113</v>
      </c>
    </row>
    <row r="2224" spans="1:19" x14ac:dyDescent="0.3">
      <c r="A2224" s="2" t="s">
        <v>3811</v>
      </c>
      <c r="B2224" s="2">
        <v>89</v>
      </c>
      <c r="C2224" s="3">
        <v>22913677</v>
      </c>
      <c r="D2224" s="3" t="s">
        <v>6151</v>
      </c>
      <c r="E2224" s="2" t="s">
        <v>5014</v>
      </c>
      <c r="F2224" s="2" t="s">
        <v>10</v>
      </c>
      <c r="G2224" s="2" t="s">
        <v>11</v>
      </c>
      <c r="H2224" s="2">
        <v>2500000</v>
      </c>
      <c r="I2224" s="2">
        <v>7.1</v>
      </c>
      <c r="J2224" s="3">
        <v>32553210</v>
      </c>
      <c r="K2224">
        <f t="shared" si="76"/>
        <v>1.3775047412552699E-3</v>
      </c>
      <c r="R2224" s="12" t="str">
        <f ca="1">IFERROR(__xludf.DUMMYFUNCTION("""COMPUTED_VALUE"""),"Raging Bull ")</f>
        <v>Raging Bull </v>
      </c>
      <c r="S2224" s="12">
        <f t="shared" si="77"/>
        <v>-1034803</v>
      </c>
    </row>
    <row r="2225" spans="1:19" x14ac:dyDescent="0.3">
      <c r="A2225" s="2" t="s">
        <v>2759</v>
      </c>
      <c r="B2225" s="2">
        <v>109</v>
      </c>
      <c r="C2225" s="3">
        <v>2474000</v>
      </c>
      <c r="D2225" s="3" t="s">
        <v>6044</v>
      </c>
      <c r="E2225" s="2" t="s">
        <v>4939</v>
      </c>
      <c r="F2225" s="2" t="s">
        <v>10</v>
      </c>
      <c r="G2225" s="2" t="s">
        <v>11</v>
      </c>
      <c r="H2225" s="2">
        <v>3000000</v>
      </c>
      <c r="I2225" s="2">
        <v>6</v>
      </c>
      <c r="J2225" s="3">
        <v>32598931</v>
      </c>
      <c r="K2225">
        <f t="shared" si="76"/>
        <v>1.3775047412552699E-3</v>
      </c>
      <c r="R2225" s="12" t="str">
        <f ca="1">IFERROR(__xludf.DUMMYFUNCTION("""COMPUTED_VALUE"""),"Love Happens ")</f>
        <v>Love Happens </v>
      </c>
      <c r="S2225" s="12">
        <f t="shared" si="77"/>
        <v>-47900000</v>
      </c>
    </row>
    <row r="2226" spans="1:19" x14ac:dyDescent="0.3">
      <c r="A2226" s="2" t="s">
        <v>810</v>
      </c>
      <c r="B2226" s="2">
        <v>104</v>
      </c>
      <c r="C2226" s="3">
        <v>102608827</v>
      </c>
      <c r="D2226" s="3" t="s">
        <v>885</v>
      </c>
      <c r="E2226" s="2" t="s">
        <v>2464</v>
      </c>
      <c r="F2226" s="2" t="s">
        <v>10</v>
      </c>
      <c r="G2226" s="2" t="s">
        <v>11</v>
      </c>
      <c r="H2226" s="2">
        <v>25000000</v>
      </c>
      <c r="I2226" s="2">
        <v>5.7</v>
      </c>
      <c r="J2226" s="3">
        <v>32600000</v>
      </c>
      <c r="K2226">
        <f t="shared" si="76"/>
        <v>1.3775047412552699E-3</v>
      </c>
      <c r="R2226" s="12" t="str">
        <f ca="1">IFERROR(__xludf.DUMMYFUNCTION("""COMPUTED_VALUE"""),"Young Sherlock Holmes ")</f>
        <v>Young Sherlock Holmes </v>
      </c>
      <c r="S2226" s="12">
        <f t="shared" si="77"/>
        <v>-25072280</v>
      </c>
    </row>
    <row r="2227" spans="1:19" x14ac:dyDescent="0.3">
      <c r="A2227" s="2" t="s">
        <v>128</v>
      </c>
      <c r="B2227" s="2">
        <v>151</v>
      </c>
      <c r="C2227" s="3">
        <v>1569918</v>
      </c>
      <c r="D2227" s="3" t="s">
        <v>6007</v>
      </c>
      <c r="E2227" s="2" t="s">
        <v>563</v>
      </c>
      <c r="F2227" s="2" t="s">
        <v>10</v>
      </c>
      <c r="G2227" s="2" t="s">
        <v>11</v>
      </c>
      <c r="H2227" s="2">
        <v>90000000</v>
      </c>
      <c r="I2227" s="2">
        <v>8.5</v>
      </c>
      <c r="J2227" s="3">
        <v>32616869</v>
      </c>
      <c r="K2227">
        <f t="shared" si="76"/>
        <v>1.3775047412552699E-3</v>
      </c>
      <c r="R2227" s="12" t="str">
        <f ca="1">IFERROR(__xludf.DUMMYFUNCTION("""COMPUTED_VALUE"""),"Fame ")</f>
        <v>Fame </v>
      </c>
      <c r="S2227" s="12">
        <f t="shared" si="77"/>
        <v>6763469</v>
      </c>
    </row>
    <row r="2228" spans="1:19" x14ac:dyDescent="0.3">
      <c r="A2228" s="2" t="s">
        <v>5498</v>
      </c>
      <c r="B2228" s="2">
        <v>91</v>
      </c>
      <c r="C2228" s="3">
        <v>38176108</v>
      </c>
      <c r="D2228" s="3" t="s">
        <v>5773</v>
      </c>
      <c r="E2228" s="2" t="s">
        <v>5499</v>
      </c>
      <c r="F2228" s="2" t="s">
        <v>10</v>
      </c>
      <c r="G2228" s="2" t="s">
        <v>11</v>
      </c>
      <c r="H2228" s="2">
        <v>500000</v>
      </c>
      <c r="I2228" s="2">
        <v>5.3</v>
      </c>
      <c r="J2228" s="3">
        <v>32645546</v>
      </c>
      <c r="K2228">
        <f t="shared" si="76"/>
        <v>1.3775047412552699E-3</v>
      </c>
      <c r="R2228" s="12" t="str">
        <f ca="1">IFERROR(__xludf.DUMMYFUNCTION("""COMPUTED_VALUE"""),"127 Hours ")</f>
        <v>127 Hours </v>
      </c>
      <c r="S2228" s="12">
        <f t="shared" si="77"/>
        <v>7750583</v>
      </c>
    </row>
    <row r="2229" spans="1:19" x14ac:dyDescent="0.3">
      <c r="A2229" s="2" t="s">
        <v>2962</v>
      </c>
      <c r="B2229" s="2">
        <v>96</v>
      </c>
      <c r="C2229" s="3">
        <v>25138292</v>
      </c>
      <c r="D2229" s="3" t="s">
        <v>5795</v>
      </c>
      <c r="E2229" s="2" t="s">
        <v>4539</v>
      </c>
      <c r="F2229" s="2" t="s">
        <v>10</v>
      </c>
      <c r="G2229" s="2" t="s">
        <v>11</v>
      </c>
      <c r="H2229" s="2">
        <v>6000000</v>
      </c>
      <c r="I2229" s="2">
        <v>6.7</v>
      </c>
      <c r="J2229" s="3">
        <v>32662299</v>
      </c>
      <c r="K2229">
        <f t="shared" si="76"/>
        <v>1.3775047412552699E-3</v>
      </c>
      <c r="R2229" s="12" t="str">
        <f ca="1">IFERROR(__xludf.DUMMYFUNCTION("""COMPUTED_VALUE"""),"Small Time Crooks ")</f>
        <v>Small Time Crooks </v>
      </c>
      <c r="S2229" s="12">
        <f t="shared" si="77"/>
        <v>40800504</v>
      </c>
    </row>
    <row r="2230" spans="1:19" x14ac:dyDescent="0.3">
      <c r="A2230" s="2" t="s">
        <v>4287</v>
      </c>
      <c r="B2230" s="2">
        <v>170</v>
      </c>
      <c r="C2230" s="3">
        <v>124494</v>
      </c>
      <c r="D2230" s="3" t="s">
        <v>885</v>
      </c>
      <c r="E2230" s="2" t="s">
        <v>5447</v>
      </c>
      <c r="F2230" s="2" t="s">
        <v>10</v>
      </c>
      <c r="G2230" s="2" t="s">
        <v>11</v>
      </c>
      <c r="H2230" s="2">
        <v>700000</v>
      </c>
      <c r="I2230" s="2">
        <v>8.3000000000000007</v>
      </c>
      <c r="J2230" s="3">
        <v>32694788</v>
      </c>
      <c r="K2230">
        <f t="shared" si="76"/>
        <v>1.3775047412552699E-3</v>
      </c>
      <c r="R2230" s="12" t="str">
        <f ca="1">IFERROR(__xludf.DUMMYFUNCTION("""COMPUTED_VALUE"""),"Center Stage ")</f>
        <v>Center Stage </v>
      </c>
      <c r="S2230" s="12">
        <f t="shared" si="77"/>
        <v>-54411568</v>
      </c>
    </row>
    <row r="2231" spans="1:19" x14ac:dyDescent="0.3">
      <c r="A2231" s="2" t="s">
        <v>12</v>
      </c>
      <c r="B2231" s="2">
        <v>123</v>
      </c>
      <c r="C2231" s="3">
        <v>15962471</v>
      </c>
      <c r="D2231" s="3" t="s">
        <v>5853</v>
      </c>
      <c r="E2231" s="2" t="s">
        <v>1699</v>
      </c>
      <c r="F2231" s="2" t="s">
        <v>10</v>
      </c>
      <c r="G2231" s="2" t="s">
        <v>11</v>
      </c>
      <c r="H2231" s="2">
        <v>34000000</v>
      </c>
      <c r="I2231" s="2">
        <v>6.1</v>
      </c>
      <c r="J2231" s="3">
        <v>32701088</v>
      </c>
      <c r="K2231">
        <f t="shared" si="76"/>
        <v>1.3775047412552699E-3</v>
      </c>
      <c r="R2231" s="12" t="str">
        <f ca="1">IFERROR(__xludf.DUMMYFUNCTION("""COMPUTED_VALUE"""),"Love the Coopers ")</f>
        <v>Love the Coopers </v>
      </c>
      <c r="S2231" s="12">
        <f t="shared" si="77"/>
        <v>63455956</v>
      </c>
    </row>
    <row r="2232" spans="1:19" x14ac:dyDescent="0.3">
      <c r="A2232" s="2" t="s">
        <v>1960</v>
      </c>
      <c r="B2232" s="2">
        <v>87</v>
      </c>
      <c r="C2232" s="3">
        <v>38037513</v>
      </c>
      <c r="D2232" s="3" t="s">
        <v>5869</v>
      </c>
      <c r="E2232" s="2" t="s">
        <v>1961</v>
      </c>
      <c r="F2232" s="2" t="s">
        <v>10</v>
      </c>
      <c r="G2232" s="2" t="s">
        <v>1008</v>
      </c>
      <c r="H2232" s="2">
        <v>34000000</v>
      </c>
      <c r="I2232" s="2">
        <v>6.3</v>
      </c>
      <c r="J2232" s="3">
        <v>32721635</v>
      </c>
      <c r="K2232">
        <f t="shared" si="76"/>
        <v>1.3775047412552699E-3</v>
      </c>
      <c r="R2232" s="12" t="str">
        <f ca="1">IFERROR(__xludf.DUMMYFUNCTION("""COMPUTED_VALUE"""),"Catch That Kid ")</f>
        <v>Catch That Kid </v>
      </c>
      <c r="S2232" s="12">
        <f t="shared" si="77"/>
        <v>-18907599</v>
      </c>
    </row>
    <row r="2233" spans="1:19" x14ac:dyDescent="0.3">
      <c r="A2233" s="2" t="s">
        <v>5183</v>
      </c>
      <c r="B2233" s="2">
        <v>92</v>
      </c>
      <c r="C2233" s="3">
        <v>6241697</v>
      </c>
      <c r="D2233" s="3" t="s">
        <v>6340</v>
      </c>
      <c r="E2233" s="2" t="s">
        <v>5184</v>
      </c>
      <c r="F2233" s="2" t="s">
        <v>10</v>
      </c>
      <c r="G2233" s="2" t="s">
        <v>11</v>
      </c>
      <c r="H2233" s="2">
        <v>1100000</v>
      </c>
      <c r="I2233" s="2">
        <v>6.8</v>
      </c>
      <c r="J2233" s="3">
        <v>32741596</v>
      </c>
      <c r="K2233">
        <f t="shared" si="76"/>
        <v>1.3775047412552699E-3</v>
      </c>
      <c r="R2233" s="12" t="str">
        <f ca="1">IFERROR(__xludf.DUMMYFUNCTION("""COMPUTED_VALUE"""),"Life as a House ")</f>
        <v>Life as a House </v>
      </c>
      <c r="S2233" s="12">
        <f t="shared" si="77"/>
        <v>15005329</v>
      </c>
    </row>
    <row r="2234" spans="1:19" x14ac:dyDescent="0.3">
      <c r="A2234" s="2" t="s">
        <v>1894</v>
      </c>
      <c r="B2234" s="2">
        <v>110</v>
      </c>
      <c r="C2234" s="3">
        <v>28876924</v>
      </c>
      <c r="D2234" s="3" t="s">
        <v>6220</v>
      </c>
      <c r="E2234" s="2" t="s">
        <v>1895</v>
      </c>
      <c r="F2234" s="2" t="s">
        <v>10</v>
      </c>
      <c r="G2234" s="2" t="s">
        <v>11</v>
      </c>
      <c r="H2234" s="2">
        <v>40000000</v>
      </c>
      <c r="I2234" s="2">
        <v>5.7</v>
      </c>
      <c r="J2234" s="3">
        <v>32774834</v>
      </c>
      <c r="K2234">
        <f t="shared" si="76"/>
        <v>1.3775047412552699E-3</v>
      </c>
      <c r="R2234" s="12" t="str">
        <f ca="1">IFERROR(__xludf.DUMMYFUNCTION("""COMPUTED_VALUE"""),"Steve Jobs ")</f>
        <v>Steve Jobs </v>
      </c>
      <c r="S2234" s="12">
        <f t="shared" si="77"/>
        <v>-25150858</v>
      </c>
    </row>
    <row r="2235" spans="1:19" x14ac:dyDescent="0.3">
      <c r="A2235" s="2" t="s">
        <v>85</v>
      </c>
      <c r="B2235" s="2">
        <v>103</v>
      </c>
      <c r="C2235" s="3">
        <v>6201757</v>
      </c>
      <c r="D2235" s="3" t="s">
        <v>6341</v>
      </c>
      <c r="E2235" s="2" t="s">
        <v>86</v>
      </c>
      <c r="F2235" s="2" t="s">
        <v>10</v>
      </c>
      <c r="G2235" s="2" t="s">
        <v>11</v>
      </c>
      <c r="H2235" s="2">
        <v>200000000</v>
      </c>
      <c r="I2235" s="2">
        <v>8.3000000000000007</v>
      </c>
      <c r="J2235" s="3">
        <v>32800000</v>
      </c>
      <c r="K2235">
        <f t="shared" si="76"/>
        <v>1.3775047412552699E-3</v>
      </c>
      <c r="R2235" s="12" t="str">
        <f ca="1">IFERROR(__xludf.DUMMYFUNCTION("""COMPUTED_VALUE"""),"I Love You, Beth Cooper ")</f>
        <v>I Love You, Beth Cooper </v>
      </c>
      <c r="S2235" s="12">
        <f t="shared" si="77"/>
        <v>66738726</v>
      </c>
    </row>
    <row r="2236" spans="1:19" x14ac:dyDescent="0.3">
      <c r="A2236" s="2" t="s">
        <v>4268</v>
      </c>
      <c r="B2236" s="2">
        <v>91</v>
      </c>
      <c r="C2236" s="3">
        <v>10725228</v>
      </c>
      <c r="D2236" s="3" t="s">
        <v>5913</v>
      </c>
      <c r="E2236" s="2" t="s">
        <v>5590</v>
      </c>
      <c r="F2236" s="2" t="s">
        <v>10</v>
      </c>
      <c r="G2236" s="2" t="s">
        <v>11</v>
      </c>
      <c r="H2236" s="2">
        <v>250000</v>
      </c>
      <c r="I2236" s="2">
        <v>6.9</v>
      </c>
      <c r="J2236" s="3">
        <v>32853640</v>
      </c>
      <c r="K2236">
        <f t="shared" si="76"/>
        <v>1.3775047412552699E-3</v>
      </c>
      <c r="R2236" s="12" t="str">
        <f ca="1">IFERROR(__xludf.DUMMYFUNCTION("""COMPUTED_VALUE"""),"Youth in Revolt ")</f>
        <v>Youth in Revolt </v>
      </c>
      <c r="S2236" s="12">
        <f t="shared" si="77"/>
        <v>4992760</v>
      </c>
    </row>
    <row r="2237" spans="1:19" x14ac:dyDescent="0.3">
      <c r="A2237" s="2" t="s">
        <v>2169</v>
      </c>
      <c r="B2237" s="2">
        <v>106</v>
      </c>
      <c r="C2237" s="3">
        <v>1027119</v>
      </c>
      <c r="D2237" s="3" t="s">
        <v>6342</v>
      </c>
      <c r="E2237" s="2" t="s">
        <v>2170</v>
      </c>
      <c r="F2237" s="2" t="s">
        <v>10</v>
      </c>
      <c r="G2237" s="2" t="s">
        <v>11</v>
      </c>
      <c r="H2237" s="2">
        <v>31000000</v>
      </c>
      <c r="I2237" s="2">
        <v>6.5</v>
      </c>
      <c r="J2237" s="3">
        <v>32885565</v>
      </c>
      <c r="K2237">
        <f t="shared" si="76"/>
        <v>1.3775047412552699E-3</v>
      </c>
      <c r="R2237" s="12" t="str">
        <f ca="1">IFERROR(__xludf.DUMMYFUNCTION("""COMPUTED_VALUE"""),"The Legend of the Lone Ranger ")</f>
        <v>The Legend of the Lone Ranger </v>
      </c>
      <c r="S2237" s="12">
        <f t="shared" si="77"/>
        <v>60408614</v>
      </c>
    </row>
    <row r="2238" spans="1:19" x14ac:dyDescent="0.3">
      <c r="A2238" s="2" t="s">
        <v>5568</v>
      </c>
      <c r="B2238" s="2">
        <v>90</v>
      </c>
      <c r="C2238" s="3">
        <v>3609278</v>
      </c>
      <c r="D2238" s="3" t="s">
        <v>6343</v>
      </c>
      <c r="E2238" s="2" t="s">
        <v>5569</v>
      </c>
      <c r="F2238" s="2" t="s">
        <v>10</v>
      </c>
      <c r="G2238" s="2" t="s">
        <v>11</v>
      </c>
      <c r="H2238" s="2">
        <v>350000</v>
      </c>
      <c r="I2238" s="2">
        <v>4.7</v>
      </c>
      <c r="J2238" s="3">
        <v>32940507</v>
      </c>
      <c r="K2238">
        <f t="shared" si="76"/>
        <v>1.3775047412552699E-3</v>
      </c>
      <c r="R2238" s="12" t="str">
        <f ca="1">IFERROR(__xludf.DUMMYFUNCTION("""COMPUTED_VALUE"""),"The Tailor of Panama ")</f>
        <v>The Tailor of Panama </v>
      </c>
      <c r="S2238" s="12">
        <f t="shared" si="77"/>
        <v>-16727553</v>
      </c>
    </row>
    <row r="2239" spans="1:19" x14ac:dyDescent="0.3">
      <c r="A2239" s="2" t="s">
        <v>4621</v>
      </c>
      <c r="B2239" s="2">
        <v>94</v>
      </c>
      <c r="C2239" s="3">
        <v>52000688</v>
      </c>
      <c r="D2239" s="3" t="s">
        <v>520</v>
      </c>
      <c r="E2239" s="2" t="s">
        <v>4622</v>
      </c>
      <c r="F2239" s="2" t="s">
        <v>10</v>
      </c>
      <c r="G2239" s="2" t="s">
        <v>11</v>
      </c>
      <c r="H2239" s="2">
        <v>5000000</v>
      </c>
      <c r="I2239" s="2">
        <v>5.0999999999999996</v>
      </c>
      <c r="J2239" s="3">
        <v>32983713</v>
      </c>
      <c r="K2239">
        <f t="shared" si="76"/>
        <v>1.3775047412552699E-3</v>
      </c>
      <c r="R2239" s="12" t="str">
        <f ca="1">IFERROR(__xludf.DUMMYFUNCTION("""COMPUTED_VALUE"""),"Getaway ")</f>
        <v>Getaway </v>
      </c>
      <c r="S2239" s="12">
        <f t="shared" si="77"/>
        <v>-21968610</v>
      </c>
    </row>
    <row r="2240" spans="1:19" x14ac:dyDescent="0.3">
      <c r="A2240" s="2" t="s">
        <v>742</v>
      </c>
      <c r="B2240" s="2">
        <v>139</v>
      </c>
      <c r="C2240" s="3">
        <v>52066000</v>
      </c>
      <c r="D2240" s="3" t="s">
        <v>6084</v>
      </c>
      <c r="E2240" s="2" t="s">
        <v>2475</v>
      </c>
      <c r="F2240" s="2" t="s">
        <v>10</v>
      </c>
      <c r="G2240" s="2" t="s">
        <v>11</v>
      </c>
      <c r="H2240" s="2">
        <v>22000000</v>
      </c>
      <c r="I2240" s="2">
        <v>7.5</v>
      </c>
      <c r="J2240" s="3">
        <v>33000000</v>
      </c>
      <c r="K2240">
        <f t="shared" si="76"/>
        <v>1.3775047412552699E-3</v>
      </c>
      <c r="R2240" s="12" t="str">
        <f ca="1">IFERROR(__xludf.DUMMYFUNCTION("""COMPUTED_VALUE"""),"The Ice Storm ")</f>
        <v>The Ice Storm </v>
      </c>
      <c r="S2240" s="12">
        <f t="shared" si="77"/>
        <v>-65314641</v>
      </c>
    </row>
    <row r="2241" spans="1:19" x14ac:dyDescent="0.3">
      <c r="A2241" s="2" t="s">
        <v>83</v>
      </c>
      <c r="B2241" s="2">
        <v>124</v>
      </c>
      <c r="C2241" s="3">
        <v>19693891</v>
      </c>
      <c r="D2241" s="3" t="s">
        <v>6344</v>
      </c>
      <c r="E2241" s="2" t="s">
        <v>794</v>
      </c>
      <c r="F2241" s="2" t="s">
        <v>10</v>
      </c>
      <c r="G2241" s="2" t="s">
        <v>11</v>
      </c>
      <c r="H2241" s="2">
        <v>75000000</v>
      </c>
      <c r="I2241" s="2">
        <v>5.9</v>
      </c>
      <c r="J2241" s="3">
        <v>33000377</v>
      </c>
      <c r="K2241">
        <f t="shared" si="76"/>
        <v>1.3775047412552699E-3</v>
      </c>
      <c r="R2241" s="12" t="str">
        <f ca="1">IFERROR(__xludf.DUMMYFUNCTION("""COMPUTED_VALUE"""),"And So It Goes ")</f>
        <v>And So It Goes </v>
      </c>
      <c r="S2241" s="12">
        <f t="shared" si="77"/>
        <v>13200412</v>
      </c>
    </row>
    <row r="2242" spans="1:19" x14ac:dyDescent="0.3">
      <c r="A2242" s="2" t="s">
        <v>1059</v>
      </c>
      <c r="B2242" s="2">
        <v>124</v>
      </c>
      <c r="C2242" s="3">
        <v>13235267</v>
      </c>
      <c r="D2242" s="3" t="s">
        <v>5898</v>
      </c>
      <c r="E2242" s="2" t="s">
        <v>4477</v>
      </c>
      <c r="F2242" s="2" t="s">
        <v>10</v>
      </c>
      <c r="G2242" s="2" t="s">
        <v>11</v>
      </c>
      <c r="H2242" s="2">
        <v>6000000</v>
      </c>
      <c r="I2242" s="2">
        <v>7.8</v>
      </c>
      <c r="J2242" s="3">
        <v>33037754</v>
      </c>
      <c r="K2242">
        <f t="shared" ref="K2242:K2305" si="78">CORREL(H$2:H$3941,J$2:J$3941)</f>
        <v>1.3775047412552699E-3</v>
      </c>
      <c r="R2242" s="12" t="str">
        <f ca="1">IFERROR(__xludf.DUMMYFUNCTION("""COMPUTED_VALUE"""),"Troop Beverly Hills ")</f>
        <v>Troop Beverly Hills </v>
      </c>
      <c r="S2242" s="12">
        <f t="shared" si="77"/>
        <v>74261036</v>
      </c>
    </row>
    <row r="2243" spans="1:19" x14ac:dyDescent="0.3">
      <c r="A2243" s="2" t="s">
        <v>2540</v>
      </c>
      <c r="B2243" s="2">
        <v>114</v>
      </c>
      <c r="C2243" s="3">
        <v>673780</v>
      </c>
      <c r="D2243" s="3" t="s">
        <v>5778</v>
      </c>
      <c r="E2243" s="2" t="s">
        <v>2882</v>
      </c>
      <c r="F2243" s="2" t="s">
        <v>10</v>
      </c>
      <c r="G2243" s="2" t="s">
        <v>11</v>
      </c>
      <c r="H2243" s="2">
        <v>20000000</v>
      </c>
      <c r="I2243" s="2">
        <v>4.8</v>
      </c>
      <c r="J2243" s="3">
        <v>33048353</v>
      </c>
      <c r="K2243">
        <f t="shared" si="78"/>
        <v>1.3775047412552699E-3</v>
      </c>
      <c r="R2243" s="12" t="str">
        <f ca="1">IFERROR(__xludf.DUMMYFUNCTION("""COMPUTED_VALUE"""),"Being Julia ")</f>
        <v>Being Julia </v>
      </c>
      <c r="S2243" s="12">
        <f t="shared" si="77"/>
        <v>7560950</v>
      </c>
    </row>
    <row r="2244" spans="1:19" x14ac:dyDescent="0.3">
      <c r="A2244" s="2" t="s">
        <v>1602</v>
      </c>
      <c r="B2244" s="2">
        <v>110</v>
      </c>
      <c r="C2244" s="3">
        <v>52929168</v>
      </c>
      <c r="D2244" s="3" t="s">
        <v>6345</v>
      </c>
      <c r="E2244" s="2" t="s">
        <v>1603</v>
      </c>
      <c r="F2244" s="2" t="s">
        <v>10</v>
      </c>
      <c r="G2244" s="2" t="s">
        <v>11</v>
      </c>
      <c r="H2244" s="2">
        <v>40000000</v>
      </c>
      <c r="I2244" s="2">
        <v>6</v>
      </c>
      <c r="J2244" s="3">
        <v>33071558</v>
      </c>
      <c r="K2244">
        <f t="shared" si="78"/>
        <v>1.3775047412552699E-3</v>
      </c>
      <c r="R2244" s="12" t="str">
        <f ca="1">IFERROR(__xludf.DUMMYFUNCTION("""COMPUTED_VALUE"""),"9½ Weeks ")</f>
        <v>9½ Weeks </v>
      </c>
      <c r="S2244" s="12">
        <f t="shared" si="77"/>
        <v>-59349323</v>
      </c>
    </row>
    <row r="2245" spans="1:19" x14ac:dyDescent="0.3">
      <c r="A2245" s="2" t="s">
        <v>917</v>
      </c>
      <c r="B2245" s="2">
        <v>112</v>
      </c>
      <c r="C2245" s="3">
        <v>1953732</v>
      </c>
      <c r="D2245" s="3" t="s">
        <v>5910</v>
      </c>
      <c r="E2245" s="2" t="s">
        <v>2780</v>
      </c>
      <c r="F2245" s="2" t="s">
        <v>10</v>
      </c>
      <c r="G2245" s="2" t="s">
        <v>11</v>
      </c>
      <c r="H2245" s="2">
        <v>22000000</v>
      </c>
      <c r="I2245" s="2">
        <v>6.6</v>
      </c>
      <c r="J2245" s="3">
        <v>33105600</v>
      </c>
      <c r="K2245">
        <f t="shared" si="78"/>
        <v>1.3775047412552699E-3</v>
      </c>
      <c r="R2245" s="12" t="str">
        <f ca="1">IFERROR(__xludf.DUMMYFUNCTION("""COMPUTED_VALUE"""),"Dragonslayer ")</f>
        <v>Dragonslayer </v>
      </c>
      <c r="S2245" s="12">
        <f t="shared" si="77"/>
        <v>71661010</v>
      </c>
    </row>
    <row r="2246" spans="1:19" x14ac:dyDescent="0.3">
      <c r="A2246" s="2" t="s">
        <v>4322</v>
      </c>
      <c r="B2246" s="2">
        <v>94</v>
      </c>
      <c r="C2246" s="3">
        <v>21283440</v>
      </c>
      <c r="D2246" s="3" t="s">
        <v>6272</v>
      </c>
      <c r="E2246" s="2" t="s">
        <v>4323</v>
      </c>
      <c r="F2246" s="2" t="s">
        <v>10</v>
      </c>
      <c r="G2246" s="2" t="s">
        <v>11</v>
      </c>
      <c r="H2246" s="2">
        <v>10000000</v>
      </c>
      <c r="I2246" s="2">
        <v>5.4</v>
      </c>
      <c r="J2246" s="3">
        <v>33200000</v>
      </c>
      <c r="K2246">
        <f t="shared" si="78"/>
        <v>1.3775047412552699E-3</v>
      </c>
      <c r="R2246" s="12" t="str">
        <f ca="1">IFERROR(__xludf.DUMMYFUNCTION("""COMPUTED_VALUE"""),"The Last Station ")</f>
        <v>The Last Station </v>
      </c>
      <c r="S2246" s="12">
        <f t="shared" si="77"/>
        <v>20413677</v>
      </c>
    </row>
    <row r="2247" spans="1:19" x14ac:dyDescent="0.3">
      <c r="A2247" s="2" t="s">
        <v>344</v>
      </c>
      <c r="B2247" s="2">
        <v>113</v>
      </c>
      <c r="C2247" s="3">
        <v>11501093</v>
      </c>
      <c r="D2247" s="3" t="s">
        <v>5755</v>
      </c>
      <c r="E2247" s="2" t="s">
        <v>345</v>
      </c>
      <c r="F2247" s="2" t="s">
        <v>10</v>
      </c>
      <c r="G2247" s="2" t="s">
        <v>11</v>
      </c>
      <c r="H2247" s="2">
        <v>65000000</v>
      </c>
      <c r="I2247" s="2">
        <v>7.5</v>
      </c>
      <c r="J2247" s="3">
        <v>33201661</v>
      </c>
      <c r="K2247">
        <f t="shared" si="78"/>
        <v>1.3775047412552699E-3</v>
      </c>
      <c r="R2247" s="12" t="str">
        <f ca="1">IFERROR(__xludf.DUMMYFUNCTION("""COMPUTED_VALUE"""),"Ed Wood ")</f>
        <v>Ed Wood </v>
      </c>
      <c r="S2247" s="12">
        <f t="shared" si="77"/>
        <v>-526000</v>
      </c>
    </row>
    <row r="2248" spans="1:19" x14ac:dyDescent="0.3">
      <c r="A2248" s="2" t="s">
        <v>1464</v>
      </c>
      <c r="B2248" s="2">
        <v>86</v>
      </c>
      <c r="C2248" s="3">
        <v>57744720</v>
      </c>
      <c r="D2248" s="3" t="s">
        <v>6346</v>
      </c>
      <c r="E2248" s="2" t="s">
        <v>2535</v>
      </c>
      <c r="F2248" s="2" t="s">
        <v>10</v>
      </c>
      <c r="G2248" s="2" t="s">
        <v>199</v>
      </c>
      <c r="H2248" s="2">
        <v>25000000</v>
      </c>
      <c r="I2248" s="2">
        <v>5.8</v>
      </c>
      <c r="J2248" s="3">
        <v>33244684</v>
      </c>
      <c r="K2248">
        <f t="shared" si="78"/>
        <v>1.3775047412552699E-3</v>
      </c>
      <c r="R2248" s="12" t="str">
        <f ca="1">IFERROR(__xludf.DUMMYFUNCTION("""COMPUTED_VALUE"""),"Labor Day ")</f>
        <v>Labor Day </v>
      </c>
      <c r="S2248" s="12">
        <f t="shared" si="77"/>
        <v>77608827</v>
      </c>
    </row>
    <row r="2249" spans="1:19" x14ac:dyDescent="0.3">
      <c r="A2249" s="2" t="s">
        <v>2321</v>
      </c>
      <c r="B2249" s="2">
        <v>135</v>
      </c>
      <c r="C2249" s="3">
        <v>50300000</v>
      </c>
      <c r="D2249" s="3" t="s">
        <v>5973</v>
      </c>
      <c r="E2249" s="2" t="s">
        <v>4153</v>
      </c>
      <c r="F2249" s="2" t="s">
        <v>3760</v>
      </c>
      <c r="G2249" s="2" t="s">
        <v>1840</v>
      </c>
      <c r="H2249" s="2">
        <v>10000000</v>
      </c>
      <c r="I2249" s="2">
        <v>7.3</v>
      </c>
      <c r="J2249" s="3">
        <v>33305037</v>
      </c>
      <c r="K2249">
        <f t="shared" si="78"/>
        <v>1.3775047412552699E-3</v>
      </c>
      <c r="R2249" s="12" t="str">
        <f ca="1">IFERROR(__xludf.DUMMYFUNCTION("""COMPUTED_VALUE"""),"Mongol: The Rise of Genghis Khan ")</f>
        <v>Mongol: The Rise of Genghis Khan </v>
      </c>
      <c r="S2249" s="12">
        <f t="shared" si="77"/>
        <v>-88430082</v>
      </c>
    </row>
    <row r="2250" spans="1:19" x14ac:dyDescent="0.3">
      <c r="A2250" s="2" t="s">
        <v>175</v>
      </c>
      <c r="B2250" s="2">
        <v>166</v>
      </c>
      <c r="C2250" s="3">
        <v>26288320</v>
      </c>
      <c r="D2250" s="3" t="s">
        <v>520</v>
      </c>
      <c r="E2250" s="2" t="s">
        <v>176</v>
      </c>
      <c r="F2250" s="2" t="s">
        <v>10</v>
      </c>
      <c r="G2250" s="2" t="s">
        <v>11</v>
      </c>
      <c r="H2250" s="2">
        <v>150000000</v>
      </c>
      <c r="I2250" s="2">
        <v>7.8</v>
      </c>
      <c r="J2250" s="3">
        <v>33313582</v>
      </c>
      <c r="K2250">
        <f t="shared" si="78"/>
        <v>1.3775047412552699E-3</v>
      </c>
      <c r="R2250" s="12" t="str">
        <f ca="1">IFERROR(__xludf.DUMMYFUNCTION("""COMPUTED_VALUE"""),"RocknRolla ")</f>
        <v>RocknRolla </v>
      </c>
      <c r="S2250" s="12">
        <f t="shared" si="77"/>
        <v>37676108</v>
      </c>
    </row>
    <row r="2251" spans="1:19" x14ac:dyDescent="0.3">
      <c r="A2251" s="2" t="s">
        <v>4808</v>
      </c>
      <c r="B2251" s="2">
        <v>87</v>
      </c>
      <c r="C2251" s="3">
        <v>2445646</v>
      </c>
      <c r="D2251" s="3" t="s">
        <v>6324</v>
      </c>
      <c r="E2251" s="2" t="s">
        <v>4809</v>
      </c>
      <c r="F2251" s="2" t="s">
        <v>10</v>
      </c>
      <c r="G2251" s="2" t="s">
        <v>11</v>
      </c>
      <c r="H2251" s="2">
        <v>4000000</v>
      </c>
      <c r="I2251" s="2">
        <v>4.8</v>
      </c>
      <c r="J2251" s="3">
        <v>33328051</v>
      </c>
      <c r="K2251">
        <f t="shared" si="78"/>
        <v>1.3775047412552699E-3</v>
      </c>
      <c r="R2251" s="12" t="str">
        <f ca="1">IFERROR(__xludf.DUMMYFUNCTION("""COMPUTED_VALUE"""),"Megaforce ")</f>
        <v>Megaforce </v>
      </c>
      <c r="S2251" s="12">
        <f t="shared" si="77"/>
        <v>19138292</v>
      </c>
    </row>
    <row r="2252" spans="1:19" x14ac:dyDescent="0.3">
      <c r="A2252" s="2" t="s">
        <v>31</v>
      </c>
      <c r="B2252" s="2">
        <v>104</v>
      </c>
      <c r="C2252" s="3">
        <v>103028109</v>
      </c>
      <c r="D2252" s="3" t="s">
        <v>520</v>
      </c>
      <c r="E2252" s="2" t="s">
        <v>780</v>
      </c>
      <c r="F2252" s="2" t="s">
        <v>10</v>
      </c>
      <c r="G2252" s="2" t="s">
        <v>11</v>
      </c>
      <c r="H2252" s="2">
        <v>75000000</v>
      </c>
      <c r="I2252" s="2">
        <v>7.4</v>
      </c>
      <c r="J2252" s="3">
        <v>33349949</v>
      </c>
      <c r="K2252">
        <f t="shared" si="78"/>
        <v>1.3775047412552699E-3</v>
      </c>
      <c r="R2252" s="12" t="str">
        <f ca="1">IFERROR(__xludf.DUMMYFUNCTION("""COMPUTED_VALUE"""),"Hamlet ")</f>
        <v>Hamlet </v>
      </c>
      <c r="S2252" s="12">
        <f t="shared" si="77"/>
        <v>-575506</v>
      </c>
    </row>
    <row r="2253" spans="1:19" x14ac:dyDescent="0.3">
      <c r="A2253" s="2" t="s">
        <v>2072</v>
      </c>
      <c r="B2253" s="2">
        <v>128</v>
      </c>
      <c r="C2253" s="3">
        <v>36037909</v>
      </c>
      <c r="D2253" s="3" t="s">
        <v>6163</v>
      </c>
      <c r="E2253" s="2" t="s">
        <v>2073</v>
      </c>
      <c r="F2253" s="2" t="s">
        <v>10</v>
      </c>
      <c r="G2253" s="2" t="s">
        <v>11</v>
      </c>
      <c r="H2253" s="2">
        <v>34000000</v>
      </c>
      <c r="I2253" s="2">
        <v>7.1</v>
      </c>
      <c r="J2253" s="3">
        <v>33357476</v>
      </c>
      <c r="K2253">
        <f t="shared" si="78"/>
        <v>1.3775047412552699E-3</v>
      </c>
      <c r="R2253" s="12" t="str">
        <f ca="1">IFERROR(__xludf.DUMMYFUNCTION("""COMPUTED_VALUE"""),"Midnight Special ")</f>
        <v>Midnight Special </v>
      </c>
      <c r="S2253" s="12">
        <f t="shared" si="77"/>
        <v>-18037529</v>
      </c>
    </row>
    <row r="2254" spans="1:19" x14ac:dyDescent="0.3">
      <c r="A2254" s="2" t="s">
        <v>5251</v>
      </c>
      <c r="B2254" s="2">
        <v>85</v>
      </c>
      <c r="C2254" s="3">
        <v>37911876</v>
      </c>
      <c r="D2254" s="3" t="s">
        <v>6347</v>
      </c>
      <c r="E2254" s="2" t="s">
        <v>5252</v>
      </c>
      <c r="F2254" s="2" t="s">
        <v>10</v>
      </c>
      <c r="G2254" s="2" t="s">
        <v>11</v>
      </c>
      <c r="H2254" s="2">
        <v>1200000</v>
      </c>
      <c r="I2254" s="2">
        <v>6.6</v>
      </c>
      <c r="J2254" s="3">
        <v>33386128</v>
      </c>
      <c r="K2254">
        <f t="shared" si="78"/>
        <v>1.3775047412552699E-3</v>
      </c>
      <c r="R2254" s="12" t="str">
        <f ca="1">IFERROR(__xludf.DUMMYFUNCTION("""COMPUTED_VALUE"""),"Anything Else ")</f>
        <v>Anything Else </v>
      </c>
      <c r="S2254" s="12">
        <f t="shared" si="77"/>
        <v>4037513</v>
      </c>
    </row>
    <row r="2255" spans="1:19" x14ac:dyDescent="0.3">
      <c r="A2255" s="2" t="s">
        <v>1557</v>
      </c>
      <c r="B2255" s="2">
        <v>110</v>
      </c>
      <c r="C2255" s="3">
        <v>33313582</v>
      </c>
      <c r="D2255" s="3" t="s">
        <v>5940</v>
      </c>
      <c r="E2255" s="2" t="s">
        <v>3087</v>
      </c>
      <c r="F2255" s="2" t="s">
        <v>10</v>
      </c>
      <c r="G2255" s="2" t="s">
        <v>11</v>
      </c>
      <c r="H2255" s="2">
        <v>20000000</v>
      </c>
      <c r="I2255" s="2">
        <v>5.4</v>
      </c>
      <c r="J2255" s="3">
        <v>33404871</v>
      </c>
      <c r="K2255">
        <f t="shared" si="78"/>
        <v>1.3775047412552699E-3</v>
      </c>
      <c r="R2255" s="12" t="str">
        <f ca="1">IFERROR(__xludf.DUMMYFUNCTION("""COMPUTED_VALUE"""),"The Railway Man ")</f>
        <v>The Railway Man </v>
      </c>
      <c r="S2255" s="12">
        <f t="shared" si="77"/>
        <v>5141697</v>
      </c>
    </row>
    <row r="2256" spans="1:19" x14ac:dyDescent="0.3">
      <c r="A2256" s="2" t="s">
        <v>45</v>
      </c>
      <c r="B2256" s="2">
        <v>171</v>
      </c>
      <c r="C2256" s="3">
        <v>28873374</v>
      </c>
      <c r="D2256" s="3" t="s">
        <v>5778</v>
      </c>
      <c r="E2256" s="2" t="s">
        <v>426</v>
      </c>
      <c r="F2256" s="2" t="s">
        <v>10</v>
      </c>
      <c r="G2256" s="2" t="s">
        <v>47</v>
      </c>
      <c r="H2256" s="2">
        <v>93000000</v>
      </c>
      <c r="I2256" s="2">
        <v>8.8000000000000007</v>
      </c>
      <c r="J2256" s="3">
        <v>33422556</v>
      </c>
      <c r="K2256">
        <f t="shared" si="78"/>
        <v>1.3775047412552699E-3</v>
      </c>
      <c r="R2256" s="12" t="str">
        <f ca="1">IFERROR(__xludf.DUMMYFUNCTION("""COMPUTED_VALUE"""),"The White Ribbon ")</f>
        <v>The White Ribbon </v>
      </c>
      <c r="S2256" s="12">
        <f t="shared" si="77"/>
        <v>-11123076</v>
      </c>
    </row>
    <row r="2257" spans="1:19" x14ac:dyDescent="0.3">
      <c r="A2257" s="2" t="s">
        <v>278</v>
      </c>
      <c r="B2257" s="2">
        <v>116</v>
      </c>
      <c r="C2257" s="3">
        <v>14015786</v>
      </c>
      <c r="D2257" s="3" t="s">
        <v>6148</v>
      </c>
      <c r="E2257" s="2" t="s">
        <v>741</v>
      </c>
      <c r="F2257" s="2" t="s">
        <v>10</v>
      </c>
      <c r="G2257" s="2" t="s">
        <v>11</v>
      </c>
      <c r="H2257" s="2">
        <v>80000000</v>
      </c>
      <c r="I2257" s="2">
        <v>5.6</v>
      </c>
      <c r="J2257" s="3">
        <v>33422806</v>
      </c>
      <c r="K2257">
        <f t="shared" si="78"/>
        <v>1.3775047412552699E-3</v>
      </c>
      <c r="R2257" s="12" t="str">
        <f ca="1">IFERROR(__xludf.DUMMYFUNCTION("""COMPUTED_VALUE"""),"The Wraith ")</f>
        <v>The Wraith </v>
      </c>
      <c r="S2257" s="12">
        <f t="shared" si="77"/>
        <v>-193798243</v>
      </c>
    </row>
    <row r="2258" spans="1:19" x14ac:dyDescent="0.3">
      <c r="A2258" s="2" t="s">
        <v>1742</v>
      </c>
      <c r="B2258" s="2">
        <v>119</v>
      </c>
      <c r="C2258" s="3">
        <v>14018364</v>
      </c>
      <c r="D2258" s="3" t="s">
        <v>5869</v>
      </c>
      <c r="E2258" s="2" t="s">
        <v>3223</v>
      </c>
      <c r="F2258" s="2" t="s">
        <v>10</v>
      </c>
      <c r="G2258" s="2" t="s">
        <v>11</v>
      </c>
      <c r="H2258" s="2">
        <v>20000000</v>
      </c>
      <c r="I2258" s="2">
        <v>7.6</v>
      </c>
      <c r="J2258" s="3">
        <v>33423521</v>
      </c>
      <c r="K2258">
        <f t="shared" si="78"/>
        <v>1.3775047412552699E-3</v>
      </c>
      <c r="R2258" s="12" t="str">
        <f ca="1">IFERROR(__xludf.DUMMYFUNCTION("""COMPUTED_VALUE"""),"The Salton Sea ")</f>
        <v>The Salton Sea </v>
      </c>
      <c r="S2258" s="12">
        <f t="shared" si="77"/>
        <v>10475228</v>
      </c>
    </row>
    <row r="2259" spans="1:19" x14ac:dyDescent="0.3">
      <c r="A2259" s="2" t="s">
        <v>53</v>
      </c>
      <c r="B2259" s="2">
        <v>113</v>
      </c>
      <c r="C2259" s="3">
        <v>148213377</v>
      </c>
      <c r="D2259" s="3" t="s">
        <v>6348</v>
      </c>
      <c r="E2259" s="2" t="s">
        <v>54</v>
      </c>
      <c r="F2259" s="2" t="s">
        <v>10</v>
      </c>
      <c r="G2259" s="2" t="s">
        <v>11</v>
      </c>
      <c r="H2259" s="2">
        <v>180000000</v>
      </c>
      <c r="I2259" s="2">
        <v>6.1</v>
      </c>
      <c r="J2259" s="3">
        <v>33451479</v>
      </c>
      <c r="K2259">
        <f t="shared" si="78"/>
        <v>1.3775047412552699E-3</v>
      </c>
      <c r="R2259" s="12" t="str">
        <f ca="1">IFERROR(__xludf.DUMMYFUNCTION("""COMPUTED_VALUE"""),"One Man's Hero ")</f>
        <v>One Man's Hero </v>
      </c>
      <c r="S2259" s="12">
        <f t="shared" si="77"/>
        <v>-29972881</v>
      </c>
    </row>
    <row r="2260" spans="1:19" x14ac:dyDescent="0.3">
      <c r="A2260" s="2" t="s">
        <v>5371</v>
      </c>
      <c r="B2260" s="2">
        <v>99</v>
      </c>
      <c r="C2260" s="3">
        <v>4681503</v>
      </c>
      <c r="D2260" s="3" t="s">
        <v>5797</v>
      </c>
      <c r="E2260" s="2" t="s">
        <v>5372</v>
      </c>
      <c r="F2260" s="2" t="s">
        <v>10</v>
      </c>
      <c r="G2260" s="2" t="s">
        <v>11</v>
      </c>
      <c r="H2260" s="2">
        <v>1000000</v>
      </c>
      <c r="I2260" s="2">
        <v>6.2</v>
      </c>
      <c r="J2260" s="3">
        <v>33472850</v>
      </c>
      <c r="K2260">
        <f t="shared" si="78"/>
        <v>1.3775047412552699E-3</v>
      </c>
      <c r="R2260" s="12" t="str">
        <f ca="1">IFERROR(__xludf.DUMMYFUNCTION("""COMPUTED_VALUE"""),"Renaissance ")</f>
        <v>Renaissance </v>
      </c>
      <c r="S2260" s="12">
        <f t="shared" si="77"/>
        <v>3259278</v>
      </c>
    </row>
    <row r="2261" spans="1:19" x14ac:dyDescent="0.3">
      <c r="A2261" s="2" t="s">
        <v>4101</v>
      </c>
      <c r="B2261" s="2">
        <v>101</v>
      </c>
      <c r="C2261" s="3">
        <v>10706786</v>
      </c>
      <c r="D2261" s="3" t="s">
        <v>1703</v>
      </c>
      <c r="E2261" s="2" t="s">
        <v>4102</v>
      </c>
      <c r="F2261" s="2" t="s">
        <v>10</v>
      </c>
      <c r="G2261" s="2" t="s">
        <v>11</v>
      </c>
      <c r="H2261" s="2">
        <v>10000000</v>
      </c>
      <c r="I2261" s="2">
        <v>5.7</v>
      </c>
      <c r="J2261" s="3">
        <v>33508922</v>
      </c>
      <c r="K2261">
        <f t="shared" si="78"/>
        <v>1.3775047412552699E-3</v>
      </c>
      <c r="R2261" s="12" t="str">
        <f ca="1">IFERROR(__xludf.DUMMYFUNCTION("""COMPUTED_VALUE"""),"Superbad ")</f>
        <v>Superbad </v>
      </c>
      <c r="S2261" s="12">
        <f t="shared" si="77"/>
        <v>47000688</v>
      </c>
    </row>
    <row r="2262" spans="1:19" x14ac:dyDescent="0.3">
      <c r="A2262" s="2" t="s">
        <v>5041</v>
      </c>
      <c r="B2262" s="2">
        <v>105</v>
      </c>
      <c r="C2262" s="3">
        <v>21471685</v>
      </c>
      <c r="D2262" s="3" t="s">
        <v>520</v>
      </c>
      <c r="E2262" s="2" t="s">
        <v>5042</v>
      </c>
      <c r="F2262" s="2" t="s">
        <v>10</v>
      </c>
      <c r="G2262" s="2" t="s">
        <v>11</v>
      </c>
      <c r="H2262" s="2">
        <v>2450000</v>
      </c>
      <c r="I2262" s="2">
        <v>3.9</v>
      </c>
      <c r="J2262" s="3">
        <v>33565375</v>
      </c>
      <c r="K2262">
        <f t="shared" si="78"/>
        <v>1.3775047412552699E-3</v>
      </c>
      <c r="R2262" s="12" t="str">
        <f ca="1">IFERROR(__xludf.DUMMYFUNCTION("""COMPUTED_VALUE"""),"Step Up 2: The Streets ")</f>
        <v>Step Up 2: The Streets </v>
      </c>
      <c r="S2262" s="12">
        <f t="shared" si="77"/>
        <v>30066000</v>
      </c>
    </row>
    <row r="2263" spans="1:19" x14ac:dyDescent="0.3">
      <c r="A2263" s="2" t="s">
        <v>4012</v>
      </c>
      <c r="B2263" s="2">
        <v>123</v>
      </c>
      <c r="C2263" s="3">
        <v>5005883</v>
      </c>
      <c r="D2263" s="3" t="s">
        <v>5865</v>
      </c>
      <c r="E2263" s="2" t="s">
        <v>4013</v>
      </c>
      <c r="F2263" s="2" t="s">
        <v>10</v>
      </c>
      <c r="G2263" s="2" t="s">
        <v>11</v>
      </c>
      <c r="H2263" s="2">
        <v>10000000</v>
      </c>
      <c r="I2263" s="2">
        <v>5.9</v>
      </c>
      <c r="J2263" s="3">
        <v>33574332</v>
      </c>
      <c r="K2263">
        <f t="shared" si="78"/>
        <v>1.3775047412552699E-3</v>
      </c>
      <c r="R2263" s="12" t="str">
        <f ca="1">IFERROR(__xludf.DUMMYFUNCTION("""COMPUTED_VALUE"""),"Hoodwinked! ")</f>
        <v>Hoodwinked! </v>
      </c>
      <c r="S2263" s="12">
        <f t="shared" si="77"/>
        <v>-55306109</v>
      </c>
    </row>
    <row r="2264" spans="1:19" x14ac:dyDescent="0.3">
      <c r="A2264" s="2" t="s">
        <v>5354</v>
      </c>
      <c r="B2264" s="2">
        <v>93</v>
      </c>
      <c r="C2264" s="3">
        <v>51872378</v>
      </c>
      <c r="D2264" s="3" t="s">
        <v>6348</v>
      </c>
      <c r="E2264" s="2" t="s">
        <v>5355</v>
      </c>
      <c r="F2264" s="2" t="s">
        <v>10</v>
      </c>
      <c r="G2264" s="2" t="s">
        <v>11</v>
      </c>
      <c r="H2264" s="2">
        <v>500000</v>
      </c>
      <c r="I2264" s="2">
        <v>6.8</v>
      </c>
      <c r="J2264" s="3">
        <v>33583175</v>
      </c>
      <c r="K2264">
        <f t="shared" si="78"/>
        <v>1.3775047412552699E-3</v>
      </c>
      <c r="R2264" s="12" t="str">
        <f ca="1">IFERROR(__xludf.DUMMYFUNCTION("""COMPUTED_VALUE"""),"Hotel Rwanda ")</f>
        <v>Hotel Rwanda </v>
      </c>
      <c r="S2264" s="12">
        <f t="shared" si="77"/>
        <v>7235267</v>
      </c>
    </row>
    <row r="2265" spans="1:19" x14ac:dyDescent="0.3">
      <c r="A2265" s="2" t="s">
        <v>1333</v>
      </c>
      <c r="B2265" s="2">
        <v>92</v>
      </c>
      <c r="C2265" s="3">
        <v>112935</v>
      </c>
      <c r="D2265" s="3" t="s">
        <v>6069</v>
      </c>
      <c r="E2265" s="2" t="s">
        <v>2174</v>
      </c>
      <c r="F2265" s="2" t="s">
        <v>10</v>
      </c>
      <c r="G2265" s="2" t="s">
        <v>11</v>
      </c>
      <c r="H2265" s="2">
        <v>20000000</v>
      </c>
      <c r="I2265" s="2">
        <v>6.7</v>
      </c>
      <c r="J2265" s="3">
        <v>33592415</v>
      </c>
      <c r="K2265">
        <f t="shared" si="78"/>
        <v>1.3775047412552699E-3</v>
      </c>
      <c r="R2265" s="12" t="str">
        <f ca="1">IFERROR(__xludf.DUMMYFUNCTION("""COMPUTED_VALUE"""),"Hitman ")</f>
        <v>Hitman </v>
      </c>
      <c r="S2265" s="12">
        <f t="shared" ref="S2265:S2328" si="79">C2243-H2243</f>
        <v>-19326220</v>
      </c>
    </row>
    <row r="2266" spans="1:19" x14ac:dyDescent="0.3">
      <c r="A2266" s="2" t="s">
        <v>1206</v>
      </c>
      <c r="B2266" s="2">
        <v>74</v>
      </c>
      <c r="C2266" s="3">
        <v>23209440</v>
      </c>
      <c r="D2266" s="3" t="s">
        <v>5910</v>
      </c>
      <c r="E2266" s="2" t="s">
        <v>1207</v>
      </c>
      <c r="F2266" s="2" t="s">
        <v>10</v>
      </c>
      <c r="G2266" s="2" t="s">
        <v>11</v>
      </c>
      <c r="H2266" s="2">
        <v>55000000</v>
      </c>
      <c r="I2266" s="2">
        <v>6.3</v>
      </c>
      <c r="J2266" s="3">
        <v>33631221</v>
      </c>
      <c r="K2266">
        <f t="shared" si="78"/>
        <v>1.3775047412552699E-3</v>
      </c>
      <c r="R2266" s="12" t="str">
        <f ca="1">IFERROR(__xludf.DUMMYFUNCTION("""COMPUTED_VALUE"""),"Black Nativity ")</f>
        <v>Black Nativity </v>
      </c>
      <c r="S2266" s="12">
        <f t="shared" si="79"/>
        <v>12929168</v>
      </c>
    </row>
    <row r="2267" spans="1:19" x14ac:dyDescent="0.3">
      <c r="A2267" s="2" t="s">
        <v>4338</v>
      </c>
      <c r="B2267" s="2">
        <v>113</v>
      </c>
      <c r="C2267" s="3">
        <v>6239558</v>
      </c>
      <c r="D2267" s="3" t="s">
        <v>5973</v>
      </c>
      <c r="E2267" s="2" t="s">
        <v>4339</v>
      </c>
      <c r="F2267" s="2" t="s">
        <v>10</v>
      </c>
      <c r="G2267" s="2" t="s">
        <v>16</v>
      </c>
      <c r="H2267" s="2">
        <v>8000000</v>
      </c>
      <c r="I2267" s="2">
        <v>6.7</v>
      </c>
      <c r="J2267" s="3">
        <v>33643461</v>
      </c>
      <c r="K2267">
        <f t="shared" si="78"/>
        <v>1.3775047412552699E-3</v>
      </c>
      <c r="R2267" s="12" t="str">
        <f ca="1">IFERROR(__xludf.DUMMYFUNCTION("""COMPUTED_VALUE"""),"City of Ghosts ")</f>
        <v>City of Ghosts </v>
      </c>
      <c r="S2267" s="12">
        <f t="shared" si="79"/>
        <v>-20046268</v>
      </c>
    </row>
    <row r="2268" spans="1:19" x14ac:dyDescent="0.3">
      <c r="A2268" s="2" t="s">
        <v>45</v>
      </c>
      <c r="B2268" s="2">
        <v>164</v>
      </c>
      <c r="C2268" s="3">
        <v>15417771</v>
      </c>
      <c r="D2268" s="3" t="s">
        <v>5869</v>
      </c>
      <c r="E2268" s="2" t="s">
        <v>46</v>
      </c>
      <c r="F2268" s="2" t="s">
        <v>10</v>
      </c>
      <c r="G2268" s="2" t="s">
        <v>47</v>
      </c>
      <c r="H2268" s="2">
        <v>250000000</v>
      </c>
      <c r="I2268" s="2">
        <v>7.5</v>
      </c>
      <c r="J2268" s="3">
        <v>33682273</v>
      </c>
      <c r="K2268">
        <f t="shared" si="78"/>
        <v>1.3775047412552699E-3</v>
      </c>
      <c r="R2268" s="12" t="str">
        <f ca="1">IFERROR(__xludf.DUMMYFUNCTION("""COMPUTED_VALUE"""),"The Others ")</f>
        <v>The Others </v>
      </c>
      <c r="S2268" s="12">
        <f t="shared" si="79"/>
        <v>11283440</v>
      </c>
    </row>
    <row r="2269" spans="1:19" x14ac:dyDescent="0.3">
      <c r="A2269" s="2" t="s">
        <v>3692</v>
      </c>
      <c r="B2269" s="2">
        <v>84</v>
      </c>
      <c r="C2269" s="3">
        <v>2208939</v>
      </c>
      <c r="D2269" s="3" t="s">
        <v>6349</v>
      </c>
      <c r="E2269" s="2" t="s">
        <v>3693</v>
      </c>
      <c r="F2269" s="2" t="s">
        <v>10</v>
      </c>
      <c r="G2269" s="2" t="s">
        <v>11</v>
      </c>
      <c r="H2269" s="2">
        <v>13000000</v>
      </c>
      <c r="I2269" s="2">
        <v>3.8</v>
      </c>
      <c r="J2269" s="3">
        <v>33685268</v>
      </c>
      <c r="K2269">
        <f t="shared" si="78"/>
        <v>1.3775047412552699E-3</v>
      </c>
      <c r="R2269" s="12" t="str">
        <f ca="1">IFERROR(__xludf.DUMMYFUNCTION("""COMPUTED_VALUE"""),"Aliens ")</f>
        <v>Aliens </v>
      </c>
      <c r="S2269" s="12">
        <f t="shared" si="79"/>
        <v>-53498907</v>
      </c>
    </row>
    <row r="2270" spans="1:19" x14ac:dyDescent="0.3">
      <c r="A2270" s="2" t="s">
        <v>197</v>
      </c>
      <c r="B2270" s="2">
        <v>126</v>
      </c>
      <c r="C2270" s="3">
        <v>22905674</v>
      </c>
      <c r="D2270" s="3" t="s">
        <v>5910</v>
      </c>
      <c r="E2270" s="2" t="s">
        <v>3293</v>
      </c>
      <c r="F2270" s="2" t="s">
        <v>10</v>
      </c>
      <c r="G2270" s="2" t="s">
        <v>11</v>
      </c>
      <c r="H2270" s="2">
        <v>15000000</v>
      </c>
      <c r="I2270" s="2">
        <v>7.4</v>
      </c>
      <c r="J2270" s="3">
        <v>33687630</v>
      </c>
      <c r="K2270">
        <f t="shared" si="78"/>
        <v>1.3775047412552699E-3</v>
      </c>
      <c r="R2270" s="12" t="str">
        <f ca="1">IFERROR(__xludf.DUMMYFUNCTION("""COMPUTED_VALUE"""),"My Fair Lady ")</f>
        <v>My Fair Lady </v>
      </c>
      <c r="S2270" s="12">
        <f t="shared" si="79"/>
        <v>32744720</v>
      </c>
    </row>
    <row r="2271" spans="1:19" x14ac:dyDescent="0.3">
      <c r="A2271" s="2" t="s">
        <v>5140</v>
      </c>
      <c r="B2271" s="2">
        <v>118</v>
      </c>
      <c r="C2271" s="3">
        <v>37899638</v>
      </c>
      <c r="D2271" s="3" t="s">
        <v>1703</v>
      </c>
      <c r="E2271" s="2" t="s">
        <v>5141</v>
      </c>
      <c r="F2271" s="2" t="s">
        <v>723</v>
      </c>
      <c r="G2271" s="2" t="s">
        <v>3044</v>
      </c>
      <c r="H2271" s="2">
        <v>1800000</v>
      </c>
      <c r="I2271" s="2">
        <v>6.8</v>
      </c>
      <c r="J2271" s="3">
        <v>33771174</v>
      </c>
      <c r="K2271">
        <f t="shared" si="78"/>
        <v>1.3775047412552699E-3</v>
      </c>
      <c r="R2271" s="12" t="str">
        <f ca="1">IFERROR(__xludf.DUMMYFUNCTION("""COMPUTED_VALUE"""),"I Know What You Did Last Summer ")</f>
        <v>I Know What You Did Last Summer </v>
      </c>
      <c r="S2271" s="12">
        <f t="shared" si="79"/>
        <v>40300000</v>
      </c>
    </row>
    <row r="2272" spans="1:19" x14ac:dyDescent="0.3">
      <c r="A2272" s="2" t="s">
        <v>169</v>
      </c>
      <c r="B2272" s="2">
        <v>121</v>
      </c>
      <c r="C2272" s="3">
        <v>4651977</v>
      </c>
      <c r="D2272" s="3" t="s">
        <v>5869</v>
      </c>
      <c r="E2272" s="2" t="s">
        <v>170</v>
      </c>
      <c r="F2272" s="2" t="s">
        <v>10</v>
      </c>
      <c r="G2272" s="2" t="s">
        <v>11</v>
      </c>
      <c r="H2272" s="2">
        <v>170000000</v>
      </c>
      <c r="I2272" s="2">
        <v>8.1</v>
      </c>
      <c r="J2272" s="3">
        <v>33828318</v>
      </c>
      <c r="K2272">
        <f t="shared" si="78"/>
        <v>1.3775047412552699E-3</v>
      </c>
      <c r="R2272" s="12" t="str">
        <f ca="1">IFERROR(__xludf.DUMMYFUNCTION("""COMPUTED_VALUE"""),"Let's Be Cops ")</f>
        <v>Let's Be Cops </v>
      </c>
      <c r="S2272" s="12">
        <f t="shared" si="79"/>
        <v>-123711680</v>
      </c>
    </row>
    <row r="2273" spans="1:19" x14ac:dyDescent="0.3">
      <c r="A2273" s="2" t="s">
        <v>1566</v>
      </c>
      <c r="B2273" s="2">
        <v>91</v>
      </c>
      <c r="C2273" s="3">
        <v>38230435</v>
      </c>
      <c r="D2273" s="3" t="s">
        <v>6201</v>
      </c>
      <c r="E2273" s="2" t="s">
        <v>4259</v>
      </c>
      <c r="F2273" s="2" t="s">
        <v>10</v>
      </c>
      <c r="G2273" s="2" t="s">
        <v>11</v>
      </c>
      <c r="H2273" s="2">
        <v>8000000</v>
      </c>
      <c r="I2273" s="2">
        <v>5.7</v>
      </c>
      <c r="J2273" s="3">
        <v>33860010</v>
      </c>
      <c r="K2273">
        <f t="shared" si="78"/>
        <v>1.3775047412552699E-3</v>
      </c>
      <c r="R2273" s="12" t="str">
        <f ca="1">IFERROR(__xludf.DUMMYFUNCTION("""COMPUTED_VALUE"""),"Sideways ")</f>
        <v>Sideways </v>
      </c>
      <c r="S2273" s="12">
        <f t="shared" si="79"/>
        <v>-1554354</v>
      </c>
    </row>
    <row r="2274" spans="1:19" x14ac:dyDescent="0.3">
      <c r="A2274" s="2" t="s">
        <v>2118</v>
      </c>
      <c r="B2274" s="2">
        <v>89</v>
      </c>
      <c r="C2274" s="3">
        <v>10696210</v>
      </c>
      <c r="D2274" s="3" t="s">
        <v>6203</v>
      </c>
      <c r="E2274" s="2" t="s">
        <v>2119</v>
      </c>
      <c r="F2274" s="2" t="s">
        <v>10</v>
      </c>
      <c r="G2274" s="2" t="s">
        <v>11</v>
      </c>
      <c r="H2274" s="2">
        <v>35000000</v>
      </c>
      <c r="I2274" s="2">
        <v>5.6</v>
      </c>
      <c r="J2274" s="3">
        <v>33864342</v>
      </c>
      <c r="K2274">
        <f t="shared" si="78"/>
        <v>1.3775047412552699E-3</v>
      </c>
      <c r="R2274" s="12" t="str">
        <f ca="1">IFERROR(__xludf.DUMMYFUNCTION("""COMPUTED_VALUE"""),"Beerfest ")</f>
        <v>Beerfest </v>
      </c>
      <c r="S2274" s="12">
        <f t="shared" si="79"/>
        <v>28028109</v>
      </c>
    </row>
    <row r="2275" spans="1:19" x14ac:dyDescent="0.3">
      <c r="A2275" s="2" t="s">
        <v>4133</v>
      </c>
      <c r="B2275" s="2">
        <v>125</v>
      </c>
      <c r="C2275" s="3">
        <v>3571735</v>
      </c>
      <c r="D2275" s="3" t="s">
        <v>5778</v>
      </c>
      <c r="E2275" s="2" t="s">
        <v>4134</v>
      </c>
      <c r="F2275" s="2" t="s">
        <v>723</v>
      </c>
      <c r="G2275" s="2" t="s">
        <v>3044</v>
      </c>
      <c r="H2275" s="2">
        <v>10000000</v>
      </c>
      <c r="I2275" s="2">
        <v>6.2</v>
      </c>
      <c r="J2275" s="3">
        <v>33927476</v>
      </c>
      <c r="K2275">
        <f t="shared" si="78"/>
        <v>1.3775047412552699E-3</v>
      </c>
      <c r="R2275" s="12" t="str">
        <f ca="1">IFERROR(__xludf.DUMMYFUNCTION("""COMPUTED_VALUE"""),"Halloween ")</f>
        <v>Halloween </v>
      </c>
      <c r="S2275" s="12">
        <f t="shared" si="79"/>
        <v>2037909</v>
      </c>
    </row>
    <row r="2276" spans="1:19" x14ac:dyDescent="0.3">
      <c r="A2276" s="2" t="s">
        <v>5631</v>
      </c>
      <c r="B2276" s="2">
        <v>85</v>
      </c>
      <c r="C2276" s="3">
        <v>14108518</v>
      </c>
      <c r="D2276" s="3" t="s">
        <v>6350</v>
      </c>
      <c r="E2276" s="2" t="s">
        <v>5632</v>
      </c>
      <c r="F2276" s="2" t="s">
        <v>10</v>
      </c>
      <c r="G2276" s="2" t="s">
        <v>11</v>
      </c>
      <c r="H2276" s="3">
        <v>474544677</v>
      </c>
      <c r="I2276" s="2">
        <v>7.2</v>
      </c>
      <c r="J2276" s="3">
        <v>33987757</v>
      </c>
      <c r="K2276">
        <f t="shared" si="78"/>
        <v>1.3775047412552699E-3</v>
      </c>
      <c r="R2276" s="12" t="str">
        <f ca="1">IFERROR(__xludf.DUMMYFUNCTION("""COMPUTED_VALUE"""),"Good Boy! ")</f>
        <v>Good Boy! </v>
      </c>
      <c r="S2276" s="12">
        <f t="shared" si="79"/>
        <v>36711876</v>
      </c>
    </row>
    <row r="2277" spans="1:19" x14ac:dyDescent="0.3">
      <c r="A2277" s="2" t="s">
        <v>244</v>
      </c>
      <c r="B2277" s="2">
        <v>96</v>
      </c>
      <c r="C2277" s="3">
        <v>15369573</v>
      </c>
      <c r="D2277" s="3" t="s">
        <v>5996</v>
      </c>
      <c r="E2277" s="2" t="s">
        <v>719</v>
      </c>
      <c r="F2277" s="2" t="s">
        <v>10</v>
      </c>
      <c r="G2277" s="2" t="s">
        <v>11</v>
      </c>
      <c r="H2277" s="2">
        <v>80000000</v>
      </c>
      <c r="I2277" s="2">
        <v>5.9</v>
      </c>
      <c r="J2277" s="3">
        <v>34014398</v>
      </c>
      <c r="K2277">
        <f t="shared" si="78"/>
        <v>1.3775047412552699E-3</v>
      </c>
      <c r="R2277" s="12" t="str">
        <f ca="1">IFERROR(__xludf.DUMMYFUNCTION("""COMPUTED_VALUE"""),"The Best Man Holiday ")</f>
        <v>The Best Man Holiday </v>
      </c>
      <c r="S2277" s="12">
        <f t="shared" si="79"/>
        <v>13313582</v>
      </c>
    </row>
    <row r="2278" spans="1:19" x14ac:dyDescent="0.3">
      <c r="A2278" s="2" t="s">
        <v>2427</v>
      </c>
      <c r="B2278" s="2">
        <v>114</v>
      </c>
      <c r="C2278" s="3">
        <v>59573085</v>
      </c>
      <c r="D2278" s="3" t="s">
        <v>6234</v>
      </c>
      <c r="E2278" s="2" t="s">
        <v>2428</v>
      </c>
      <c r="F2278" s="2" t="s">
        <v>10</v>
      </c>
      <c r="G2278" s="2" t="s">
        <v>11</v>
      </c>
      <c r="H2278" s="2">
        <v>35000000</v>
      </c>
      <c r="I2278" s="2">
        <v>5.3</v>
      </c>
      <c r="J2278" s="3">
        <v>34017854</v>
      </c>
      <c r="K2278">
        <f t="shared" si="78"/>
        <v>1.3775047412552699E-3</v>
      </c>
      <c r="R2278" s="12" t="str">
        <f ca="1">IFERROR(__xludf.DUMMYFUNCTION("""COMPUTED_VALUE"""),"Smokin' Aces ")</f>
        <v>Smokin' Aces </v>
      </c>
      <c r="S2278" s="12">
        <f t="shared" si="79"/>
        <v>-64126626</v>
      </c>
    </row>
    <row r="2279" spans="1:19" x14ac:dyDescent="0.3">
      <c r="A2279" s="2" t="s">
        <v>705</v>
      </c>
      <c r="B2279" s="2">
        <v>108</v>
      </c>
      <c r="C2279" s="3">
        <v>57651794</v>
      </c>
      <c r="D2279" s="3" t="s">
        <v>6121</v>
      </c>
      <c r="E2279" s="2" t="s">
        <v>2532</v>
      </c>
      <c r="F2279" s="2" t="s">
        <v>10</v>
      </c>
      <c r="G2279" s="2" t="s">
        <v>11</v>
      </c>
      <c r="H2279" s="2">
        <v>25000000</v>
      </c>
      <c r="I2279" s="2">
        <v>6.2</v>
      </c>
      <c r="J2279" s="3">
        <v>34074895</v>
      </c>
      <c r="K2279">
        <f t="shared" si="78"/>
        <v>1.3775047412552699E-3</v>
      </c>
      <c r="R2279" s="12" t="str">
        <f ca="1">IFERROR(__xludf.DUMMYFUNCTION("""COMPUTED_VALUE"""),"Saw 3D: The Final Chapter ")</f>
        <v>Saw 3D: The Final Chapter </v>
      </c>
      <c r="S2279" s="12">
        <f t="shared" si="79"/>
        <v>-65984214</v>
      </c>
    </row>
    <row r="2280" spans="1:19" x14ac:dyDescent="0.3">
      <c r="A2280" s="2" t="s">
        <v>1883</v>
      </c>
      <c r="B2280" s="2">
        <v>87</v>
      </c>
      <c r="C2280" s="3">
        <v>4600000</v>
      </c>
      <c r="D2280" s="3" t="s">
        <v>6100</v>
      </c>
      <c r="E2280" s="2" t="s">
        <v>5240</v>
      </c>
      <c r="F2280" s="2" t="s">
        <v>10</v>
      </c>
      <c r="G2280" s="2" t="s">
        <v>11</v>
      </c>
      <c r="H2280" s="2">
        <v>1250000</v>
      </c>
      <c r="I2280" s="2">
        <v>6.1</v>
      </c>
      <c r="J2280" s="3">
        <v>34098563</v>
      </c>
      <c r="K2280">
        <f t="shared" si="78"/>
        <v>1.3775047412552699E-3</v>
      </c>
      <c r="R2280" s="12" t="str">
        <f ca="1">IFERROR(__xludf.DUMMYFUNCTION("""COMPUTED_VALUE"""),"40 Days and 40 Nights ")</f>
        <v>40 Days and 40 Nights </v>
      </c>
      <c r="S2280" s="12">
        <f t="shared" si="79"/>
        <v>-5981636</v>
      </c>
    </row>
    <row r="2281" spans="1:19" x14ac:dyDescent="0.3">
      <c r="A2281" s="2" t="s">
        <v>4234</v>
      </c>
      <c r="B2281" s="2">
        <v>117</v>
      </c>
      <c r="C2281" s="3">
        <v>65000000</v>
      </c>
      <c r="D2281" s="3" t="s">
        <v>6351</v>
      </c>
      <c r="E2281" s="2" t="s">
        <v>4235</v>
      </c>
      <c r="F2281" s="2" t="s">
        <v>10</v>
      </c>
      <c r="G2281" s="2" t="s">
        <v>11</v>
      </c>
      <c r="H2281" s="2">
        <v>8500000</v>
      </c>
      <c r="I2281" s="2">
        <v>7.9</v>
      </c>
      <c r="J2281" s="3">
        <v>34099640</v>
      </c>
      <c r="K2281">
        <f t="shared" si="78"/>
        <v>1.3775047412552699E-3</v>
      </c>
      <c r="R2281" s="12" t="str">
        <f ca="1">IFERROR(__xludf.DUMMYFUNCTION("""COMPUTED_VALUE"""),"A Night at the Roxbury ")</f>
        <v>A Night at the Roxbury </v>
      </c>
      <c r="S2281" s="12">
        <f t="shared" si="79"/>
        <v>-31786623</v>
      </c>
    </row>
    <row r="2282" spans="1:19" x14ac:dyDescent="0.3">
      <c r="A2282" s="2" t="s">
        <v>2948</v>
      </c>
      <c r="B2282" s="2">
        <v>75</v>
      </c>
      <c r="C2282" s="2">
        <v>23078294</v>
      </c>
      <c r="D2282" s="3" t="s">
        <v>6163</v>
      </c>
      <c r="E2282" s="2" t="s">
        <v>2949</v>
      </c>
      <c r="F2282" s="2" t="s">
        <v>10</v>
      </c>
      <c r="G2282" s="2" t="s">
        <v>11</v>
      </c>
      <c r="H2282" s="2">
        <v>9000000</v>
      </c>
      <c r="I2282" s="2">
        <v>5.0999999999999996</v>
      </c>
      <c r="J2282" s="3">
        <v>34126138</v>
      </c>
      <c r="K2282">
        <f t="shared" si="78"/>
        <v>1.3775047412552699E-3</v>
      </c>
      <c r="R2282" s="12" t="str">
        <f ca="1">IFERROR(__xludf.DUMMYFUNCTION("""COMPUTED_VALUE"""),"Beastly ")</f>
        <v>Beastly </v>
      </c>
      <c r="S2282" s="12">
        <f t="shared" si="79"/>
        <v>3681503</v>
      </c>
    </row>
    <row r="2283" spans="1:19" x14ac:dyDescent="0.3">
      <c r="A2283" s="2" t="s">
        <v>427</v>
      </c>
      <c r="B2283" s="2">
        <v>90</v>
      </c>
      <c r="C2283" s="3">
        <v>15523168</v>
      </c>
      <c r="D2283" s="3" t="s">
        <v>6260</v>
      </c>
      <c r="E2283" s="2" t="s">
        <v>2731</v>
      </c>
      <c r="F2283" s="2" t="s">
        <v>10</v>
      </c>
      <c r="G2283" s="2" t="s">
        <v>11</v>
      </c>
      <c r="H2283" s="2">
        <v>20000000</v>
      </c>
      <c r="I2283" s="2">
        <v>6.1</v>
      </c>
      <c r="J2283" s="3">
        <v>34180954</v>
      </c>
      <c r="K2283">
        <f t="shared" si="78"/>
        <v>1.3775047412552699E-3</v>
      </c>
      <c r="R2283" s="12" t="str">
        <f ca="1">IFERROR(__xludf.DUMMYFUNCTION("""COMPUTED_VALUE"""),"The Hills Have Eyes ")</f>
        <v>The Hills Have Eyes </v>
      </c>
      <c r="S2283" s="12">
        <f t="shared" si="79"/>
        <v>706786</v>
      </c>
    </row>
    <row r="2284" spans="1:19" x14ac:dyDescent="0.3">
      <c r="A2284" s="2" t="s">
        <v>1266</v>
      </c>
      <c r="B2284" s="2">
        <v>119</v>
      </c>
      <c r="C2284" s="3">
        <v>4599680</v>
      </c>
      <c r="D2284" s="3" t="s">
        <v>6151</v>
      </c>
      <c r="E2284" s="2" t="s">
        <v>1267</v>
      </c>
      <c r="F2284" s="2" t="s">
        <v>10</v>
      </c>
      <c r="G2284" s="2" t="s">
        <v>11</v>
      </c>
      <c r="H2284" s="2">
        <v>55000000</v>
      </c>
      <c r="I2284" s="2">
        <v>6.4</v>
      </c>
      <c r="J2284" s="3">
        <v>34238611</v>
      </c>
      <c r="K2284">
        <f t="shared" si="78"/>
        <v>1.3775047412552699E-3</v>
      </c>
      <c r="R2284" s="12" t="str">
        <f ca="1">IFERROR(__xludf.DUMMYFUNCTION("""COMPUTED_VALUE"""),"Dickie Roberts: Former Child Star ")</f>
        <v>Dickie Roberts: Former Child Star </v>
      </c>
      <c r="S2284" s="12">
        <f t="shared" si="79"/>
        <v>19021685</v>
      </c>
    </row>
    <row r="2285" spans="1:19" x14ac:dyDescent="0.3">
      <c r="A2285" s="2" t="s">
        <v>167</v>
      </c>
      <c r="B2285" s="2">
        <v>116</v>
      </c>
      <c r="C2285" s="3">
        <v>28871190</v>
      </c>
      <c r="D2285" s="3" t="s">
        <v>5894</v>
      </c>
      <c r="E2285" s="2" t="s">
        <v>1016</v>
      </c>
      <c r="F2285" s="2" t="s">
        <v>10</v>
      </c>
      <c r="G2285" s="2" t="s">
        <v>504</v>
      </c>
      <c r="H2285" s="2">
        <v>62000000</v>
      </c>
      <c r="I2285" s="2">
        <v>6.6</v>
      </c>
      <c r="J2285" s="3">
        <v>34290142</v>
      </c>
      <c r="K2285">
        <f t="shared" si="78"/>
        <v>1.3775047412552699E-3</v>
      </c>
      <c r="R2285" s="12" t="str">
        <f ca="1">IFERROR(__xludf.DUMMYFUNCTION("""COMPUTED_VALUE"""),"McFarland, USA ")</f>
        <v>McFarland, USA </v>
      </c>
      <c r="S2285" s="12">
        <f t="shared" si="79"/>
        <v>-4994117</v>
      </c>
    </row>
    <row r="2286" spans="1:19" x14ac:dyDescent="0.3">
      <c r="A2286" s="2" t="s">
        <v>1338</v>
      </c>
      <c r="B2286" s="2">
        <v>129</v>
      </c>
      <c r="C2286" s="3">
        <v>39852</v>
      </c>
      <c r="D2286" s="3" t="s">
        <v>5767</v>
      </c>
      <c r="E2286" s="2" t="s">
        <v>4020</v>
      </c>
      <c r="F2286" s="2" t="s">
        <v>10</v>
      </c>
      <c r="G2286" s="2" t="s">
        <v>11</v>
      </c>
      <c r="H2286" s="2">
        <v>10000000</v>
      </c>
      <c r="I2286" s="2">
        <v>6.5</v>
      </c>
      <c r="J2286" s="3">
        <v>34293771</v>
      </c>
      <c r="K2286">
        <f t="shared" si="78"/>
        <v>1.3775047412552699E-3</v>
      </c>
      <c r="R2286" s="12" t="str">
        <f ca="1">IFERROR(__xludf.DUMMYFUNCTION("""COMPUTED_VALUE"""),"Pitch Perfect ")</f>
        <v>Pitch Perfect </v>
      </c>
      <c r="S2286" s="12">
        <f t="shared" si="79"/>
        <v>51372378</v>
      </c>
    </row>
    <row r="2287" spans="1:19" x14ac:dyDescent="0.3">
      <c r="A2287" s="2" t="s">
        <v>3615</v>
      </c>
      <c r="B2287" s="2">
        <v>112</v>
      </c>
      <c r="C2287" s="3">
        <v>28837115</v>
      </c>
      <c r="D2287" s="3" t="s">
        <v>6151</v>
      </c>
      <c r="E2287" s="2" t="s">
        <v>3616</v>
      </c>
      <c r="F2287" s="2" t="s">
        <v>10</v>
      </c>
      <c r="G2287" s="2" t="s">
        <v>11</v>
      </c>
      <c r="H2287" s="2">
        <v>14000000</v>
      </c>
      <c r="I2287" s="2">
        <v>7</v>
      </c>
      <c r="J2287" s="3">
        <v>34300771</v>
      </c>
      <c r="K2287">
        <f t="shared" si="78"/>
        <v>1.3775047412552699E-3</v>
      </c>
      <c r="R2287" s="12" t="str">
        <f ca="1">IFERROR(__xludf.DUMMYFUNCTION("""COMPUTED_VALUE"""),"Summer Catch ")</f>
        <v>Summer Catch </v>
      </c>
      <c r="S2287" s="12">
        <f t="shared" si="79"/>
        <v>-19887065</v>
      </c>
    </row>
    <row r="2288" spans="1:19" x14ac:dyDescent="0.3">
      <c r="A2288" s="2" t="s">
        <v>5025</v>
      </c>
      <c r="B2288" s="2">
        <v>100</v>
      </c>
      <c r="C2288" s="3">
        <v>37882551</v>
      </c>
      <c r="D2288" s="3" t="s">
        <v>5869</v>
      </c>
      <c r="E2288" s="2" t="s">
        <v>5026</v>
      </c>
      <c r="F2288" s="2" t="s">
        <v>10</v>
      </c>
      <c r="G2288" s="2" t="s">
        <v>11</v>
      </c>
      <c r="H2288" s="2">
        <v>2500000</v>
      </c>
      <c r="I2288" s="2">
        <v>5.7</v>
      </c>
      <c r="J2288" s="3">
        <v>34308901</v>
      </c>
      <c r="K2288">
        <f t="shared" si="78"/>
        <v>1.3775047412552699E-3</v>
      </c>
      <c r="R2288" s="12" t="str">
        <f ca="1">IFERROR(__xludf.DUMMYFUNCTION("""COMPUTED_VALUE"""),"A Simple Plan ")</f>
        <v>A Simple Plan </v>
      </c>
      <c r="S2288" s="12">
        <f t="shared" si="79"/>
        <v>-31790560</v>
      </c>
    </row>
    <row r="2289" spans="1:19" x14ac:dyDescent="0.3">
      <c r="A2289" s="2" t="s">
        <v>3184</v>
      </c>
      <c r="B2289" s="2">
        <v>98</v>
      </c>
      <c r="C2289" s="2">
        <v>8000000</v>
      </c>
      <c r="D2289" s="3" t="s">
        <v>885</v>
      </c>
      <c r="E2289" s="2" t="s">
        <v>3185</v>
      </c>
      <c r="F2289" s="2" t="s">
        <v>10</v>
      </c>
      <c r="G2289" s="2" t="s">
        <v>11</v>
      </c>
      <c r="H2289" s="2">
        <v>18000000</v>
      </c>
      <c r="I2289" s="2">
        <v>5</v>
      </c>
      <c r="J2289" s="3">
        <v>34334256</v>
      </c>
      <c r="K2289">
        <f t="shared" si="78"/>
        <v>1.3775047412552699E-3</v>
      </c>
      <c r="R2289" s="12" t="str">
        <f ca="1">IFERROR(__xludf.DUMMYFUNCTION("""COMPUTED_VALUE"""),"They ")</f>
        <v>They </v>
      </c>
      <c r="S2289" s="12">
        <f t="shared" si="79"/>
        <v>-1760442</v>
      </c>
    </row>
    <row r="2290" spans="1:19" x14ac:dyDescent="0.3">
      <c r="A2290" s="2" t="s">
        <v>4722</v>
      </c>
      <c r="B2290" s="2">
        <v>118</v>
      </c>
      <c r="C2290" s="3">
        <v>4584886</v>
      </c>
      <c r="D2290" s="3" t="s">
        <v>5940</v>
      </c>
      <c r="E2290" s="2" t="s">
        <v>4723</v>
      </c>
      <c r="F2290" s="2" t="s">
        <v>10</v>
      </c>
      <c r="G2290" s="2" t="s">
        <v>11</v>
      </c>
      <c r="H2290" s="2">
        <v>4700000</v>
      </c>
      <c r="I2290" s="2">
        <v>6.7</v>
      </c>
      <c r="J2290" s="3">
        <v>34350553</v>
      </c>
      <c r="K2290">
        <f t="shared" si="78"/>
        <v>1.3775047412552699E-3</v>
      </c>
      <c r="R2290" s="12" t="str">
        <f ca="1">IFERROR(__xludf.DUMMYFUNCTION("""COMPUTED_VALUE"""),"Larry the Cable Guy: Health Inspector ")</f>
        <v>Larry the Cable Guy: Health Inspector </v>
      </c>
      <c r="S2290" s="12">
        <f t="shared" si="79"/>
        <v>-234582229</v>
      </c>
    </row>
    <row r="2291" spans="1:19" x14ac:dyDescent="0.3">
      <c r="A2291" s="2" t="s">
        <v>922</v>
      </c>
      <c r="B2291" s="2">
        <v>104</v>
      </c>
      <c r="C2291" s="3">
        <v>76137505</v>
      </c>
      <c r="D2291" s="3" t="s">
        <v>520</v>
      </c>
      <c r="E2291" s="2" t="s">
        <v>5413</v>
      </c>
      <c r="F2291" s="2" t="s">
        <v>10</v>
      </c>
      <c r="G2291" s="2" t="s">
        <v>11</v>
      </c>
      <c r="H2291" s="2">
        <v>950000</v>
      </c>
      <c r="I2291" s="2">
        <v>7.1</v>
      </c>
      <c r="J2291" s="3">
        <v>34468224</v>
      </c>
      <c r="K2291">
        <f t="shared" si="78"/>
        <v>1.3775047412552699E-3</v>
      </c>
      <c r="R2291" s="12" t="str">
        <f ca="1">IFERROR(__xludf.DUMMYFUNCTION("""COMPUTED_VALUE"""),"The Adventures of Elmo in Grouchland ")</f>
        <v>The Adventures of Elmo in Grouchland </v>
      </c>
      <c r="S2291" s="12">
        <f t="shared" si="79"/>
        <v>-10791061</v>
      </c>
    </row>
    <row r="2292" spans="1:19" x14ac:dyDescent="0.3">
      <c r="A2292" s="2" t="s">
        <v>81</v>
      </c>
      <c r="B2292" s="2">
        <v>95</v>
      </c>
      <c r="C2292" s="3">
        <v>14469428</v>
      </c>
      <c r="D2292" s="3" t="s">
        <v>5849</v>
      </c>
      <c r="E2292" s="2" t="s">
        <v>1532</v>
      </c>
      <c r="F2292" s="2" t="s">
        <v>10</v>
      </c>
      <c r="G2292" s="2" t="s">
        <v>11</v>
      </c>
      <c r="H2292" s="2">
        <v>120000000</v>
      </c>
      <c r="I2292" s="2">
        <v>7.2</v>
      </c>
      <c r="J2292" s="3">
        <v>34507079</v>
      </c>
      <c r="K2292">
        <f t="shared" si="78"/>
        <v>1.3775047412552699E-3</v>
      </c>
      <c r="R2292" s="12" t="str">
        <f ca="1">IFERROR(__xludf.DUMMYFUNCTION("""COMPUTED_VALUE"""),"Brooklyn's Finest ")</f>
        <v>Brooklyn's Finest </v>
      </c>
      <c r="S2292" s="12">
        <f t="shared" si="79"/>
        <v>7905674</v>
      </c>
    </row>
    <row r="2293" spans="1:19" x14ac:dyDescent="0.3">
      <c r="A2293" s="2" t="s">
        <v>1405</v>
      </c>
      <c r="B2293" s="2">
        <v>101</v>
      </c>
      <c r="C2293" s="3">
        <v>109176215</v>
      </c>
      <c r="D2293" s="3" t="s">
        <v>885</v>
      </c>
      <c r="E2293" s="2" t="s">
        <v>3358</v>
      </c>
      <c r="F2293" s="2" t="s">
        <v>10</v>
      </c>
      <c r="G2293" s="2" t="s">
        <v>16</v>
      </c>
      <c r="H2293" s="2">
        <v>20000000</v>
      </c>
      <c r="I2293" s="2">
        <v>7</v>
      </c>
      <c r="J2293" s="3">
        <v>34522221</v>
      </c>
      <c r="K2293">
        <f t="shared" si="78"/>
        <v>1.3775047412552699E-3</v>
      </c>
      <c r="R2293" s="12" t="str">
        <f ca="1">IFERROR(__xludf.DUMMYFUNCTION("""COMPUTED_VALUE"""),"Evil Dead ")</f>
        <v>Evil Dead </v>
      </c>
      <c r="S2293" s="12">
        <f t="shared" si="79"/>
        <v>36099638</v>
      </c>
    </row>
    <row r="2294" spans="1:19" x14ac:dyDescent="0.3">
      <c r="A2294" s="2" t="s">
        <v>436</v>
      </c>
      <c r="B2294" s="2">
        <v>90</v>
      </c>
      <c r="C2294" s="3">
        <v>14343976</v>
      </c>
      <c r="D2294" s="3" t="s">
        <v>520</v>
      </c>
      <c r="E2294" s="2" t="s">
        <v>2370</v>
      </c>
      <c r="F2294" s="2" t="s">
        <v>10</v>
      </c>
      <c r="G2294" s="2" t="s">
        <v>11</v>
      </c>
      <c r="H2294" s="2">
        <v>28000000</v>
      </c>
      <c r="I2294" s="2">
        <v>8</v>
      </c>
      <c r="J2294" s="3">
        <v>34531832</v>
      </c>
      <c r="K2294">
        <f t="shared" si="78"/>
        <v>1.3775047412552699E-3</v>
      </c>
      <c r="R2294" s="12" t="str">
        <f ca="1">IFERROR(__xludf.DUMMYFUNCTION("""COMPUTED_VALUE"""),"My Life in Ruins ")</f>
        <v>My Life in Ruins </v>
      </c>
      <c r="S2294" s="12">
        <f t="shared" si="79"/>
        <v>-165348023</v>
      </c>
    </row>
    <row r="2295" spans="1:19" x14ac:dyDescent="0.3">
      <c r="A2295" s="2" t="s">
        <v>306</v>
      </c>
      <c r="B2295" s="2">
        <v>92</v>
      </c>
      <c r="C2295" s="3">
        <v>676698</v>
      </c>
      <c r="D2295" s="3" t="s">
        <v>6069</v>
      </c>
      <c r="E2295" s="2" t="s">
        <v>307</v>
      </c>
      <c r="F2295" s="2" t="s">
        <v>10</v>
      </c>
      <c r="G2295" s="2" t="s">
        <v>11</v>
      </c>
      <c r="H2295" s="2">
        <v>130000000</v>
      </c>
      <c r="I2295" s="2">
        <v>7.6</v>
      </c>
      <c r="J2295" s="3">
        <v>34543701</v>
      </c>
      <c r="K2295">
        <f t="shared" si="78"/>
        <v>1.3775047412552699E-3</v>
      </c>
      <c r="R2295" s="12" t="str">
        <f ca="1">IFERROR(__xludf.DUMMYFUNCTION("""COMPUTED_VALUE"""),"American Dreamz ")</f>
        <v>American Dreamz </v>
      </c>
      <c r="S2295" s="12">
        <f t="shared" si="79"/>
        <v>30230435</v>
      </c>
    </row>
    <row r="2296" spans="1:19" x14ac:dyDescent="0.3">
      <c r="A2296" s="2" t="s">
        <v>2283</v>
      </c>
      <c r="B2296" s="2">
        <v>105</v>
      </c>
      <c r="C2296" s="3">
        <v>1024175</v>
      </c>
      <c r="D2296" s="3" t="s">
        <v>5849</v>
      </c>
      <c r="E2296" s="2" t="s">
        <v>2284</v>
      </c>
      <c r="F2296" s="2" t="s">
        <v>10</v>
      </c>
      <c r="G2296" s="2" t="s">
        <v>11</v>
      </c>
      <c r="H2296" s="2">
        <v>35000000</v>
      </c>
      <c r="I2296" s="2">
        <v>5.2</v>
      </c>
      <c r="J2296" s="3">
        <v>34566746</v>
      </c>
      <c r="K2296">
        <f t="shared" si="78"/>
        <v>1.3775047412552699E-3</v>
      </c>
      <c r="R2296" s="12" t="str">
        <f ca="1">IFERROR(__xludf.DUMMYFUNCTION("""COMPUTED_VALUE"""),"Superman IV: The Quest for Peace ")</f>
        <v>Superman IV: The Quest for Peace </v>
      </c>
      <c r="S2296" s="12">
        <f t="shared" si="79"/>
        <v>-24303790</v>
      </c>
    </row>
    <row r="2297" spans="1:19" x14ac:dyDescent="0.3">
      <c r="A2297" s="2" t="s">
        <v>4645</v>
      </c>
      <c r="B2297" s="2">
        <v>82</v>
      </c>
      <c r="C2297" s="3">
        <v>5217498</v>
      </c>
      <c r="D2297" s="3" t="s">
        <v>5906</v>
      </c>
      <c r="E2297" s="2" t="s">
        <v>4646</v>
      </c>
      <c r="F2297" s="2" t="s">
        <v>10</v>
      </c>
      <c r="G2297" s="2" t="s">
        <v>11</v>
      </c>
      <c r="H2297" s="2">
        <v>5000000</v>
      </c>
      <c r="I2297" s="2">
        <v>3.8</v>
      </c>
      <c r="J2297" s="3">
        <v>34580635</v>
      </c>
      <c r="K2297">
        <f t="shared" si="78"/>
        <v>1.3775047412552699E-3</v>
      </c>
      <c r="R2297" s="12" t="str">
        <f ca="1">IFERROR(__xludf.DUMMYFUNCTION("""COMPUTED_VALUE"""),"Running Scared ")</f>
        <v>Running Scared </v>
      </c>
      <c r="S2297" s="12">
        <f t="shared" si="79"/>
        <v>-6428265</v>
      </c>
    </row>
    <row r="2298" spans="1:19" x14ac:dyDescent="0.3">
      <c r="A2298" s="2" t="s">
        <v>179</v>
      </c>
      <c r="B2298" s="2">
        <v>104</v>
      </c>
      <c r="C2298" s="3">
        <v>22877808</v>
      </c>
      <c r="D2298" s="3" t="s">
        <v>6324</v>
      </c>
      <c r="E2298" s="2" t="s">
        <v>203</v>
      </c>
      <c r="F2298" s="2" t="s">
        <v>10</v>
      </c>
      <c r="G2298" s="2" t="s">
        <v>11</v>
      </c>
      <c r="H2298" s="2">
        <v>150000000</v>
      </c>
      <c r="I2298" s="2">
        <v>7.2</v>
      </c>
      <c r="J2298" s="3">
        <v>34604054</v>
      </c>
      <c r="K2298">
        <f t="shared" si="78"/>
        <v>1.3775047412552699E-3</v>
      </c>
      <c r="R2298" s="12" t="str">
        <f ca="1">IFERROR(__xludf.DUMMYFUNCTION("""COMPUTED_VALUE"""),"Shanghai Surprise ")</f>
        <v>Shanghai Surprise </v>
      </c>
      <c r="S2298" s="12">
        <f t="shared" si="79"/>
        <v>-460436159</v>
      </c>
    </row>
    <row r="2299" spans="1:19" x14ac:dyDescent="0.3">
      <c r="A2299" s="2" t="s">
        <v>67</v>
      </c>
      <c r="B2299" s="2">
        <v>115</v>
      </c>
      <c r="C2299" s="3">
        <v>1310270</v>
      </c>
      <c r="D2299" s="3" t="s">
        <v>1703</v>
      </c>
      <c r="E2299" s="2" t="s">
        <v>204</v>
      </c>
      <c r="F2299" s="2" t="s">
        <v>10</v>
      </c>
      <c r="G2299" s="2" t="s">
        <v>11</v>
      </c>
      <c r="H2299" s="2">
        <v>150000000</v>
      </c>
      <c r="I2299" s="2">
        <v>6.7</v>
      </c>
      <c r="J2299" s="3">
        <v>34636443</v>
      </c>
      <c r="K2299">
        <f t="shared" si="78"/>
        <v>1.3775047412552699E-3</v>
      </c>
      <c r="R2299" s="12" t="str">
        <f ca="1">IFERROR(__xludf.DUMMYFUNCTION("""COMPUTED_VALUE"""),"The Illusionist ")</f>
        <v>The Illusionist </v>
      </c>
      <c r="S2299" s="12">
        <f t="shared" si="79"/>
        <v>-64630427</v>
      </c>
    </row>
    <row r="2300" spans="1:19" x14ac:dyDescent="0.3">
      <c r="A2300" s="2" t="s">
        <v>4319</v>
      </c>
      <c r="B2300" s="2">
        <v>89</v>
      </c>
      <c r="C2300" s="3">
        <v>9054736</v>
      </c>
      <c r="D2300" s="3" t="s">
        <v>885</v>
      </c>
      <c r="E2300" s="2" t="s">
        <v>4320</v>
      </c>
      <c r="F2300" s="2" t="s">
        <v>1933</v>
      </c>
      <c r="G2300" s="2" t="s">
        <v>1008</v>
      </c>
      <c r="H2300" s="2">
        <v>7500000</v>
      </c>
      <c r="I2300" s="2">
        <v>6.7</v>
      </c>
      <c r="J2300" s="3">
        <v>34667015</v>
      </c>
      <c r="K2300">
        <f t="shared" si="78"/>
        <v>1.3775047412552699E-3</v>
      </c>
      <c r="R2300" s="12" t="str">
        <f ca="1">IFERROR(__xludf.DUMMYFUNCTION("""COMPUTED_VALUE"""),"Roar ")</f>
        <v>Roar </v>
      </c>
      <c r="S2300" s="12">
        <f t="shared" si="79"/>
        <v>24573085</v>
      </c>
    </row>
    <row r="2301" spans="1:19" x14ac:dyDescent="0.3">
      <c r="A2301" s="2" t="s">
        <v>1338</v>
      </c>
      <c r="B2301" s="2">
        <v>88</v>
      </c>
      <c r="C2301" s="3">
        <v>25000000</v>
      </c>
      <c r="D2301" s="3" t="s">
        <v>5975</v>
      </c>
      <c r="E2301" s="2" t="s">
        <v>5648</v>
      </c>
      <c r="F2301" s="2" t="s">
        <v>10</v>
      </c>
      <c r="G2301" s="2" t="s">
        <v>11</v>
      </c>
      <c r="H2301" s="3">
        <v>474544677</v>
      </c>
      <c r="I2301" s="2">
        <v>6.5</v>
      </c>
      <c r="J2301" s="3">
        <v>34700000</v>
      </c>
      <c r="K2301">
        <f t="shared" si="78"/>
        <v>1.3775047412552699E-3</v>
      </c>
      <c r="R2301" s="12" t="str">
        <f ca="1">IFERROR(__xludf.DUMMYFUNCTION("""COMPUTED_VALUE"""),"Veronica Guerin ")</f>
        <v>Veronica Guerin </v>
      </c>
      <c r="S2301" s="12">
        <f t="shared" si="79"/>
        <v>32651794</v>
      </c>
    </row>
    <row r="2302" spans="1:19" x14ac:dyDescent="0.3">
      <c r="A2302" s="2" t="s">
        <v>1087</v>
      </c>
      <c r="B2302" s="2">
        <v>108</v>
      </c>
      <c r="C2302" s="3">
        <v>17718223</v>
      </c>
      <c r="D2302" s="3" t="s">
        <v>6352</v>
      </c>
      <c r="E2302" s="2" t="s">
        <v>2300</v>
      </c>
      <c r="F2302" s="2" t="s">
        <v>10</v>
      </c>
      <c r="G2302" s="2" t="s">
        <v>11</v>
      </c>
      <c r="H2302" s="2">
        <v>30000000</v>
      </c>
      <c r="I2302" s="2">
        <v>5.9</v>
      </c>
      <c r="J2302" s="3">
        <v>34703228</v>
      </c>
      <c r="K2302">
        <f t="shared" si="78"/>
        <v>1.3775047412552699E-3</v>
      </c>
      <c r="R2302" s="12" t="str">
        <f ca="1">IFERROR(__xludf.DUMMYFUNCTION("""COMPUTED_VALUE"""),"Escobar: Paradise Lost ")</f>
        <v>Escobar: Paradise Lost </v>
      </c>
      <c r="S2302" s="12">
        <f t="shared" si="79"/>
        <v>3350000</v>
      </c>
    </row>
    <row r="2303" spans="1:19" x14ac:dyDescent="0.3">
      <c r="A2303" s="2" t="s">
        <v>89</v>
      </c>
      <c r="B2303" s="2">
        <v>106</v>
      </c>
      <c r="C2303" s="3">
        <v>60328558</v>
      </c>
      <c r="D2303" s="3" t="s">
        <v>6353</v>
      </c>
      <c r="E2303" s="2" t="s">
        <v>4590</v>
      </c>
      <c r="F2303" s="2" t="s">
        <v>10</v>
      </c>
      <c r="G2303" s="2" t="s">
        <v>11</v>
      </c>
      <c r="H2303" s="2">
        <v>5000000</v>
      </c>
      <c r="I2303" s="2">
        <v>6.6</v>
      </c>
      <c r="J2303" s="3">
        <v>34746109</v>
      </c>
      <c r="K2303">
        <f t="shared" si="78"/>
        <v>1.3775047412552699E-3</v>
      </c>
      <c r="R2303" s="12" t="str">
        <f ca="1">IFERROR(__xludf.DUMMYFUNCTION("""COMPUTED_VALUE"""),"Southland Tales ")</f>
        <v>Southland Tales </v>
      </c>
      <c r="S2303" s="12">
        <f t="shared" si="79"/>
        <v>56500000</v>
      </c>
    </row>
    <row r="2304" spans="1:19" x14ac:dyDescent="0.3">
      <c r="A2304" s="2" t="s">
        <v>1915</v>
      </c>
      <c r="B2304" s="2">
        <v>99</v>
      </c>
      <c r="C2304" s="3">
        <v>40990055</v>
      </c>
      <c r="D2304" s="3" t="s">
        <v>6100</v>
      </c>
      <c r="E2304" s="2" t="s">
        <v>3641</v>
      </c>
      <c r="F2304" s="2" t="s">
        <v>10</v>
      </c>
      <c r="G2304" s="2" t="s">
        <v>11</v>
      </c>
      <c r="H2304" s="2">
        <v>14000000</v>
      </c>
      <c r="I2304" s="2">
        <v>5.0999999999999996</v>
      </c>
      <c r="J2304" s="3">
        <v>34793160</v>
      </c>
      <c r="K2304">
        <f t="shared" si="78"/>
        <v>1.3775047412552699E-3</v>
      </c>
      <c r="R2304" s="12" t="str">
        <f ca="1">IFERROR(__xludf.DUMMYFUNCTION("""COMPUTED_VALUE"""),"The Apparition ")</f>
        <v>The Apparition </v>
      </c>
      <c r="S2304" s="12">
        <f t="shared" si="79"/>
        <v>14078294</v>
      </c>
    </row>
    <row r="2305" spans="1:19" x14ac:dyDescent="0.3">
      <c r="A2305" s="2" t="s">
        <v>4547</v>
      </c>
      <c r="B2305" s="2">
        <v>91</v>
      </c>
      <c r="C2305" s="3">
        <v>76081498</v>
      </c>
      <c r="D2305" s="3" t="s">
        <v>6062</v>
      </c>
      <c r="E2305" s="2" t="s">
        <v>5573</v>
      </c>
      <c r="F2305" s="2" t="s">
        <v>751</v>
      </c>
      <c r="G2305" s="2" t="s">
        <v>504</v>
      </c>
      <c r="H2305" s="2">
        <v>300000</v>
      </c>
      <c r="I2305" s="2">
        <v>6.9</v>
      </c>
      <c r="J2305" s="3">
        <v>34872293</v>
      </c>
      <c r="K2305">
        <f t="shared" si="78"/>
        <v>1.3775047412552699E-3</v>
      </c>
      <c r="R2305" s="12" t="str">
        <f ca="1">IFERROR(__xludf.DUMMYFUNCTION("""COMPUTED_VALUE"""),"My Girl ")</f>
        <v>My Girl </v>
      </c>
      <c r="S2305" s="12">
        <f t="shared" si="79"/>
        <v>-4476832</v>
      </c>
    </row>
    <row r="2306" spans="1:19" x14ac:dyDescent="0.3">
      <c r="A2306" s="2" t="s">
        <v>1999</v>
      </c>
      <c r="B2306" s="2">
        <v>101</v>
      </c>
      <c r="C2306" s="3">
        <v>12801190</v>
      </c>
      <c r="D2306" s="3" t="s">
        <v>6103</v>
      </c>
      <c r="E2306" s="2" t="s">
        <v>2000</v>
      </c>
      <c r="F2306" s="2" t="s">
        <v>10</v>
      </c>
      <c r="G2306" s="2" t="s">
        <v>11</v>
      </c>
      <c r="H2306" s="2">
        <v>35000000</v>
      </c>
      <c r="I2306" s="2">
        <v>5.2</v>
      </c>
      <c r="J2306" s="3">
        <v>34912982</v>
      </c>
      <c r="K2306">
        <f t="shared" ref="K2306:K2369" si="80">CORREL(H$2:H$3941,J$2:J$3941)</f>
        <v>1.3775047412552699E-3</v>
      </c>
      <c r="R2306" s="12" t="str">
        <f ca="1">IFERROR(__xludf.DUMMYFUNCTION("""COMPUTED_VALUE"""),"Fur: An Imaginary Portrait of Diane Arbus ")</f>
        <v>Fur: An Imaginary Portrait of Diane Arbus </v>
      </c>
      <c r="S2306" s="12">
        <f t="shared" si="79"/>
        <v>-50400320</v>
      </c>
    </row>
    <row r="2307" spans="1:19" x14ac:dyDescent="0.3">
      <c r="A2307" s="2" t="s">
        <v>5560</v>
      </c>
      <c r="B2307" s="2">
        <v>100</v>
      </c>
      <c r="C2307" s="3">
        <v>60338891</v>
      </c>
      <c r="D2307" s="3" t="s">
        <v>6073</v>
      </c>
      <c r="E2307" s="2" t="s">
        <v>5561</v>
      </c>
      <c r="F2307" s="2" t="s">
        <v>10</v>
      </c>
      <c r="G2307" s="2" t="s">
        <v>11</v>
      </c>
      <c r="H2307" s="2">
        <v>379000</v>
      </c>
      <c r="I2307" s="2">
        <v>6.3</v>
      </c>
      <c r="J2307" s="3">
        <v>34963967</v>
      </c>
      <c r="K2307">
        <f t="shared" si="80"/>
        <v>1.3775047412552699E-3</v>
      </c>
      <c r="R2307" s="12" t="str">
        <f ca="1">IFERROR(__xludf.DUMMYFUNCTION("""COMPUTED_VALUE"""),"Wall Street ")</f>
        <v>Wall Street </v>
      </c>
      <c r="S2307" s="12">
        <f t="shared" si="79"/>
        <v>-33128810</v>
      </c>
    </row>
    <row r="2308" spans="1:19" x14ac:dyDescent="0.3">
      <c r="A2308" s="2" t="s">
        <v>519</v>
      </c>
      <c r="B2308" s="2">
        <v>108</v>
      </c>
      <c r="C2308" s="3">
        <v>64286</v>
      </c>
      <c r="D2308" s="3" t="s">
        <v>6354</v>
      </c>
      <c r="E2308" s="2" t="s">
        <v>1198</v>
      </c>
      <c r="F2308" s="2" t="s">
        <v>10</v>
      </c>
      <c r="G2308" s="2" t="s">
        <v>11</v>
      </c>
      <c r="H2308" s="2">
        <v>55000000</v>
      </c>
      <c r="I2308" s="2">
        <v>7</v>
      </c>
      <c r="J2308" s="3">
        <v>34964818</v>
      </c>
      <c r="K2308">
        <f t="shared" si="80"/>
        <v>1.3775047412552699E-3</v>
      </c>
      <c r="R2308" s="12" t="str">
        <f ca="1">IFERROR(__xludf.DUMMYFUNCTION("""COMPUTED_VALUE"""),"Sense and Sensibility ")</f>
        <v>Sense and Sensibility </v>
      </c>
      <c r="S2308" s="12">
        <f t="shared" si="79"/>
        <v>-9960148</v>
      </c>
    </row>
    <row r="2309" spans="1:19" x14ac:dyDescent="0.3">
      <c r="A2309" s="2" t="s">
        <v>2704</v>
      </c>
      <c r="B2309" s="2">
        <v>110</v>
      </c>
      <c r="C2309" s="3">
        <v>22858926</v>
      </c>
      <c r="D2309" s="3" t="s">
        <v>5940</v>
      </c>
      <c r="E2309" s="2" t="s">
        <v>2705</v>
      </c>
      <c r="F2309" s="2" t="s">
        <v>10</v>
      </c>
      <c r="G2309" s="2" t="s">
        <v>199</v>
      </c>
      <c r="H2309" s="2">
        <v>24000000</v>
      </c>
      <c r="I2309" s="2">
        <v>6.3</v>
      </c>
      <c r="J2309" s="3">
        <v>35000629</v>
      </c>
      <c r="K2309">
        <f t="shared" si="80"/>
        <v>1.3775047412552699E-3</v>
      </c>
      <c r="R2309" s="12" t="str">
        <f ca="1">IFERROR(__xludf.DUMMYFUNCTION("""COMPUTED_VALUE"""),"Becoming Jane ")</f>
        <v>Becoming Jane </v>
      </c>
      <c r="S2309" s="12">
        <f t="shared" si="79"/>
        <v>14837115</v>
      </c>
    </row>
    <row r="2310" spans="1:19" x14ac:dyDescent="0.3">
      <c r="A2310" s="2" t="s">
        <v>5058</v>
      </c>
      <c r="B2310" s="2">
        <v>96</v>
      </c>
      <c r="C2310" s="3">
        <v>37877959</v>
      </c>
      <c r="D2310" s="3" t="s">
        <v>5767</v>
      </c>
      <c r="E2310" s="2" t="s">
        <v>5059</v>
      </c>
      <c r="F2310" s="2" t="s">
        <v>10</v>
      </c>
      <c r="G2310" s="2" t="s">
        <v>11</v>
      </c>
      <c r="H2310" s="2">
        <v>2300000</v>
      </c>
      <c r="I2310" s="2">
        <v>5.0999999999999996</v>
      </c>
      <c r="J2310" s="3">
        <v>35007180</v>
      </c>
      <c r="K2310">
        <f t="shared" si="80"/>
        <v>1.3775047412552699E-3</v>
      </c>
      <c r="R2310" s="12" t="str">
        <f ca="1">IFERROR(__xludf.DUMMYFUNCTION("""COMPUTED_VALUE"""),"Sydney White ")</f>
        <v>Sydney White </v>
      </c>
      <c r="S2310" s="12">
        <f t="shared" si="79"/>
        <v>35382551</v>
      </c>
    </row>
    <row r="2311" spans="1:19" x14ac:dyDescent="0.3">
      <c r="A2311" s="2" t="s">
        <v>74</v>
      </c>
      <c r="B2311" s="2">
        <v>144</v>
      </c>
      <c r="C2311" s="3">
        <v>317040</v>
      </c>
      <c r="D2311" s="3" t="s">
        <v>5849</v>
      </c>
      <c r="E2311" s="2" t="s">
        <v>196</v>
      </c>
      <c r="F2311" s="2" t="s">
        <v>10</v>
      </c>
      <c r="G2311" s="2" t="s">
        <v>11</v>
      </c>
      <c r="H2311" s="2">
        <v>150000000</v>
      </c>
      <c r="I2311" s="2">
        <v>7.1</v>
      </c>
      <c r="J2311" s="3">
        <v>35024475</v>
      </c>
      <c r="K2311">
        <f t="shared" si="80"/>
        <v>1.3775047412552699E-3</v>
      </c>
      <c r="R2311" s="12" t="str">
        <f ca="1">IFERROR(__xludf.DUMMYFUNCTION("""COMPUTED_VALUE"""),"House of Sand and Fog ")</f>
        <v>House of Sand and Fog </v>
      </c>
      <c r="S2311" s="12">
        <f t="shared" si="79"/>
        <v>-10000000</v>
      </c>
    </row>
    <row r="2312" spans="1:19" x14ac:dyDescent="0.3">
      <c r="A2312" s="2" t="s">
        <v>992</v>
      </c>
      <c r="B2312" s="2">
        <v>96</v>
      </c>
      <c r="C2312" s="3">
        <v>29106737</v>
      </c>
      <c r="D2312" s="3" t="s">
        <v>885</v>
      </c>
      <c r="E2312" s="2" t="s">
        <v>3251</v>
      </c>
      <c r="F2312" s="2" t="s">
        <v>10</v>
      </c>
      <c r="G2312" s="2" t="s">
        <v>11</v>
      </c>
      <c r="H2312" s="2">
        <v>17000000</v>
      </c>
      <c r="I2312" s="2">
        <v>5.6</v>
      </c>
      <c r="J2312" s="3">
        <v>35033759</v>
      </c>
      <c r="K2312">
        <f t="shared" si="80"/>
        <v>1.3775047412552699E-3</v>
      </c>
      <c r="R2312" s="12" t="str">
        <f ca="1">IFERROR(__xludf.DUMMYFUNCTION("""COMPUTED_VALUE"""),"Dead Poets Society ")</f>
        <v>Dead Poets Society </v>
      </c>
      <c r="S2312" s="12">
        <f t="shared" si="79"/>
        <v>-115114</v>
      </c>
    </row>
    <row r="2313" spans="1:19" x14ac:dyDescent="0.3">
      <c r="A2313" s="2" t="s">
        <v>5673</v>
      </c>
      <c r="B2313" s="2">
        <v>88</v>
      </c>
      <c r="C2313" s="3">
        <v>38105077</v>
      </c>
      <c r="D2313" s="3" t="s">
        <v>5811</v>
      </c>
      <c r="E2313" s="2" t="s">
        <v>5674</v>
      </c>
      <c r="F2313" s="2" t="s">
        <v>10</v>
      </c>
      <c r="G2313" s="2" t="s">
        <v>11</v>
      </c>
      <c r="H2313" s="3">
        <v>474544677</v>
      </c>
      <c r="I2313" s="2">
        <v>6.8</v>
      </c>
      <c r="J2313" s="3">
        <v>35054909</v>
      </c>
      <c r="K2313">
        <f t="shared" si="80"/>
        <v>1.3775047412552699E-3</v>
      </c>
      <c r="R2313" s="12" t="str">
        <f ca="1">IFERROR(__xludf.DUMMYFUNCTION("""COMPUTED_VALUE"""),"Dumb &amp; Dumber ")</f>
        <v>Dumb &amp; Dumber </v>
      </c>
      <c r="S2313" s="12">
        <f t="shared" si="79"/>
        <v>75187505</v>
      </c>
    </row>
    <row r="2314" spans="1:19" x14ac:dyDescent="0.3">
      <c r="A2314" s="2" t="s">
        <v>126</v>
      </c>
      <c r="B2314" s="2">
        <v>126</v>
      </c>
      <c r="C2314" s="3">
        <v>15361537</v>
      </c>
      <c r="D2314" s="3" t="s">
        <v>6355</v>
      </c>
      <c r="E2314" s="2" t="s">
        <v>127</v>
      </c>
      <c r="F2314" s="2" t="s">
        <v>10</v>
      </c>
      <c r="G2314" s="2" t="s">
        <v>11</v>
      </c>
      <c r="H2314" s="2">
        <v>140000000</v>
      </c>
      <c r="I2314" s="2">
        <v>7.9</v>
      </c>
      <c r="J2314" s="3">
        <v>35057332</v>
      </c>
      <c r="K2314">
        <f t="shared" si="80"/>
        <v>1.3775047412552699E-3</v>
      </c>
      <c r="R2314" s="12" t="str">
        <f ca="1">IFERROR(__xludf.DUMMYFUNCTION("""COMPUTED_VALUE"""),"When Harry Met Sally... ")</f>
        <v>When Harry Met Sally... </v>
      </c>
      <c r="S2314" s="12">
        <f t="shared" si="79"/>
        <v>-105530572</v>
      </c>
    </row>
    <row r="2315" spans="1:19" x14ac:dyDescent="0.3">
      <c r="A2315" s="2" t="s">
        <v>5555</v>
      </c>
      <c r="B2315" s="2">
        <v>82</v>
      </c>
      <c r="C2315" s="3">
        <v>15911333</v>
      </c>
      <c r="D2315" s="3" t="s">
        <v>520</v>
      </c>
      <c r="E2315" s="2" t="s">
        <v>5556</v>
      </c>
      <c r="F2315" s="2" t="s">
        <v>2623</v>
      </c>
      <c r="G2315" s="2" t="s">
        <v>2336</v>
      </c>
      <c r="H2315" s="2">
        <v>400000</v>
      </c>
      <c r="I2315" s="2">
        <v>6.9</v>
      </c>
      <c r="J2315" s="3">
        <v>35063732</v>
      </c>
      <c r="K2315">
        <f t="shared" si="80"/>
        <v>1.3775047412552699E-3</v>
      </c>
      <c r="R2315" s="12" t="str">
        <f ca="1">IFERROR(__xludf.DUMMYFUNCTION("""COMPUTED_VALUE"""),"The Verdict ")</f>
        <v>The Verdict </v>
      </c>
      <c r="S2315" s="12">
        <f t="shared" si="79"/>
        <v>89176215</v>
      </c>
    </row>
    <row r="2316" spans="1:19" x14ac:dyDescent="0.3">
      <c r="A2316" s="2" t="s">
        <v>1788</v>
      </c>
      <c r="B2316" s="2">
        <v>123</v>
      </c>
      <c r="C2316" s="3">
        <v>3559990</v>
      </c>
      <c r="D2316" s="3" t="s">
        <v>5767</v>
      </c>
      <c r="E2316" s="2" t="s">
        <v>1789</v>
      </c>
      <c r="F2316" s="2" t="s">
        <v>10</v>
      </c>
      <c r="G2316" s="2" t="s">
        <v>11</v>
      </c>
      <c r="H2316" s="2">
        <v>40000000</v>
      </c>
      <c r="I2316" s="2">
        <v>6.4</v>
      </c>
      <c r="J2316" s="3">
        <v>35096190</v>
      </c>
      <c r="K2316">
        <f t="shared" si="80"/>
        <v>1.3775047412552699E-3</v>
      </c>
      <c r="R2316" s="12" t="str">
        <f ca="1">IFERROR(__xludf.DUMMYFUNCTION("""COMPUTED_VALUE"""),"Road Trip ")</f>
        <v>Road Trip </v>
      </c>
      <c r="S2316" s="12">
        <f t="shared" si="79"/>
        <v>-13656024</v>
      </c>
    </row>
    <row r="2317" spans="1:19" x14ac:dyDescent="0.3">
      <c r="A2317" s="2" t="s">
        <v>1801</v>
      </c>
      <c r="B2317" s="2">
        <v>105</v>
      </c>
      <c r="C2317" s="3">
        <v>22843047</v>
      </c>
      <c r="D2317" s="3" t="s">
        <v>5849</v>
      </c>
      <c r="E2317" s="2" t="s">
        <v>2569</v>
      </c>
      <c r="F2317" s="2" t="s">
        <v>10</v>
      </c>
      <c r="G2317" s="2" t="s">
        <v>11</v>
      </c>
      <c r="H2317" s="2">
        <v>20000000</v>
      </c>
      <c r="I2317" s="2">
        <v>5.8</v>
      </c>
      <c r="J2317" s="3">
        <v>35143332</v>
      </c>
      <c r="K2317">
        <f t="shared" si="80"/>
        <v>1.3775047412552699E-3</v>
      </c>
      <c r="R2317" s="12" t="str">
        <f ca="1">IFERROR(__xludf.DUMMYFUNCTION("""COMPUTED_VALUE"""),"Varsity Blues ")</f>
        <v>Varsity Blues </v>
      </c>
      <c r="S2317" s="12">
        <f t="shared" si="79"/>
        <v>-129323302</v>
      </c>
    </row>
    <row r="2318" spans="1:19" x14ac:dyDescent="0.3">
      <c r="A2318" s="2" t="s">
        <v>1145</v>
      </c>
      <c r="B2318" s="2">
        <v>104</v>
      </c>
      <c r="C2318" s="3">
        <v>6200756</v>
      </c>
      <c r="D2318" s="3" t="s">
        <v>5934</v>
      </c>
      <c r="E2318" s="2" t="s">
        <v>5431</v>
      </c>
      <c r="F2318" s="2" t="s">
        <v>10</v>
      </c>
      <c r="G2318" s="2" t="s">
        <v>504</v>
      </c>
      <c r="H2318" s="2">
        <v>800000</v>
      </c>
      <c r="I2318" s="2">
        <v>6.5</v>
      </c>
      <c r="J2318" s="3">
        <v>35168395</v>
      </c>
      <c r="K2318">
        <f t="shared" si="80"/>
        <v>1.3775047412552699E-3</v>
      </c>
      <c r="R2318" s="12" t="str">
        <f ca="1">IFERROR(__xludf.DUMMYFUNCTION("""COMPUTED_VALUE"""),"The Artist ")</f>
        <v>The Artist </v>
      </c>
      <c r="S2318" s="12">
        <f t="shared" si="79"/>
        <v>-33975825</v>
      </c>
    </row>
    <row r="2319" spans="1:19" x14ac:dyDescent="0.3">
      <c r="A2319" s="2" t="s">
        <v>101</v>
      </c>
      <c r="B2319" s="2">
        <v>117</v>
      </c>
      <c r="C2319" s="3">
        <v>511920</v>
      </c>
      <c r="D2319" s="3" t="s">
        <v>885</v>
      </c>
      <c r="E2319" s="2" t="s">
        <v>1269</v>
      </c>
      <c r="F2319" s="2" t="s">
        <v>10</v>
      </c>
      <c r="G2319" s="2" t="s">
        <v>11</v>
      </c>
      <c r="H2319" s="2">
        <v>54000000</v>
      </c>
      <c r="I2319" s="2">
        <v>6.7</v>
      </c>
      <c r="J2319" s="3">
        <v>35168677</v>
      </c>
      <c r="K2319">
        <f t="shared" si="80"/>
        <v>1.3775047412552699E-3</v>
      </c>
      <c r="R2319" s="12" t="str">
        <f ca="1">IFERROR(__xludf.DUMMYFUNCTION("""COMPUTED_VALUE"""),"The Unborn ")</f>
        <v>The Unborn </v>
      </c>
      <c r="S2319" s="12">
        <f t="shared" si="79"/>
        <v>217498</v>
      </c>
    </row>
    <row r="2320" spans="1:19" x14ac:dyDescent="0.3">
      <c r="A2320" s="2" t="s">
        <v>1258</v>
      </c>
      <c r="B2320" s="2">
        <v>271</v>
      </c>
      <c r="C2320" s="3">
        <v>10572742</v>
      </c>
      <c r="D2320" s="3" t="s">
        <v>6094</v>
      </c>
      <c r="E2320" s="2" t="s">
        <v>2648</v>
      </c>
      <c r="F2320" s="2" t="s">
        <v>10</v>
      </c>
      <c r="G2320" s="2" t="s">
        <v>11</v>
      </c>
      <c r="H2320" s="2">
        <v>25000000</v>
      </c>
      <c r="I2320" s="2">
        <v>7.7</v>
      </c>
      <c r="J2320" s="3">
        <v>35183792</v>
      </c>
      <c r="K2320">
        <f t="shared" si="80"/>
        <v>1.3775047412552699E-3</v>
      </c>
      <c r="R2320" s="12" t="str">
        <f ca="1">IFERROR(__xludf.DUMMYFUNCTION("""COMPUTED_VALUE"""),"Moonrise Kingdom ")</f>
        <v>Moonrise Kingdom </v>
      </c>
      <c r="S2320" s="12">
        <f t="shared" si="79"/>
        <v>-127122192</v>
      </c>
    </row>
    <row r="2321" spans="1:19" x14ac:dyDescent="0.3">
      <c r="A2321" s="2" t="s">
        <v>4674</v>
      </c>
      <c r="B2321" s="2">
        <v>91</v>
      </c>
      <c r="C2321" s="3">
        <v>9013113</v>
      </c>
      <c r="D2321" s="3" t="s">
        <v>6241</v>
      </c>
      <c r="E2321" s="2" t="s">
        <v>4675</v>
      </c>
      <c r="F2321" s="2" t="s">
        <v>10</v>
      </c>
      <c r="G2321" s="2" t="s">
        <v>11</v>
      </c>
      <c r="H2321" s="2">
        <v>5000000</v>
      </c>
      <c r="I2321" s="2">
        <v>6.6</v>
      </c>
      <c r="J2321" s="3">
        <v>35228696</v>
      </c>
      <c r="K2321">
        <f t="shared" si="80"/>
        <v>1.3775047412552699E-3</v>
      </c>
      <c r="R2321" s="12" t="str">
        <f ca="1">IFERROR(__xludf.DUMMYFUNCTION("""COMPUTED_VALUE"""),"The Texas Chainsaw Massacre: The Beginning ")</f>
        <v>The Texas Chainsaw Massacre: The Beginning </v>
      </c>
      <c r="S2321" s="12">
        <f t="shared" si="79"/>
        <v>-148689730</v>
      </c>
    </row>
    <row r="2322" spans="1:19" x14ac:dyDescent="0.3">
      <c r="A2322" s="2" t="s">
        <v>5055</v>
      </c>
      <c r="B2322" s="2">
        <v>125</v>
      </c>
      <c r="C2322" s="3">
        <v>4063859</v>
      </c>
      <c r="D2322" s="3" t="s">
        <v>5869</v>
      </c>
      <c r="E2322" s="2" t="s">
        <v>5056</v>
      </c>
      <c r="F2322" s="2" t="s">
        <v>10</v>
      </c>
      <c r="G2322" s="2" t="s">
        <v>11</v>
      </c>
      <c r="H2322" s="2">
        <v>2100000</v>
      </c>
      <c r="I2322" s="2">
        <v>7.2</v>
      </c>
      <c r="J2322" s="3">
        <v>35231365</v>
      </c>
      <c r="K2322">
        <f t="shared" si="80"/>
        <v>1.3775047412552699E-3</v>
      </c>
      <c r="R2322" s="12" t="str">
        <f ca="1">IFERROR(__xludf.DUMMYFUNCTION("""COMPUTED_VALUE"""),"The Young Messiah ")</f>
        <v>The Young Messiah </v>
      </c>
      <c r="S2322" s="12">
        <f t="shared" si="79"/>
        <v>1554736</v>
      </c>
    </row>
    <row r="2323" spans="1:19" x14ac:dyDescent="0.3">
      <c r="A2323" s="2" t="s">
        <v>220</v>
      </c>
      <c r="B2323" s="2">
        <v>123</v>
      </c>
      <c r="C2323" s="3">
        <v>17683670</v>
      </c>
      <c r="D2323" s="3" t="s">
        <v>6201</v>
      </c>
      <c r="E2323" s="2" t="s">
        <v>1900</v>
      </c>
      <c r="F2323" s="2" t="s">
        <v>10</v>
      </c>
      <c r="G2323" s="2" t="s">
        <v>16</v>
      </c>
      <c r="H2323" s="2">
        <v>38000000</v>
      </c>
      <c r="I2323" s="2">
        <v>8.1</v>
      </c>
      <c r="J2323" s="3">
        <v>35266619</v>
      </c>
      <c r="K2323">
        <f t="shared" si="80"/>
        <v>1.3775047412552699E-3</v>
      </c>
      <c r="R2323" s="12" t="str">
        <f ca="1">IFERROR(__xludf.DUMMYFUNCTION("""COMPUTED_VALUE"""),"The Master of Disguise ")</f>
        <v>The Master of Disguise </v>
      </c>
      <c r="S2323" s="12">
        <f t="shared" si="79"/>
        <v>-449544677</v>
      </c>
    </row>
    <row r="2324" spans="1:19" x14ac:dyDescent="0.3">
      <c r="A2324" s="2" t="s">
        <v>104</v>
      </c>
      <c r="B2324" s="2">
        <v>142</v>
      </c>
      <c r="C2324" s="3">
        <v>1163508</v>
      </c>
      <c r="D2324" s="3" t="s">
        <v>5752</v>
      </c>
      <c r="E2324" s="2" t="s">
        <v>864</v>
      </c>
      <c r="F2324" s="2" t="s">
        <v>10</v>
      </c>
      <c r="G2324" s="2" t="s">
        <v>11</v>
      </c>
      <c r="H2324" s="2">
        <v>70000000</v>
      </c>
      <c r="I2324" s="2">
        <v>6.7</v>
      </c>
      <c r="J2324" s="3">
        <v>35286428</v>
      </c>
      <c r="K2324">
        <f t="shared" si="80"/>
        <v>1.3775047412552699E-3</v>
      </c>
      <c r="R2324" s="12" t="str">
        <f ca="1">IFERROR(__xludf.DUMMYFUNCTION("""COMPUTED_VALUE"""),"Pan's Labyrinth ")</f>
        <v>Pan's Labyrinth </v>
      </c>
      <c r="S2324" s="12">
        <f t="shared" si="79"/>
        <v>-12281777</v>
      </c>
    </row>
    <row r="2325" spans="1:19" x14ac:dyDescent="0.3">
      <c r="A2325" s="2" t="s">
        <v>1439</v>
      </c>
      <c r="B2325" s="2">
        <v>117</v>
      </c>
      <c r="C2325" s="3">
        <v>12065985</v>
      </c>
      <c r="D2325" s="3" t="s">
        <v>885</v>
      </c>
      <c r="E2325" s="2" t="s">
        <v>4813</v>
      </c>
      <c r="F2325" s="2" t="s">
        <v>10</v>
      </c>
      <c r="G2325" s="2" t="s">
        <v>11</v>
      </c>
      <c r="H2325" s="3">
        <v>121468960</v>
      </c>
      <c r="I2325" s="2">
        <v>6.9</v>
      </c>
      <c r="J2325" s="3">
        <v>35287788</v>
      </c>
      <c r="K2325">
        <f t="shared" si="80"/>
        <v>1.3775047412552699E-3</v>
      </c>
      <c r="R2325" s="12" t="str">
        <f ca="1">IFERROR(__xludf.DUMMYFUNCTION("""COMPUTED_VALUE"""),"See Spot Run ")</f>
        <v>See Spot Run </v>
      </c>
      <c r="S2325" s="12">
        <f t="shared" si="79"/>
        <v>55328558</v>
      </c>
    </row>
    <row r="2326" spans="1:19" x14ac:dyDescent="0.3">
      <c r="A2326" s="2" t="s">
        <v>5669</v>
      </c>
      <c r="B2326" s="2">
        <v>81</v>
      </c>
      <c r="C2326" s="3">
        <v>2077046</v>
      </c>
      <c r="D2326" s="3" t="s">
        <v>6356</v>
      </c>
      <c r="E2326" s="2" t="s">
        <v>5670</v>
      </c>
      <c r="F2326" s="2" t="s">
        <v>10</v>
      </c>
      <c r="G2326" s="2" t="s">
        <v>11</v>
      </c>
      <c r="H2326" s="3">
        <v>474544677</v>
      </c>
      <c r="I2326" s="2">
        <v>7</v>
      </c>
      <c r="J2326" s="3">
        <v>35324232</v>
      </c>
      <c r="K2326">
        <f t="shared" si="80"/>
        <v>1.3775047412552699E-3</v>
      </c>
      <c r="R2326" s="12" t="str">
        <f ca="1">IFERROR(__xludf.DUMMYFUNCTION("""COMPUTED_VALUE"""),"Baby Boy ")</f>
        <v>Baby Boy </v>
      </c>
      <c r="S2326" s="12">
        <f t="shared" si="79"/>
        <v>26990055</v>
      </c>
    </row>
    <row r="2327" spans="1:19" x14ac:dyDescent="0.3">
      <c r="A2327" s="2" t="s">
        <v>361</v>
      </c>
      <c r="B2327" s="2">
        <v>123</v>
      </c>
      <c r="C2327" s="3">
        <v>85200000</v>
      </c>
      <c r="D2327" s="3" t="s">
        <v>5767</v>
      </c>
      <c r="E2327" s="2" t="s">
        <v>362</v>
      </c>
      <c r="F2327" s="2" t="s">
        <v>10</v>
      </c>
      <c r="G2327" s="2" t="s">
        <v>11</v>
      </c>
      <c r="H2327" s="2">
        <v>110000000</v>
      </c>
      <c r="I2327" s="2">
        <v>5.2</v>
      </c>
      <c r="J2327" s="3">
        <v>35385560</v>
      </c>
      <c r="K2327">
        <f t="shared" si="80"/>
        <v>1.3775047412552699E-3</v>
      </c>
      <c r="R2327" s="12" t="str">
        <f ca="1">IFERROR(__xludf.DUMMYFUNCTION("""COMPUTED_VALUE"""),"The Roommate ")</f>
        <v>The Roommate </v>
      </c>
      <c r="S2327" s="12">
        <f t="shared" si="79"/>
        <v>75781498</v>
      </c>
    </row>
    <row r="2328" spans="1:19" x14ac:dyDescent="0.3">
      <c r="A2328" s="2" t="s">
        <v>83</v>
      </c>
      <c r="B2328" s="2">
        <v>129</v>
      </c>
      <c r="C2328" s="3">
        <v>64998368</v>
      </c>
      <c r="D2328" s="3" t="s">
        <v>5895</v>
      </c>
      <c r="E2328" s="2" t="s">
        <v>722</v>
      </c>
      <c r="F2328" s="2" t="s">
        <v>723</v>
      </c>
      <c r="G2328" s="2" t="s">
        <v>11</v>
      </c>
      <c r="H2328" s="2">
        <v>75000000</v>
      </c>
      <c r="I2328" s="2">
        <v>5.9</v>
      </c>
      <c r="J2328" s="3">
        <v>35400000</v>
      </c>
      <c r="K2328">
        <f t="shared" si="80"/>
        <v>1.3775047412552699E-3</v>
      </c>
      <c r="R2328" s="12" t="str">
        <f ca="1">IFERROR(__xludf.DUMMYFUNCTION("""COMPUTED_VALUE"""),"Joe Dirt ")</f>
        <v>Joe Dirt </v>
      </c>
      <c r="S2328" s="12">
        <f t="shared" si="79"/>
        <v>-22198810</v>
      </c>
    </row>
    <row r="2329" spans="1:19" x14ac:dyDescent="0.3">
      <c r="A2329" s="2" t="s">
        <v>292</v>
      </c>
      <c r="B2329" s="2">
        <v>105</v>
      </c>
      <c r="C2329" s="3">
        <v>28772222</v>
      </c>
      <c r="D2329" s="3" t="s">
        <v>5913</v>
      </c>
      <c r="E2329" s="2" t="s">
        <v>4864</v>
      </c>
      <c r="F2329" s="2" t="s">
        <v>10</v>
      </c>
      <c r="G2329" s="2" t="s">
        <v>11</v>
      </c>
      <c r="H2329" s="2">
        <v>3500000</v>
      </c>
      <c r="I2329" s="2">
        <v>7.5</v>
      </c>
      <c r="J2329" s="3">
        <v>35422828</v>
      </c>
      <c r="K2329">
        <f t="shared" si="80"/>
        <v>1.3775047412552699E-3</v>
      </c>
      <c r="R2329" s="12" t="str">
        <f ca="1">IFERROR(__xludf.DUMMYFUNCTION("""COMPUTED_VALUE"""),"Double Impact ")</f>
        <v>Double Impact </v>
      </c>
      <c r="S2329" s="12">
        <f t="shared" ref="S2329:S2392" si="81">C2307-H2307</f>
        <v>59959891</v>
      </c>
    </row>
    <row r="2330" spans="1:19" x14ac:dyDescent="0.3">
      <c r="A2330" s="2" t="s">
        <v>623</v>
      </c>
      <c r="B2330" s="2">
        <v>127</v>
      </c>
      <c r="C2330" s="3">
        <v>49369900</v>
      </c>
      <c r="D2330" s="3" t="s">
        <v>520</v>
      </c>
      <c r="E2330" s="2" t="s">
        <v>947</v>
      </c>
      <c r="F2330" s="2" t="s">
        <v>10</v>
      </c>
      <c r="G2330" s="2" t="s">
        <v>11</v>
      </c>
      <c r="H2330" s="2">
        <v>70000000</v>
      </c>
      <c r="I2330" s="2">
        <v>6.4</v>
      </c>
      <c r="J2330" s="3">
        <v>35537564</v>
      </c>
      <c r="K2330">
        <f t="shared" si="80"/>
        <v>1.3775047412552699E-3</v>
      </c>
      <c r="R2330" s="12" t="str">
        <f ca="1">IFERROR(__xludf.DUMMYFUNCTION("""COMPUTED_VALUE"""),"Hot Fuzz ")</f>
        <v>Hot Fuzz </v>
      </c>
      <c r="S2330" s="12">
        <f t="shared" si="81"/>
        <v>-54935714</v>
      </c>
    </row>
    <row r="2331" spans="1:19" x14ac:dyDescent="0.3">
      <c r="A2331" s="2" t="s">
        <v>479</v>
      </c>
      <c r="B2331" s="2">
        <v>121</v>
      </c>
      <c r="C2331" s="3">
        <v>17655201</v>
      </c>
      <c r="D2331" s="3" t="s">
        <v>6191</v>
      </c>
      <c r="E2331" s="2" t="s">
        <v>480</v>
      </c>
      <c r="F2331" s="2" t="s">
        <v>10</v>
      </c>
      <c r="G2331" s="2" t="s">
        <v>11</v>
      </c>
      <c r="H2331" s="2">
        <v>83000000</v>
      </c>
      <c r="I2331" s="2">
        <v>5.7</v>
      </c>
      <c r="J2331" s="3">
        <v>35565975</v>
      </c>
      <c r="K2331">
        <f t="shared" si="80"/>
        <v>1.3775047412552699E-3</v>
      </c>
      <c r="R2331" s="12" t="str">
        <f ca="1">IFERROR(__xludf.DUMMYFUNCTION("""COMPUTED_VALUE"""),"The Women ")</f>
        <v>The Women </v>
      </c>
      <c r="S2331" s="12">
        <f t="shared" si="81"/>
        <v>-1141074</v>
      </c>
    </row>
    <row r="2332" spans="1:19" x14ac:dyDescent="0.3">
      <c r="A2332" s="2" t="s">
        <v>1425</v>
      </c>
      <c r="B2332" s="2">
        <v>109</v>
      </c>
      <c r="C2332" s="3">
        <v>28751715</v>
      </c>
      <c r="D2332" s="3" t="s">
        <v>6102</v>
      </c>
      <c r="E2332" s="2" t="s">
        <v>1879</v>
      </c>
      <c r="F2332" s="2" t="s">
        <v>10</v>
      </c>
      <c r="G2332" s="2" t="s">
        <v>11</v>
      </c>
      <c r="H2332" s="2">
        <v>15000000</v>
      </c>
      <c r="I2332" s="2">
        <v>8.1999999999999993</v>
      </c>
      <c r="J2332" s="3">
        <v>35596227</v>
      </c>
      <c r="K2332">
        <f t="shared" si="80"/>
        <v>1.3775047412552699E-3</v>
      </c>
      <c r="R2332" s="12" t="str">
        <f ca="1">IFERROR(__xludf.DUMMYFUNCTION("""COMPUTED_VALUE"""),"Vicky Cristina Barcelona ")</f>
        <v>Vicky Cristina Barcelona </v>
      </c>
      <c r="S2332" s="12">
        <f t="shared" si="81"/>
        <v>35577959</v>
      </c>
    </row>
    <row r="2333" spans="1:19" x14ac:dyDescent="0.3">
      <c r="A2333" s="2" t="s">
        <v>3147</v>
      </c>
      <c r="B2333" s="2">
        <v>89</v>
      </c>
      <c r="C2333" s="3">
        <v>7881335</v>
      </c>
      <c r="D2333" s="3" t="s">
        <v>6225</v>
      </c>
      <c r="E2333" s="2" t="s">
        <v>3148</v>
      </c>
      <c r="F2333" s="2" t="s">
        <v>10</v>
      </c>
      <c r="G2333" s="2" t="s">
        <v>11</v>
      </c>
      <c r="H2333" s="2">
        <v>20000000</v>
      </c>
      <c r="I2333" s="2">
        <v>3.9</v>
      </c>
      <c r="J2333" s="3">
        <v>35617599</v>
      </c>
      <c r="K2333">
        <f t="shared" si="80"/>
        <v>1.3775047412552699E-3</v>
      </c>
      <c r="R2333" s="12" t="str">
        <f ca="1">IFERROR(__xludf.DUMMYFUNCTION("""COMPUTED_VALUE"""),"Boys and Girls ")</f>
        <v>Boys and Girls </v>
      </c>
      <c r="S2333" s="12">
        <f t="shared" si="81"/>
        <v>-149682960</v>
      </c>
    </row>
    <row r="2334" spans="1:19" x14ac:dyDescent="0.3">
      <c r="A2334" s="2" t="s">
        <v>401</v>
      </c>
      <c r="B2334" s="2">
        <v>119</v>
      </c>
      <c r="C2334" s="3">
        <v>34872293</v>
      </c>
      <c r="D2334" s="3" t="s">
        <v>5876</v>
      </c>
      <c r="E2334" s="2" t="s">
        <v>402</v>
      </c>
      <c r="F2334" s="2" t="s">
        <v>10</v>
      </c>
      <c r="G2334" s="2" t="s">
        <v>16</v>
      </c>
      <c r="H2334" s="2">
        <v>110000000</v>
      </c>
      <c r="I2334" s="2">
        <v>6.5</v>
      </c>
      <c r="J2334" s="3">
        <v>35635046</v>
      </c>
      <c r="K2334">
        <f t="shared" si="80"/>
        <v>1.3775047412552699E-3</v>
      </c>
      <c r="R2334" s="12" t="str">
        <f ca="1">IFERROR(__xludf.DUMMYFUNCTION("""COMPUTED_VALUE"""),"White Oleander ")</f>
        <v>White Oleander </v>
      </c>
      <c r="S2334" s="12">
        <f t="shared" si="81"/>
        <v>12106737</v>
      </c>
    </row>
    <row r="2335" spans="1:19" x14ac:dyDescent="0.3">
      <c r="A2335" s="2" t="s">
        <v>332</v>
      </c>
      <c r="B2335" s="2">
        <v>96</v>
      </c>
      <c r="C2335" s="3">
        <v>4693919</v>
      </c>
      <c r="D2335" s="3" t="s">
        <v>6069</v>
      </c>
      <c r="E2335" s="2" t="s">
        <v>333</v>
      </c>
      <c r="F2335" s="2" t="s">
        <v>10</v>
      </c>
      <c r="G2335" s="2" t="s">
        <v>11</v>
      </c>
      <c r="H2335" s="2">
        <v>130000000</v>
      </c>
      <c r="I2335" s="2">
        <v>5.6</v>
      </c>
      <c r="J2335" s="3">
        <v>35707327</v>
      </c>
      <c r="K2335">
        <f t="shared" si="80"/>
        <v>1.3775047412552699E-3</v>
      </c>
      <c r="R2335" s="12" t="str">
        <f ca="1">IFERROR(__xludf.DUMMYFUNCTION("""COMPUTED_VALUE"""),"Jennifer's Body ")</f>
        <v>Jennifer's Body </v>
      </c>
      <c r="S2335" s="12">
        <f t="shared" si="81"/>
        <v>-436439600</v>
      </c>
    </row>
    <row r="2336" spans="1:19" x14ac:dyDescent="0.3">
      <c r="A2336" s="2" t="s">
        <v>379</v>
      </c>
      <c r="B2336" s="2">
        <v>112</v>
      </c>
      <c r="C2336" s="3">
        <v>51853450</v>
      </c>
      <c r="D2336" s="3" t="s">
        <v>5892</v>
      </c>
      <c r="E2336" s="2" t="s">
        <v>5437</v>
      </c>
      <c r="F2336" s="2" t="s">
        <v>10</v>
      </c>
      <c r="G2336" s="2" t="s">
        <v>11</v>
      </c>
      <c r="H2336" s="2">
        <v>777000</v>
      </c>
      <c r="I2336" s="2">
        <v>7.5</v>
      </c>
      <c r="J2336" s="3">
        <v>35794166</v>
      </c>
      <c r="K2336">
        <f t="shared" si="80"/>
        <v>1.3775047412552699E-3</v>
      </c>
      <c r="R2336" s="12" t="str">
        <f ca="1">IFERROR(__xludf.DUMMYFUNCTION("""COMPUTED_VALUE"""),"Drowning Mona ")</f>
        <v>Drowning Mona </v>
      </c>
      <c r="S2336" s="12">
        <f t="shared" si="81"/>
        <v>-124638463</v>
      </c>
    </row>
    <row r="2337" spans="1:19" x14ac:dyDescent="0.3">
      <c r="A2337" s="2" t="s">
        <v>2337</v>
      </c>
      <c r="B2337" s="2">
        <v>118</v>
      </c>
      <c r="C2337" s="3">
        <v>214966</v>
      </c>
      <c r="D2337" s="3" t="s">
        <v>6015</v>
      </c>
      <c r="E2337" s="2" t="s">
        <v>2338</v>
      </c>
      <c r="F2337" s="2" t="s">
        <v>10</v>
      </c>
      <c r="G2337" s="2" t="s">
        <v>11</v>
      </c>
      <c r="H2337" s="2">
        <v>30000000</v>
      </c>
      <c r="I2337" s="2">
        <v>6.5</v>
      </c>
      <c r="J2337" s="3">
        <v>35799026</v>
      </c>
      <c r="K2337">
        <f t="shared" si="80"/>
        <v>1.3775047412552699E-3</v>
      </c>
      <c r="R2337" s="12" t="str">
        <f ca="1">IFERROR(__xludf.DUMMYFUNCTION("""COMPUTED_VALUE"""),"Radio Days ")</f>
        <v>Radio Days </v>
      </c>
      <c r="S2337" s="12">
        <f t="shared" si="81"/>
        <v>15511333</v>
      </c>
    </row>
    <row r="2338" spans="1:19" x14ac:dyDescent="0.3">
      <c r="A2338" s="2" t="s">
        <v>2436</v>
      </c>
      <c r="B2338" s="2">
        <v>116</v>
      </c>
      <c r="C2338" s="3">
        <v>74329966</v>
      </c>
      <c r="D2338" s="3" t="s">
        <v>6357</v>
      </c>
      <c r="E2338" s="2" t="s">
        <v>2437</v>
      </c>
      <c r="F2338" s="2" t="s">
        <v>10</v>
      </c>
      <c r="G2338" s="2" t="s">
        <v>11</v>
      </c>
      <c r="H2338" s="2">
        <v>27000000</v>
      </c>
      <c r="I2338" s="2">
        <v>6</v>
      </c>
      <c r="J2338" s="3">
        <v>35811509</v>
      </c>
      <c r="K2338">
        <f t="shared" si="80"/>
        <v>1.3775047412552699E-3</v>
      </c>
      <c r="R2338" s="12" t="str">
        <f ca="1">IFERROR(__xludf.DUMMYFUNCTION("""COMPUTED_VALUE"""),"Remember Me ")</f>
        <v>Remember Me </v>
      </c>
      <c r="S2338" s="12">
        <f t="shared" si="81"/>
        <v>-36440010</v>
      </c>
    </row>
    <row r="2339" spans="1:19" x14ac:dyDescent="0.3">
      <c r="A2339" s="2" t="s">
        <v>2931</v>
      </c>
      <c r="B2339" s="2">
        <v>87</v>
      </c>
      <c r="C2339" s="3">
        <v>37879996</v>
      </c>
      <c r="D2339" s="3" t="s">
        <v>5874</v>
      </c>
      <c r="E2339" s="2" t="s">
        <v>2932</v>
      </c>
      <c r="F2339" s="2" t="s">
        <v>10</v>
      </c>
      <c r="G2339" s="2" t="s">
        <v>771</v>
      </c>
      <c r="H2339" s="2">
        <v>27000000</v>
      </c>
      <c r="I2339" s="2">
        <v>3.9</v>
      </c>
      <c r="J2339" s="3">
        <v>35887263</v>
      </c>
      <c r="K2339">
        <f t="shared" si="80"/>
        <v>1.3775047412552699E-3</v>
      </c>
      <c r="R2339" s="12" t="str">
        <f ca="1">IFERROR(__xludf.DUMMYFUNCTION("""COMPUTED_VALUE"""),"How to Deal ")</f>
        <v>How to Deal </v>
      </c>
      <c r="S2339" s="12">
        <f t="shared" si="81"/>
        <v>2843047</v>
      </c>
    </row>
    <row r="2340" spans="1:19" x14ac:dyDescent="0.3">
      <c r="A2340" s="2" t="s">
        <v>857</v>
      </c>
      <c r="B2340" s="2">
        <v>113</v>
      </c>
      <c r="C2340" s="3">
        <v>116724075</v>
      </c>
      <c r="D2340" s="3" t="s">
        <v>5975</v>
      </c>
      <c r="E2340" s="2" t="s">
        <v>2489</v>
      </c>
      <c r="F2340" s="2" t="s">
        <v>10</v>
      </c>
      <c r="G2340" s="2" t="s">
        <v>11</v>
      </c>
      <c r="H2340" s="2">
        <v>56000000</v>
      </c>
      <c r="I2340" s="2">
        <v>5.7</v>
      </c>
      <c r="J2340" s="3">
        <v>35918429</v>
      </c>
      <c r="K2340">
        <f t="shared" si="80"/>
        <v>1.3775047412552699E-3</v>
      </c>
      <c r="R2340" s="12" t="str">
        <f ca="1">IFERROR(__xludf.DUMMYFUNCTION("""COMPUTED_VALUE"""),"My Stepmother Is an Alien ")</f>
        <v>My Stepmother Is an Alien </v>
      </c>
      <c r="S2340" s="12">
        <f t="shared" si="81"/>
        <v>5400756</v>
      </c>
    </row>
    <row r="2341" spans="1:19" x14ac:dyDescent="0.3">
      <c r="A2341" s="2" t="s">
        <v>1481</v>
      </c>
      <c r="B2341" s="2">
        <v>98</v>
      </c>
      <c r="C2341" s="3">
        <v>17613460</v>
      </c>
      <c r="D2341" s="3" t="s">
        <v>6036</v>
      </c>
      <c r="E2341" s="2" t="s">
        <v>1505</v>
      </c>
      <c r="F2341" s="2" t="s">
        <v>10</v>
      </c>
      <c r="G2341" s="2" t="s">
        <v>504</v>
      </c>
      <c r="H2341" s="2">
        <v>45000000</v>
      </c>
      <c r="I2341" s="2">
        <v>6.3</v>
      </c>
      <c r="J2341" s="3">
        <v>35927406</v>
      </c>
      <c r="K2341">
        <f t="shared" si="80"/>
        <v>1.3775047412552699E-3</v>
      </c>
      <c r="R2341" s="12" t="str">
        <f ca="1">IFERROR(__xludf.DUMMYFUNCTION("""COMPUTED_VALUE"""),"Philadelphia ")</f>
        <v>Philadelphia </v>
      </c>
      <c r="S2341" s="12">
        <f t="shared" si="81"/>
        <v>-53488080</v>
      </c>
    </row>
    <row r="2342" spans="1:19" x14ac:dyDescent="0.3">
      <c r="A2342" s="2" t="s">
        <v>2655</v>
      </c>
      <c r="B2342" s="2">
        <v>80</v>
      </c>
      <c r="C2342" s="3">
        <v>22800000</v>
      </c>
      <c r="D2342" s="3" t="s">
        <v>5849</v>
      </c>
      <c r="E2342" s="2" t="s">
        <v>3071</v>
      </c>
      <c r="F2342" s="2" t="s">
        <v>10</v>
      </c>
      <c r="G2342" s="2" t="s">
        <v>11</v>
      </c>
      <c r="H2342" s="2">
        <v>20000000</v>
      </c>
      <c r="I2342" s="2">
        <v>2.8</v>
      </c>
      <c r="J2342" s="3">
        <v>35990505</v>
      </c>
      <c r="K2342">
        <f t="shared" si="80"/>
        <v>1.3775047412552699E-3</v>
      </c>
      <c r="R2342" s="12" t="str">
        <f ca="1">IFERROR(__xludf.DUMMYFUNCTION("""COMPUTED_VALUE"""),"The Thirteenth Floor ")</f>
        <v>The Thirteenth Floor </v>
      </c>
      <c r="S2342" s="12">
        <f t="shared" si="81"/>
        <v>-14427258</v>
      </c>
    </row>
    <row r="2343" spans="1:19" x14ac:dyDescent="0.3">
      <c r="A2343" s="2" t="s">
        <v>492</v>
      </c>
      <c r="B2343" s="2">
        <v>114</v>
      </c>
      <c r="C2343" s="3">
        <v>75817994</v>
      </c>
      <c r="D2343" s="3" t="s">
        <v>5870</v>
      </c>
      <c r="E2343" s="2" t="s">
        <v>1219</v>
      </c>
      <c r="F2343" s="2" t="s">
        <v>10</v>
      </c>
      <c r="G2343" s="2" t="s">
        <v>199</v>
      </c>
      <c r="H2343" s="2">
        <v>55000000</v>
      </c>
      <c r="I2343" s="2">
        <v>6.7</v>
      </c>
      <c r="J2343" s="3">
        <v>36000000</v>
      </c>
      <c r="K2343">
        <f t="shared" si="80"/>
        <v>1.3775047412552699E-3</v>
      </c>
      <c r="R2343" s="12" t="str">
        <f ca="1">IFERROR(__xludf.DUMMYFUNCTION("""COMPUTED_VALUE"""),"Duets ")</f>
        <v>Duets </v>
      </c>
      <c r="S2343" s="12">
        <f t="shared" si="81"/>
        <v>4013113</v>
      </c>
    </row>
    <row r="2344" spans="1:19" x14ac:dyDescent="0.3">
      <c r="A2344" s="2" t="s">
        <v>1595</v>
      </c>
      <c r="B2344" s="2">
        <v>118</v>
      </c>
      <c r="C2344" s="3">
        <v>84303558</v>
      </c>
      <c r="D2344" s="3" t="s">
        <v>5870</v>
      </c>
      <c r="E2344" s="2" t="s">
        <v>1596</v>
      </c>
      <c r="F2344" s="2" t="s">
        <v>10</v>
      </c>
      <c r="G2344" s="2" t="s">
        <v>11</v>
      </c>
      <c r="H2344" s="2">
        <v>44000000</v>
      </c>
      <c r="I2344" s="2">
        <v>5.6</v>
      </c>
      <c r="J2344" s="3">
        <v>36000000</v>
      </c>
      <c r="K2344">
        <f t="shared" si="80"/>
        <v>1.3775047412552699E-3</v>
      </c>
      <c r="R2344" s="12" t="str">
        <f ca="1">IFERROR(__xludf.DUMMYFUNCTION("""COMPUTED_VALUE"""),"Hollywood Ending ")</f>
        <v>Hollywood Ending </v>
      </c>
      <c r="S2344" s="12">
        <f t="shared" si="81"/>
        <v>1963859</v>
      </c>
    </row>
    <row r="2345" spans="1:19" x14ac:dyDescent="0.3">
      <c r="A2345" s="2" t="s">
        <v>3868</v>
      </c>
      <c r="B2345" s="2">
        <v>98</v>
      </c>
      <c r="C2345" s="3">
        <v>26284475</v>
      </c>
      <c r="D2345" s="3" t="s">
        <v>885</v>
      </c>
      <c r="E2345" s="2" t="s">
        <v>4967</v>
      </c>
      <c r="F2345" s="2" t="s">
        <v>3090</v>
      </c>
      <c r="G2345" s="2" t="s">
        <v>199</v>
      </c>
      <c r="H2345" s="2">
        <v>2700000</v>
      </c>
      <c r="I2345" s="2">
        <v>7.4</v>
      </c>
      <c r="J2345" s="3">
        <v>36020063</v>
      </c>
      <c r="K2345">
        <f t="shared" si="80"/>
        <v>1.3775047412552699E-3</v>
      </c>
      <c r="R2345" s="12" t="str">
        <f ca="1">IFERROR(__xludf.DUMMYFUNCTION("""COMPUTED_VALUE"""),"Detroit Rock City ")</f>
        <v>Detroit Rock City </v>
      </c>
      <c r="S2345" s="12">
        <f t="shared" si="81"/>
        <v>-20316330</v>
      </c>
    </row>
    <row r="2346" spans="1:19" x14ac:dyDescent="0.3">
      <c r="A2346" s="2" t="s">
        <v>376</v>
      </c>
      <c r="B2346" s="2">
        <v>117</v>
      </c>
      <c r="C2346" s="3">
        <v>10654581</v>
      </c>
      <c r="D2346" s="3" t="s">
        <v>6141</v>
      </c>
      <c r="E2346" s="2" t="s">
        <v>377</v>
      </c>
      <c r="F2346" s="2" t="s">
        <v>10</v>
      </c>
      <c r="G2346" s="2" t="s">
        <v>11</v>
      </c>
      <c r="H2346" s="2">
        <v>117000000</v>
      </c>
      <c r="I2346" s="2">
        <v>6.3</v>
      </c>
      <c r="J2346" s="3">
        <v>36037909</v>
      </c>
      <c r="K2346">
        <f t="shared" si="80"/>
        <v>1.3775047412552699E-3</v>
      </c>
      <c r="R2346" s="12" t="str">
        <f ca="1">IFERROR(__xludf.DUMMYFUNCTION("""COMPUTED_VALUE"""),"Highlander ")</f>
        <v>Highlander </v>
      </c>
      <c r="S2346" s="12">
        <f t="shared" si="81"/>
        <v>-68836492</v>
      </c>
    </row>
    <row r="2347" spans="1:19" x14ac:dyDescent="0.3">
      <c r="A2347" s="2" t="s">
        <v>4135</v>
      </c>
      <c r="B2347" s="2">
        <v>86</v>
      </c>
      <c r="C2347" s="3">
        <v>57637485</v>
      </c>
      <c r="D2347" s="3" t="s">
        <v>5818</v>
      </c>
      <c r="E2347" s="2" t="s">
        <v>4136</v>
      </c>
      <c r="F2347" s="2" t="s">
        <v>10</v>
      </c>
      <c r="G2347" s="2" t="s">
        <v>11</v>
      </c>
      <c r="H2347" s="2">
        <v>10000000</v>
      </c>
      <c r="I2347" s="2">
        <v>3.5</v>
      </c>
      <c r="J2347" s="3">
        <v>36049108</v>
      </c>
      <c r="K2347">
        <f t="shared" si="80"/>
        <v>1.3775047412552699E-3</v>
      </c>
      <c r="R2347" s="12" t="str">
        <f ca="1">IFERROR(__xludf.DUMMYFUNCTION("""COMPUTED_VALUE"""),"Things We Lost in the Fire ")</f>
        <v>Things We Lost in the Fire </v>
      </c>
      <c r="S2347" s="12">
        <f t="shared" si="81"/>
        <v>-109402975</v>
      </c>
    </row>
    <row r="2348" spans="1:19" x14ac:dyDescent="0.3">
      <c r="A2348" s="2" t="s">
        <v>5651</v>
      </c>
      <c r="B2348" s="2">
        <v>97</v>
      </c>
      <c r="C2348" s="3">
        <v>2428883</v>
      </c>
      <c r="D2348" s="3" t="s">
        <v>5767</v>
      </c>
      <c r="E2348" s="2" t="s">
        <v>5652</v>
      </c>
      <c r="F2348" s="2" t="s">
        <v>10</v>
      </c>
      <c r="G2348" s="2" t="s">
        <v>11</v>
      </c>
      <c r="H2348" s="2">
        <v>500000</v>
      </c>
      <c r="I2348" s="2">
        <v>5.5</v>
      </c>
      <c r="J2348" s="3">
        <v>36064910</v>
      </c>
      <c r="K2348">
        <f t="shared" si="80"/>
        <v>1.3775047412552699E-3</v>
      </c>
      <c r="R2348" s="12" t="str">
        <f ca="1">IFERROR(__xludf.DUMMYFUNCTION("""COMPUTED_VALUE"""),"Steel ")</f>
        <v>Steel </v>
      </c>
      <c r="S2348" s="12">
        <f t="shared" si="81"/>
        <v>-472467631</v>
      </c>
    </row>
    <row r="2349" spans="1:19" x14ac:dyDescent="0.3">
      <c r="A2349" s="2" t="s">
        <v>2152</v>
      </c>
      <c r="B2349" s="2">
        <v>117</v>
      </c>
      <c r="C2349" s="3">
        <v>1027749</v>
      </c>
      <c r="D2349" s="3" t="s">
        <v>885</v>
      </c>
      <c r="E2349" s="2" t="s">
        <v>4157</v>
      </c>
      <c r="F2349" s="2" t="s">
        <v>10</v>
      </c>
      <c r="G2349" s="2" t="s">
        <v>16</v>
      </c>
      <c r="H2349" s="2">
        <v>9500000</v>
      </c>
      <c r="I2349" s="2">
        <v>6.9</v>
      </c>
      <c r="J2349" s="3">
        <v>36073232</v>
      </c>
      <c r="K2349">
        <f t="shared" si="80"/>
        <v>1.3775047412552699E-3</v>
      </c>
      <c r="R2349" s="12" t="str">
        <f ca="1">IFERROR(__xludf.DUMMYFUNCTION("""COMPUTED_VALUE"""),"The Immigrant ")</f>
        <v>The Immigrant </v>
      </c>
      <c r="S2349" s="12">
        <f t="shared" si="81"/>
        <v>-24800000</v>
      </c>
    </row>
    <row r="2350" spans="1:19" x14ac:dyDescent="0.3">
      <c r="A2350" s="2" t="s">
        <v>475</v>
      </c>
      <c r="B2350" s="2">
        <v>91</v>
      </c>
      <c r="C2350" s="3">
        <v>51814190</v>
      </c>
      <c r="D2350" s="3" t="s">
        <v>6278</v>
      </c>
      <c r="E2350" s="2" t="s">
        <v>682</v>
      </c>
      <c r="F2350" s="2" t="s">
        <v>10</v>
      </c>
      <c r="G2350" s="2" t="s">
        <v>11</v>
      </c>
      <c r="H2350" s="2">
        <v>75000000</v>
      </c>
      <c r="I2350" s="2">
        <v>6.3</v>
      </c>
      <c r="J2350" s="3">
        <v>36200000</v>
      </c>
      <c r="K2350">
        <f t="shared" si="80"/>
        <v>1.3775047412552699E-3</v>
      </c>
      <c r="R2350" s="12" t="str">
        <f ca="1">IFERROR(__xludf.DUMMYFUNCTION("""COMPUTED_VALUE"""),"The White Countess ")</f>
        <v>The White Countess </v>
      </c>
      <c r="S2350" s="12">
        <f t="shared" si="81"/>
        <v>-10001632</v>
      </c>
    </row>
    <row r="2351" spans="1:19" x14ac:dyDescent="0.3">
      <c r="A2351" s="2" t="s">
        <v>1096</v>
      </c>
      <c r="B2351" s="2">
        <v>138</v>
      </c>
      <c r="C2351" s="3">
        <v>107100855</v>
      </c>
      <c r="D2351" s="3" t="s">
        <v>6283</v>
      </c>
      <c r="E2351" s="2" t="s">
        <v>1658</v>
      </c>
      <c r="F2351" s="2" t="s">
        <v>10</v>
      </c>
      <c r="G2351" s="2" t="s">
        <v>11</v>
      </c>
      <c r="H2351" s="2">
        <v>40000000</v>
      </c>
      <c r="I2351" s="2">
        <v>7.3</v>
      </c>
      <c r="J2351" s="3">
        <v>36200000</v>
      </c>
      <c r="K2351">
        <f t="shared" si="80"/>
        <v>1.3775047412552699E-3</v>
      </c>
      <c r="R2351" s="12" t="str">
        <f ca="1">IFERROR(__xludf.DUMMYFUNCTION("""COMPUTED_VALUE"""),"Trance ")</f>
        <v>Trance </v>
      </c>
      <c r="S2351" s="12">
        <f t="shared" si="81"/>
        <v>25272222</v>
      </c>
    </row>
    <row r="2352" spans="1:19" x14ac:dyDescent="0.3">
      <c r="A2352" s="2" t="s">
        <v>4289</v>
      </c>
      <c r="B2352" s="2">
        <v>75</v>
      </c>
      <c r="C2352" s="3">
        <v>3500000</v>
      </c>
      <c r="D2352" s="3" t="s">
        <v>5975</v>
      </c>
      <c r="E2352" s="2" t="s">
        <v>4290</v>
      </c>
      <c r="F2352" s="2" t="s">
        <v>10</v>
      </c>
      <c r="G2352" s="2" t="s">
        <v>504</v>
      </c>
      <c r="H2352" s="2">
        <v>6500000</v>
      </c>
      <c r="I2352" s="2">
        <v>7.7</v>
      </c>
      <c r="J2352" s="3">
        <v>36279230</v>
      </c>
      <c r="K2352">
        <f t="shared" si="80"/>
        <v>1.3775047412552699E-3</v>
      </c>
      <c r="R2352" s="12" t="str">
        <f ca="1">IFERROR(__xludf.DUMMYFUNCTION("""COMPUTED_VALUE"""),"Soul Plane ")</f>
        <v>Soul Plane </v>
      </c>
      <c r="S2352" s="12">
        <f t="shared" si="81"/>
        <v>-20630100</v>
      </c>
    </row>
    <row r="2353" spans="1:19" x14ac:dyDescent="0.3">
      <c r="A2353" s="2" t="s">
        <v>2035</v>
      </c>
      <c r="B2353" s="2">
        <v>122</v>
      </c>
      <c r="C2353" s="3">
        <v>10569071</v>
      </c>
      <c r="D2353" s="3" t="s">
        <v>6195</v>
      </c>
      <c r="E2353" s="2" t="s">
        <v>2773</v>
      </c>
      <c r="F2353" s="2" t="s">
        <v>10</v>
      </c>
      <c r="G2353" s="2" t="s">
        <v>11</v>
      </c>
      <c r="H2353" s="2">
        <v>22000000</v>
      </c>
      <c r="I2353" s="2">
        <v>7.3</v>
      </c>
      <c r="J2353" s="3">
        <v>36283504</v>
      </c>
      <c r="K2353">
        <f t="shared" si="80"/>
        <v>1.3775047412552699E-3</v>
      </c>
      <c r="R2353" s="12" t="str">
        <f ca="1">IFERROR(__xludf.DUMMYFUNCTION("""COMPUTED_VALUE"""),"Good ")</f>
        <v>Good </v>
      </c>
      <c r="S2353" s="12">
        <f t="shared" si="81"/>
        <v>-65344799</v>
      </c>
    </row>
    <row r="2354" spans="1:19" x14ac:dyDescent="0.3">
      <c r="A2354" s="2" t="s">
        <v>1313</v>
      </c>
      <c r="B2354" s="2">
        <v>90</v>
      </c>
      <c r="C2354" s="3">
        <v>1420578</v>
      </c>
      <c r="D2354" s="3" t="s">
        <v>6046</v>
      </c>
      <c r="E2354" s="2" t="s">
        <v>1314</v>
      </c>
      <c r="F2354" s="2" t="s">
        <v>10</v>
      </c>
      <c r="G2354" s="2" t="s">
        <v>199</v>
      </c>
      <c r="H2354" s="2">
        <v>51000000</v>
      </c>
      <c r="I2354" s="2">
        <v>5.6</v>
      </c>
      <c r="J2354" s="3">
        <v>36381716</v>
      </c>
      <c r="K2354">
        <f t="shared" si="80"/>
        <v>1.3775047412552699E-3</v>
      </c>
      <c r="R2354" s="12" t="str">
        <f ca="1">IFERROR(__xludf.DUMMYFUNCTION("""COMPUTED_VALUE"""),"Enter the Void ")</f>
        <v>Enter the Void </v>
      </c>
      <c r="S2354" s="12">
        <f t="shared" si="81"/>
        <v>13751715</v>
      </c>
    </row>
    <row r="2355" spans="1:19" x14ac:dyDescent="0.3">
      <c r="A2355" s="2" t="s">
        <v>1235</v>
      </c>
      <c r="B2355" s="2">
        <v>122</v>
      </c>
      <c r="C2355" s="3">
        <v>5204007</v>
      </c>
      <c r="D2355" s="3" t="s">
        <v>520</v>
      </c>
      <c r="E2355" s="2" t="s">
        <v>1236</v>
      </c>
      <c r="F2355" s="2" t="s">
        <v>10</v>
      </c>
      <c r="G2355" s="2" t="s">
        <v>16</v>
      </c>
      <c r="H2355" s="2">
        <v>55000000</v>
      </c>
      <c r="I2355" s="2">
        <v>7.3</v>
      </c>
      <c r="J2355" s="3">
        <v>36385763</v>
      </c>
      <c r="K2355">
        <f t="shared" si="80"/>
        <v>1.3775047412552699E-3</v>
      </c>
      <c r="R2355" s="12" t="str">
        <f ca="1">IFERROR(__xludf.DUMMYFUNCTION("""COMPUTED_VALUE"""),"Vamps ")</f>
        <v>Vamps </v>
      </c>
      <c r="S2355" s="12">
        <f t="shared" si="81"/>
        <v>-12118665</v>
      </c>
    </row>
    <row r="2356" spans="1:19" x14ac:dyDescent="0.3">
      <c r="A2356" s="2" t="s">
        <v>454</v>
      </c>
      <c r="B2356" s="2">
        <v>98</v>
      </c>
      <c r="C2356" s="3">
        <v>22757819</v>
      </c>
      <c r="D2356" s="3" t="s">
        <v>5857</v>
      </c>
      <c r="E2356" s="2" t="s">
        <v>554</v>
      </c>
      <c r="F2356" s="2" t="s">
        <v>10</v>
      </c>
      <c r="G2356" s="2" t="s">
        <v>11</v>
      </c>
      <c r="H2356" s="2">
        <v>100000000</v>
      </c>
      <c r="I2356" s="2">
        <v>6.8</v>
      </c>
      <c r="J2356" s="3">
        <v>36447959</v>
      </c>
      <c r="K2356">
        <f t="shared" si="80"/>
        <v>1.3775047412552699E-3</v>
      </c>
      <c r="R2356" s="12" t="str">
        <f ca="1">IFERROR(__xludf.DUMMYFUNCTION("""COMPUTED_VALUE"""),"The Homesman ")</f>
        <v>The Homesman </v>
      </c>
      <c r="S2356" s="12">
        <f t="shared" si="81"/>
        <v>-75127707</v>
      </c>
    </row>
    <row r="2357" spans="1:19" x14ac:dyDescent="0.3">
      <c r="A2357" s="2" t="s">
        <v>1680</v>
      </c>
      <c r="B2357" s="2">
        <v>107</v>
      </c>
      <c r="C2357" s="3">
        <v>60154431</v>
      </c>
      <c r="D2357" s="3" t="s">
        <v>5958</v>
      </c>
      <c r="E2357" s="2" t="s">
        <v>1681</v>
      </c>
      <c r="F2357" s="2" t="s">
        <v>10</v>
      </c>
      <c r="G2357" s="2" t="s">
        <v>11</v>
      </c>
      <c r="H2357" s="2">
        <v>40000000</v>
      </c>
      <c r="I2357" s="2">
        <v>6</v>
      </c>
      <c r="J2357" s="3">
        <v>36500000</v>
      </c>
      <c r="K2357">
        <f t="shared" si="80"/>
        <v>1.3775047412552699E-3</v>
      </c>
      <c r="R2357" s="12" t="str">
        <f ca="1">IFERROR(__xludf.DUMMYFUNCTION("""COMPUTED_VALUE"""),"Juwanna Mann ")</f>
        <v>Juwanna Mann </v>
      </c>
      <c r="S2357" s="12">
        <f t="shared" si="81"/>
        <v>-125306081</v>
      </c>
    </row>
    <row r="2358" spans="1:19" x14ac:dyDescent="0.3">
      <c r="A2358" s="2" t="s">
        <v>1330</v>
      </c>
      <c r="B2358" s="2">
        <v>100</v>
      </c>
      <c r="C2358" s="3">
        <v>27141959</v>
      </c>
      <c r="D2358" s="3" t="s">
        <v>5940</v>
      </c>
      <c r="E2358" s="2" t="s">
        <v>2319</v>
      </c>
      <c r="F2358" s="2" t="s">
        <v>10</v>
      </c>
      <c r="G2358" s="2" t="s">
        <v>11</v>
      </c>
      <c r="H2358" s="2">
        <v>30000000</v>
      </c>
      <c r="I2358" s="2">
        <v>5.5</v>
      </c>
      <c r="J2358" s="3">
        <v>36581633</v>
      </c>
      <c r="K2358">
        <f t="shared" si="80"/>
        <v>1.3775047412552699E-3</v>
      </c>
      <c r="R2358" s="12" t="str">
        <f ca="1">IFERROR(__xludf.DUMMYFUNCTION("""COMPUTED_VALUE"""),"Slow Burn ")</f>
        <v>Slow Burn </v>
      </c>
      <c r="S2358" s="12">
        <f t="shared" si="81"/>
        <v>51076450</v>
      </c>
    </row>
    <row r="2359" spans="1:19" x14ac:dyDescent="0.3">
      <c r="A2359" s="2" t="s">
        <v>2883</v>
      </c>
      <c r="B2359" s="2">
        <v>100</v>
      </c>
      <c r="C2359" s="3">
        <v>28831145</v>
      </c>
      <c r="D2359" s="3" t="s">
        <v>6358</v>
      </c>
      <c r="E2359" s="2" t="s">
        <v>2884</v>
      </c>
      <c r="F2359" s="2" t="s">
        <v>10</v>
      </c>
      <c r="G2359" s="2" t="s">
        <v>11</v>
      </c>
      <c r="H2359" s="2">
        <v>20000000</v>
      </c>
      <c r="I2359" s="2">
        <v>6.7</v>
      </c>
      <c r="J2359" s="3">
        <v>36658108</v>
      </c>
      <c r="K2359">
        <f t="shared" si="80"/>
        <v>1.3775047412552699E-3</v>
      </c>
      <c r="R2359" s="12" t="str">
        <f ca="1">IFERROR(__xludf.DUMMYFUNCTION("""COMPUTED_VALUE"""),"Wasabi ")</f>
        <v>Wasabi </v>
      </c>
      <c r="S2359" s="12">
        <f t="shared" si="81"/>
        <v>-29785034</v>
      </c>
    </row>
    <row r="2360" spans="1:19" x14ac:dyDescent="0.3">
      <c r="A2360" s="2" t="s">
        <v>2035</v>
      </c>
      <c r="B2360" s="2">
        <v>108</v>
      </c>
      <c r="C2360" s="3">
        <v>11034436</v>
      </c>
      <c r="D2360" s="3" t="s">
        <v>5812</v>
      </c>
      <c r="E2360" s="2" t="s">
        <v>2606</v>
      </c>
      <c r="F2360" s="2" t="s">
        <v>10</v>
      </c>
      <c r="G2360" s="2" t="s">
        <v>11</v>
      </c>
      <c r="H2360" s="2">
        <v>25000000</v>
      </c>
      <c r="I2360" s="2">
        <v>6.3</v>
      </c>
      <c r="J2360" s="3">
        <v>36665854</v>
      </c>
      <c r="K2360">
        <f t="shared" si="80"/>
        <v>1.3775047412552699E-3</v>
      </c>
      <c r="R2360" s="12" t="str">
        <f ca="1">IFERROR(__xludf.DUMMYFUNCTION("""COMPUTED_VALUE"""),"Slither ")</f>
        <v>Slither </v>
      </c>
      <c r="S2360" s="12">
        <f t="shared" si="81"/>
        <v>47329966</v>
      </c>
    </row>
    <row r="2361" spans="1:19" x14ac:dyDescent="0.3">
      <c r="A2361" s="2" t="s">
        <v>1555</v>
      </c>
      <c r="B2361" s="2">
        <v>177</v>
      </c>
      <c r="C2361" s="3">
        <v>51774002</v>
      </c>
      <c r="D2361" s="3" t="s">
        <v>6163</v>
      </c>
      <c r="E2361" s="2" t="s">
        <v>1556</v>
      </c>
      <c r="F2361" s="2" t="s">
        <v>10</v>
      </c>
      <c r="G2361" s="2" t="s">
        <v>11</v>
      </c>
      <c r="H2361" s="2">
        <v>40000000</v>
      </c>
      <c r="I2361" s="2">
        <v>6.6</v>
      </c>
      <c r="J2361" s="3">
        <v>36696761</v>
      </c>
      <c r="K2361">
        <f t="shared" si="80"/>
        <v>1.3775047412552699E-3</v>
      </c>
      <c r="R2361" s="12" t="str">
        <f ca="1">IFERROR(__xludf.DUMMYFUNCTION("""COMPUTED_VALUE"""),"Beverly Hills Cop ")</f>
        <v>Beverly Hills Cop </v>
      </c>
      <c r="S2361" s="12">
        <f t="shared" si="81"/>
        <v>10879996</v>
      </c>
    </row>
    <row r="2362" spans="1:19" x14ac:dyDescent="0.3">
      <c r="A2362" s="2" t="s">
        <v>4029</v>
      </c>
      <c r="B2362" s="2">
        <v>106</v>
      </c>
      <c r="C2362" s="3">
        <v>15854988</v>
      </c>
      <c r="D2362" s="3" t="s">
        <v>5929</v>
      </c>
      <c r="E2362" s="2" t="s">
        <v>4030</v>
      </c>
      <c r="F2362" s="2" t="s">
        <v>10</v>
      </c>
      <c r="G2362" s="2" t="s">
        <v>11</v>
      </c>
      <c r="H2362" s="2">
        <v>10000000</v>
      </c>
      <c r="I2362" s="2">
        <v>4.0999999999999996</v>
      </c>
      <c r="J2362" s="3">
        <v>36733909</v>
      </c>
      <c r="K2362">
        <f t="shared" si="80"/>
        <v>1.3775047412552699E-3</v>
      </c>
      <c r="R2362" s="12" t="str">
        <f ca="1">IFERROR(__xludf.DUMMYFUNCTION("""COMPUTED_VALUE"""),"Home Alone ")</f>
        <v>Home Alone </v>
      </c>
      <c r="S2362" s="12">
        <f t="shared" si="81"/>
        <v>60724075</v>
      </c>
    </row>
    <row r="2363" spans="1:19" x14ac:dyDescent="0.3">
      <c r="A2363" s="2" t="s">
        <v>1189</v>
      </c>
      <c r="B2363" s="2">
        <v>93</v>
      </c>
      <c r="C2363" s="3">
        <v>3500000</v>
      </c>
      <c r="D2363" s="3" t="s">
        <v>5940</v>
      </c>
      <c r="E2363" s="2" t="s">
        <v>3818</v>
      </c>
      <c r="F2363" s="2" t="s">
        <v>10</v>
      </c>
      <c r="G2363" s="2" t="s">
        <v>11</v>
      </c>
      <c r="H2363" s="2">
        <v>12000000</v>
      </c>
      <c r="I2363" s="2">
        <v>7</v>
      </c>
      <c r="J2363" s="3">
        <v>36830057</v>
      </c>
      <c r="K2363">
        <f t="shared" si="80"/>
        <v>1.3775047412552699E-3</v>
      </c>
      <c r="R2363" s="12" t="str">
        <f ca="1">IFERROR(__xludf.DUMMYFUNCTION("""COMPUTED_VALUE"""),"3 Men and a Baby ")</f>
        <v>3 Men and a Baby </v>
      </c>
      <c r="S2363" s="12">
        <f t="shared" si="81"/>
        <v>-27386540</v>
      </c>
    </row>
    <row r="2364" spans="1:19" x14ac:dyDescent="0.3">
      <c r="A2364" s="2" t="s">
        <v>83</v>
      </c>
      <c r="B2364" s="2">
        <v>123</v>
      </c>
      <c r="C2364" s="3">
        <v>22734486</v>
      </c>
      <c r="D2364" s="3" t="s">
        <v>6359</v>
      </c>
      <c r="E2364" s="2" t="s">
        <v>84</v>
      </c>
      <c r="F2364" s="2" t="s">
        <v>10</v>
      </c>
      <c r="G2364" s="2" t="s">
        <v>11</v>
      </c>
      <c r="H2364" s="2">
        <v>200000000</v>
      </c>
      <c r="I2364" s="2">
        <v>5.6</v>
      </c>
      <c r="J2364" s="3">
        <v>36833473</v>
      </c>
      <c r="K2364">
        <f t="shared" si="80"/>
        <v>1.3775047412552699E-3</v>
      </c>
      <c r="R2364" s="12" t="str">
        <f ca="1">IFERROR(__xludf.DUMMYFUNCTION("""COMPUTED_VALUE"""),"Tootsie ")</f>
        <v>Tootsie </v>
      </c>
      <c r="S2364" s="12">
        <f t="shared" si="81"/>
        <v>2800000</v>
      </c>
    </row>
    <row r="2365" spans="1:19" x14ac:dyDescent="0.3">
      <c r="A2365" s="2" t="s">
        <v>1748</v>
      </c>
      <c r="B2365" s="2">
        <v>116</v>
      </c>
      <c r="C2365" s="3">
        <v>28995450</v>
      </c>
      <c r="D2365" s="3" t="s">
        <v>5813</v>
      </c>
      <c r="E2365" s="2" t="s">
        <v>4689</v>
      </c>
      <c r="F2365" s="2" t="s">
        <v>10</v>
      </c>
      <c r="G2365" s="2" t="s">
        <v>11</v>
      </c>
      <c r="H2365" s="2">
        <v>5000000</v>
      </c>
      <c r="I2365" s="2">
        <v>7</v>
      </c>
      <c r="J2365" s="3">
        <v>36874745</v>
      </c>
      <c r="K2365">
        <f t="shared" si="80"/>
        <v>1.3775047412552699E-3</v>
      </c>
      <c r="R2365" s="12" t="str">
        <f ca="1">IFERROR(__xludf.DUMMYFUNCTION("""COMPUTED_VALUE"""),"Top Gun ")</f>
        <v>Top Gun </v>
      </c>
      <c r="S2365" s="12">
        <f t="shared" si="81"/>
        <v>20817994</v>
      </c>
    </row>
    <row r="2366" spans="1:19" x14ac:dyDescent="0.3">
      <c r="A2366" s="2" t="s">
        <v>2334</v>
      </c>
      <c r="B2366" s="2">
        <v>142</v>
      </c>
      <c r="C2366" s="3">
        <v>8000000</v>
      </c>
      <c r="D2366" s="3" t="s">
        <v>5811</v>
      </c>
      <c r="E2366" s="2" t="s">
        <v>5256</v>
      </c>
      <c r="F2366" s="2" t="s">
        <v>2623</v>
      </c>
      <c r="G2366" s="2" t="s">
        <v>2336</v>
      </c>
      <c r="H2366" s="2">
        <v>1200000</v>
      </c>
      <c r="I2366" s="2">
        <v>8.9</v>
      </c>
      <c r="J2366" s="3">
        <v>36883539</v>
      </c>
      <c r="K2366">
        <f t="shared" si="80"/>
        <v>1.3775047412552699E-3</v>
      </c>
      <c r="R2366" s="12" t="str">
        <f ca="1">IFERROR(__xludf.DUMMYFUNCTION("""COMPUTED_VALUE"""),"Crouching Tiger, Hidden Dragon ")</f>
        <v>Crouching Tiger, Hidden Dragon </v>
      </c>
      <c r="S2366" s="12">
        <f t="shared" si="81"/>
        <v>40303558</v>
      </c>
    </row>
    <row r="2367" spans="1:19" x14ac:dyDescent="0.3">
      <c r="A2367" s="2" t="s">
        <v>2301</v>
      </c>
      <c r="B2367" s="2">
        <v>129</v>
      </c>
      <c r="C2367" s="3">
        <v>4157491</v>
      </c>
      <c r="D2367" s="3" t="s">
        <v>6182</v>
      </c>
      <c r="E2367" s="2" t="s">
        <v>3258</v>
      </c>
      <c r="F2367" s="2" t="s">
        <v>10</v>
      </c>
      <c r="G2367" s="2" t="s">
        <v>11</v>
      </c>
      <c r="H2367" s="2">
        <v>17000000</v>
      </c>
      <c r="I2367" s="2">
        <v>7.4</v>
      </c>
      <c r="J2367" s="3">
        <v>36931089</v>
      </c>
      <c r="K2367">
        <f t="shared" si="80"/>
        <v>1.3775047412552699E-3</v>
      </c>
      <c r="R2367" s="12" t="str">
        <f ca="1">IFERROR(__xludf.DUMMYFUNCTION("""COMPUTED_VALUE"""),"American Beauty ")</f>
        <v>American Beauty </v>
      </c>
      <c r="S2367" s="12">
        <f t="shared" si="81"/>
        <v>23584475</v>
      </c>
    </row>
    <row r="2368" spans="1:19" x14ac:dyDescent="0.3">
      <c r="A2368" s="2" t="s">
        <v>3926</v>
      </c>
      <c r="B2368" s="2">
        <v>125</v>
      </c>
      <c r="C2368" s="3">
        <v>1474508</v>
      </c>
      <c r="D2368" s="3" t="s">
        <v>5910</v>
      </c>
      <c r="E2368" s="2" t="s">
        <v>3927</v>
      </c>
      <c r="F2368" s="2" t="s">
        <v>10</v>
      </c>
      <c r="G2368" s="2" t="s">
        <v>71</v>
      </c>
      <c r="H2368" s="2">
        <v>17000000</v>
      </c>
      <c r="I2368" s="2">
        <v>7.7</v>
      </c>
      <c r="J2368" s="3">
        <v>36976367</v>
      </c>
      <c r="K2368">
        <f t="shared" si="80"/>
        <v>1.3775047412552699E-3</v>
      </c>
      <c r="R2368" s="12" t="str">
        <f ca="1">IFERROR(__xludf.DUMMYFUNCTION("""COMPUTED_VALUE"""),"The King's Speech ")</f>
        <v>The King's Speech </v>
      </c>
      <c r="S2368" s="12">
        <f t="shared" si="81"/>
        <v>-106345419</v>
      </c>
    </row>
    <row r="2369" spans="1:19" x14ac:dyDescent="0.3">
      <c r="A2369" s="2" t="s">
        <v>3274</v>
      </c>
      <c r="B2369" s="2">
        <v>134</v>
      </c>
      <c r="C2369" s="3">
        <v>21244913</v>
      </c>
      <c r="D2369" s="3" t="s">
        <v>520</v>
      </c>
      <c r="E2369" s="2" t="s">
        <v>3275</v>
      </c>
      <c r="F2369" s="2" t="s">
        <v>10</v>
      </c>
      <c r="G2369" s="2" t="s">
        <v>16</v>
      </c>
      <c r="H2369" s="2">
        <v>17000000</v>
      </c>
      <c r="I2369" s="2">
        <v>3.6</v>
      </c>
      <c r="J2369" s="3">
        <v>36985501</v>
      </c>
      <c r="K2369">
        <f t="shared" si="80"/>
        <v>1.3775047412552699E-3</v>
      </c>
      <c r="R2369" s="12" t="str">
        <f ca="1">IFERROR(__xludf.DUMMYFUNCTION("""COMPUTED_VALUE"""),"Twins ")</f>
        <v>Twins </v>
      </c>
      <c r="S2369" s="12">
        <f t="shared" si="81"/>
        <v>47637485</v>
      </c>
    </row>
    <row r="2370" spans="1:19" x14ac:dyDescent="0.3">
      <c r="A2370" s="2" t="s">
        <v>2722</v>
      </c>
      <c r="B2370" s="2">
        <v>93</v>
      </c>
      <c r="C2370" s="3">
        <v>2506446</v>
      </c>
      <c r="D2370" s="3" t="s">
        <v>5910</v>
      </c>
      <c r="E2370" s="2" t="s">
        <v>2723</v>
      </c>
      <c r="F2370" s="2" t="s">
        <v>10</v>
      </c>
      <c r="G2370" s="2" t="s">
        <v>11</v>
      </c>
      <c r="H2370" s="2">
        <v>24000000</v>
      </c>
      <c r="I2370" s="2">
        <v>3.9</v>
      </c>
      <c r="J2370" s="3">
        <v>37023395</v>
      </c>
      <c r="K2370">
        <f t="shared" ref="K2370:K2433" si="82">CORREL(H$2:H$3941,J$2:J$3941)</f>
        <v>1.3775047412552699E-3</v>
      </c>
      <c r="R2370" s="12" t="str">
        <f ca="1">IFERROR(__xludf.DUMMYFUNCTION("""COMPUTED_VALUE"""),"The Yellow Handkerchief ")</f>
        <v>The Yellow Handkerchief </v>
      </c>
      <c r="S2370" s="12">
        <f t="shared" si="81"/>
        <v>1928883</v>
      </c>
    </row>
    <row r="2371" spans="1:19" x14ac:dyDescent="0.3">
      <c r="A2371" s="2" t="s">
        <v>5472</v>
      </c>
      <c r="B2371" s="2">
        <v>86</v>
      </c>
      <c r="C2371" s="3">
        <v>8535575</v>
      </c>
      <c r="D2371" s="3" t="s">
        <v>5778</v>
      </c>
      <c r="E2371" s="2" t="s">
        <v>5473</v>
      </c>
      <c r="F2371" s="2" t="s">
        <v>10</v>
      </c>
      <c r="G2371" s="2" t="s">
        <v>11</v>
      </c>
      <c r="H2371" s="2">
        <v>500000</v>
      </c>
      <c r="I2371" s="2">
        <v>6.1</v>
      </c>
      <c r="J2371" s="3">
        <v>37035515</v>
      </c>
      <c r="K2371">
        <f t="shared" si="82"/>
        <v>1.3775047412552699E-3</v>
      </c>
      <c r="R2371" s="12" t="str">
        <f ca="1">IFERROR(__xludf.DUMMYFUNCTION("""COMPUTED_VALUE"""),"The Color Purple ")</f>
        <v>The Color Purple </v>
      </c>
      <c r="S2371" s="12">
        <f t="shared" si="81"/>
        <v>-8472251</v>
      </c>
    </row>
    <row r="2372" spans="1:19" x14ac:dyDescent="0.3">
      <c r="A2372" s="2" t="s">
        <v>3694</v>
      </c>
      <c r="B2372" s="2">
        <v>118</v>
      </c>
      <c r="C2372" s="3">
        <v>5205343</v>
      </c>
      <c r="D2372" s="3" t="s">
        <v>6151</v>
      </c>
      <c r="E2372" s="2" t="s">
        <v>3695</v>
      </c>
      <c r="F2372" s="2" t="s">
        <v>10</v>
      </c>
      <c r="G2372" s="2" t="s">
        <v>2131</v>
      </c>
      <c r="H2372" s="2">
        <v>13000000</v>
      </c>
      <c r="I2372" s="2">
        <v>8.3000000000000007</v>
      </c>
      <c r="J2372" s="3">
        <v>37035845</v>
      </c>
      <c r="K2372">
        <f t="shared" si="82"/>
        <v>1.3775047412552699E-3</v>
      </c>
      <c r="R2372" s="12" t="str">
        <f ca="1">IFERROR(__xludf.DUMMYFUNCTION("""COMPUTED_VALUE"""),"The Imitation Game ")</f>
        <v>The Imitation Game </v>
      </c>
      <c r="S2372" s="12">
        <f t="shared" si="81"/>
        <v>-23185810</v>
      </c>
    </row>
    <row r="2373" spans="1:19" x14ac:dyDescent="0.3">
      <c r="A2373" s="2" t="s">
        <v>3339</v>
      </c>
      <c r="B2373" s="2">
        <v>90</v>
      </c>
      <c r="C2373" s="3">
        <v>18990542</v>
      </c>
      <c r="D2373" s="3" t="s">
        <v>5818</v>
      </c>
      <c r="E2373" s="2" t="s">
        <v>3429</v>
      </c>
      <c r="F2373" s="2" t="s">
        <v>10</v>
      </c>
      <c r="G2373" s="2" t="s">
        <v>11</v>
      </c>
      <c r="H2373" s="2">
        <v>15000000</v>
      </c>
      <c r="I2373" s="2">
        <v>6.1</v>
      </c>
      <c r="J2373" s="3">
        <v>37036404</v>
      </c>
      <c r="K2373">
        <f t="shared" si="82"/>
        <v>1.3775047412552699E-3</v>
      </c>
      <c r="R2373" s="12" t="str">
        <f ca="1">IFERROR(__xludf.DUMMYFUNCTION("""COMPUTED_VALUE"""),"Private Benjamin ")</f>
        <v>Private Benjamin </v>
      </c>
      <c r="S2373" s="12">
        <f t="shared" si="81"/>
        <v>67100855</v>
      </c>
    </row>
    <row r="2374" spans="1:19" x14ac:dyDescent="0.3">
      <c r="A2374" s="2" t="s">
        <v>185</v>
      </c>
      <c r="B2374" s="2">
        <v>119</v>
      </c>
      <c r="C2374" s="3">
        <v>19692608</v>
      </c>
      <c r="D2374" s="3" t="s">
        <v>5849</v>
      </c>
      <c r="E2374" s="2" t="s">
        <v>1264</v>
      </c>
      <c r="F2374" s="2" t="s">
        <v>10</v>
      </c>
      <c r="G2374" s="2" t="s">
        <v>11</v>
      </c>
      <c r="H2374" s="2">
        <v>50000000</v>
      </c>
      <c r="I2374" s="2">
        <v>6.4</v>
      </c>
      <c r="J2374" s="3">
        <v>37053924</v>
      </c>
      <c r="K2374">
        <f t="shared" si="82"/>
        <v>1.3775047412552699E-3</v>
      </c>
      <c r="R2374" s="12" t="str">
        <f ca="1">IFERROR(__xludf.DUMMYFUNCTION("""COMPUTED_VALUE"""),"Diary of a Wimpy Kid ")</f>
        <v>Diary of a Wimpy Kid </v>
      </c>
      <c r="S2374" s="12">
        <f t="shared" si="81"/>
        <v>-3000000</v>
      </c>
    </row>
    <row r="2375" spans="1:19" x14ac:dyDescent="0.3">
      <c r="A2375" s="2" t="s">
        <v>3331</v>
      </c>
      <c r="B2375" s="2">
        <v>109</v>
      </c>
      <c r="C2375" s="3">
        <v>10561238</v>
      </c>
      <c r="D2375" s="3" t="s">
        <v>6007</v>
      </c>
      <c r="E2375" s="2" t="s">
        <v>3332</v>
      </c>
      <c r="F2375" s="2" t="s">
        <v>10</v>
      </c>
      <c r="G2375" s="2" t="s">
        <v>11</v>
      </c>
      <c r="H2375" s="2">
        <v>16000000</v>
      </c>
      <c r="I2375" s="2">
        <v>7.2</v>
      </c>
      <c r="J2375" s="3">
        <v>37101011</v>
      </c>
      <c r="K2375">
        <f t="shared" si="82"/>
        <v>1.3775047412552699E-3</v>
      </c>
      <c r="R2375" s="12" t="str">
        <f ca="1">IFERROR(__xludf.DUMMYFUNCTION("""COMPUTED_VALUE"""),"Mama ")</f>
        <v>Mama </v>
      </c>
      <c r="S2375" s="12">
        <f t="shared" si="81"/>
        <v>-11430929</v>
      </c>
    </row>
    <row r="2376" spans="1:19" x14ac:dyDescent="0.3">
      <c r="A2376" s="2" t="s">
        <v>1272</v>
      </c>
      <c r="B2376" s="2">
        <v>170</v>
      </c>
      <c r="C2376" s="3">
        <v>46280507</v>
      </c>
      <c r="D2376" s="3" t="s">
        <v>1703</v>
      </c>
      <c r="E2376" s="2" t="s">
        <v>1273</v>
      </c>
      <c r="F2376" s="2" t="s">
        <v>10</v>
      </c>
      <c r="G2376" s="2" t="s">
        <v>11</v>
      </c>
      <c r="H2376" s="2">
        <v>54000000</v>
      </c>
      <c r="I2376" s="2">
        <v>7.6</v>
      </c>
      <c r="J2376" s="3">
        <v>37188667</v>
      </c>
      <c r="K2376">
        <f t="shared" si="82"/>
        <v>1.3775047412552699E-3</v>
      </c>
      <c r="R2376" s="12" t="str">
        <f ca="1">IFERROR(__xludf.DUMMYFUNCTION("""COMPUTED_VALUE"""),"National Lampoon's Vacation ")</f>
        <v>National Lampoon's Vacation </v>
      </c>
      <c r="S2376" s="12">
        <f t="shared" si="81"/>
        <v>-49579422</v>
      </c>
    </row>
    <row r="2377" spans="1:19" x14ac:dyDescent="0.3">
      <c r="A2377" s="2" t="s">
        <v>1356</v>
      </c>
      <c r="B2377" s="2">
        <v>110</v>
      </c>
      <c r="C2377" s="3">
        <v>65007045</v>
      </c>
      <c r="D2377" s="3" t="s">
        <v>6310</v>
      </c>
      <c r="E2377" s="2" t="s">
        <v>2770</v>
      </c>
      <c r="F2377" s="2" t="s">
        <v>10</v>
      </c>
      <c r="G2377" s="2" t="s">
        <v>11</v>
      </c>
      <c r="H2377" s="2">
        <v>22000000</v>
      </c>
      <c r="I2377" s="2">
        <v>6.2</v>
      </c>
      <c r="J2377" s="3">
        <v>37295394</v>
      </c>
      <c r="K2377">
        <f t="shared" si="82"/>
        <v>1.3775047412552699E-3</v>
      </c>
      <c r="R2377" s="12" t="str">
        <f ca="1">IFERROR(__xludf.DUMMYFUNCTION("""COMPUTED_VALUE"""),"Bad Grandpa ")</f>
        <v>Bad Grandpa </v>
      </c>
      <c r="S2377" s="12">
        <f t="shared" si="81"/>
        <v>-49795993</v>
      </c>
    </row>
    <row r="2378" spans="1:19" x14ac:dyDescent="0.3">
      <c r="A2378" s="2" t="s">
        <v>2216</v>
      </c>
      <c r="B2378" s="2">
        <v>94</v>
      </c>
      <c r="C2378" s="2">
        <v>17071230</v>
      </c>
      <c r="D2378" s="3" t="s">
        <v>6169</v>
      </c>
      <c r="E2378" s="2" t="s">
        <v>3174</v>
      </c>
      <c r="F2378" s="2" t="s">
        <v>10</v>
      </c>
      <c r="G2378" s="2" t="s">
        <v>11</v>
      </c>
      <c r="H2378" s="2">
        <v>18000000</v>
      </c>
      <c r="I2378" s="2">
        <v>6.7</v>
      </c>
      <c r="J2378" s="3">
        <v>37300107</v>
      </c>
      <c r="K2378">
        <f t="shared" si="82"/>
        <v>1.3775047412552699E-3</v>
      </c>
      <c r="R2378" s="12" t="str">
        <f ca="1">IFERROR(__xludf.DUMMYFUNCTION("""COMPUTED_VALUE"""),"The Queen ")</f>
        <v>The Queen </v>
      </c>
      <c r="S2378" s="12">
        <f t="shared" si="81"/>
        <v>-77242181</v>
      </c>
    </row>
    <row r="2379" spans="1:19" x14ac:dyDescent="0.3">
      <c r="A2379" s="2" t="s">
        <v>462</v>
      </c>
      <c r="B2379" s="2">
        <v>154</v>
      </c>
      <c r="C2379" s="3">
        <v>14114488</v>
      </c>
      <c r="D2379" s="3" t="s">
        <v>5869</v>
      </c>
      <c r="E2379" s="2" t="s">
        <v>3781</v>
      </c>
      <c r="F2379" s="2" t="s">
        <v>10</v>
      </c>
      <c r="G2379" s="2" t="s">
        <v>11</v>
      </c>
      <c r="H2379" s="2">
        <v>12000000</v>
      </c>
      <c r="I2379" s="2">
        <v>7.5</v>
      </c>
      <c r="J2379" s="3">
        <v>37304950</v>
      </c>
      <c r="K2379">
        <f t="shared" si="82"/>
        <v>1.3775047412552699E-3</v>
      </c>
      <c r="R2379" s="12" t="str">
        <f ca="1">IFERROR(__xludf.DUMMYFUNCTION("""COMPUTED_VALUE"""),"Beetlejuice ")</f>
        <v>Beetlejuice </v>
      </c>
      <c r="S2379" s="12">
        <f t="shared" si="81"/>
        <v>20154431</v>
      </c>
    </row>
    <row r="2380" spans="1:19" x14ac:dyDescent="0.3">
      <c r="A2380" s="2" t="s">
        <v>114</v>
      </c>
      <c r="B2380" s="2">
        <v>116</v>
      </c>
      <c r="C2380" s="3">
        <v>7009668</v>
      </c>
      <c r="D2380" s="3" t="s">
        <v>6360</v>
      </c>
      <c r="E2380" s="2" t="s">
        <v>3098</v>
      </c>
      <c r="F2380" s="2" t="s">
        <v>10</v>
      </c>
      <c r="G2380" s="2" t="s">
        <v>11</v>
      </c>
      <c r="H2380" s="2">
        <v>19000000</v>
      </c>
      <c r="I2380" s="2">
        <v>8.5</v>
      </c>
      <c r="J2380" s="3">
        <v>37339525</v>
      </c>
      <c r="K2380">
        <f t="shared" si="82"/>
        <v>1.3775047412552699E-3</v>
      </c>
      <c r="R2380" s="12" t="str">
        <f ca="1">IFERROR(__xludf.DUMMYFUNCTION("""COMPUTED_VALUE"""),"Why Did I Get Married? ")</f>
        <v>Why Did I Get Married? </v>
      </c>
      <c r="S2380" s="12">
        <f t="shared" si="81"/>
        <v>-2858041</v>
      </c>
    </row>
    <row r="2381" spans="1:19" x14ac:dyDescent="0.3">
      <c r="A2381" s="2" t="s">
        <v>4322</v>
      </c>
      <c r="B2381" s="2">
        <v>93</v>
      </c>
      <c r="C2381" s="3">
        <v>10556196</v>
      </c>
      <c r="D2381" s="3" t="s">
        <v>6006</v>
      </c>
      <c r="E2381" s="2" t="s">
        <v>4719</v>
      </c>
      <c r="F2381" s="2" t="s">
        <v>10</v>
      </c>
      <c r="G2381" s="2" t="s">
        <v>11</v>
      </c>
      <c r="H2381" s="2">
        <v>4800000</v>
      </c>
      <c r="I2381" s="2">
        <v>5.9</v>
      </c>
      <c r="J2381" s="3">
        <v>37371385</v>
      </c>
      <c r="K2381">
        <f t="shared" si="82"/>
        <v>1.3775047412552699E-3</v>
      </c>
      <c r="R2381" s="12" t="str">
        <f ca="1">IFERROR(__xludf.DUMMYFUNCTION("""COMPUTED_VALUE"""),"Little Women ")</f>
        <v>Little Women </v>
      </c>
      <c r="S2381" s="12">
        <f t="shared" si="81"/>
        <v>8831145</v>
      </c>
    </row>
    <row r="2382" spans="1:19" x14ac:dyDescent="0.3">
      <c r="A2382" s="2" t="s">
        <v>220</v>
      </c>
      <c r="B2382" s="2">
        <v>174</v>
      </c>
      <c r="C2382" s="3">
        <v>15126948</v>
      </c>
      <c r="D2382" s="3" t="s">
        <v>5857</v>
      </c>
      <c r="E2382" s="2" t="s">
        <v>336</v>
      </c>
      <c r="F2382" s="2" t="s">
        <v>10</v>
      </c>
      <c r="G2382" s="2" t="s">
        <v>11</v>
      </c>
      <c r="H2382" s="2">
        <v>125000000</v>
      </c>
      <c r="I2382" s="2">
        <v>6.6</v>
      </c>
      <c r="J2382" s="3">
        <v>37432299</v>
      </c>
      <c r="K2382">
        <f t="shared" si="82"/>
        <v>1.3775047412552699E-3</v>
      </c>
      <c r="R2382" s="12" t="str">
        <f ca="1">IFERROR(__xludf.DUMMYFUNCTION("""COMPUTED_VALUE"""),"The Woman in Black ")</f>
        <v>The Woman in Black </v>
      </c>
      <c r="S2382" s="12">
        <f t="shared" si="81"/>
        <v>-13965564</v>
      </c>
    </row>
    <row r="2383" spans="1:19" x14ac:dyDescent="0.3">
      <c r="A2383" s="2" t="s">
        <v>50</v>
      </c>
      <c r="B2383" s="2">
        <v>128</v>
      </c>
      <c r="C2383" s="3">
        <v>28747570</v>
      </c>
      <c r="D2383" s="3" t="s">
        <v>5894</v>
      </c>
      <c r="E2383" s="2" t="s">
        <v>937</v>
      </c>
      <c r="F2383" s="2" t="s">
        <v>10</v>
      </c>
      <c r="G2383" s="2" t="s">
        <v>11</v>
      </c>
      <c r="H2383" s="2">
        <v>70000000</v>
      </c>
      <c r="I2383" s="2">
        <v>7.1</v>
      </c>
      <c r="J2383" s="3">
        <v>37442180</v>
      </c>
      <c r="K2383">
        <f t="shared" si="82"/>
        <v>1.3775047412552699E-3</v>
      </c>
      <c r="R2383" s="12" t="str">
        <f ca="1">IFERROR(__xludf.DUMMYFUNCTION("""COMPUTED_VALUE"""),"When a Stranger Calls ")</f>
        <v>When a Stranger Calls </v>
      </c>
      <c r="S2383" s="12">
        <f t="shared" si="81"/>
        <v>11774002</v>
      </c>
    </row>
    <row r="2384" spans="1:19" x14ac:dyDescent="0.3">
      <c r="A2384" s="2" t="s">
        <v>1108</v>
      </c>
      <c r="B2384" s="2">
        <v>98</v>
      </c>
      <c r="C2384" s="3">
        <v>51676606</v>
      </c>
      <c r="D2384" s="3" t="s">
        <v>6361</v>
      </c>
      <c r="E2384" s="2" t="s">
        <v>1872</v>
      </c>
      <c r="F2384" s="2" t="s">
        <v>10</v>
      </c>
      <c r="G2384" s="2" t="s">
        <v>11</v>
      </c>
      <c r="H2384" s="2">
        <v>38000000</v>
      </c>
      <c r="I2384" s="2">
        <v>5.5</v>
      </c>
      <c r="J2384" s="3">
        <v>37470017</v>
      </c>
      <c r="K2384">
        <f t="shared" si="82"/>
        <v>1.3775047412552699E-3</v>
      </c>
      <c r="R2384" s="12" t="str">
        <f ca="1">IFERROR(__xludf.DUMMYFUNCTION("""COMPUTED_VALUE"""),"Big Fat Liar ")</f>
        <v>Big Fat Liar </v>
      </c>
      <c r="S2384" s="12">
        <f t="shared" si="81"/>
        <v>5854988</v>
      </c>
    </row>
    <row r="2385" spans="1:19" x14ac:dyDescent="0.3">
      <c r="A2385" s="2" t="s">
        <v>404</v>
      </c>
      <c r="B2385" s="2">
        <v>110</v>
      </c>
      <c r="C2385" s="3">
        <v>3447339</v>
      </c>
      <c r="D2385" s="3" t="s">
        <v>5849</v>
      </c>
      <c r="E2385" s="2" t="s">
        <v>4356</v>
      </c>
      <c r="F2385" s="2" t="s">
        <v>10</v>
      </c>
      <c r="G2385" s="2" t="s">
        <v>11</v>
      </c>
      <c r="H2385" s="2">
        <v>7000000</v>
      </c>
      <c r="I2385" s="2">
        <v>6.1</v>
      </c>
      <c r="J2385" s="3">
        <v>37479778</v>
      </c>
      <c r="K2385">
        <f t="shared" si="82"/>
        <v>1.3775047412552699E-3</v>
      </c>
      <c r="R2385" s="12" t="str">
        <f ca="1">IFERROR(__xludf.DUMMYFUNCTION("""COMPUTED_VALUE"""),"Wag the Dog ")</f>
        <v>Wag the Dog </v>
      </c>
      <c r="S2385" s="12">
        <f t="shared" si="81"/>
        <v>-8500000</v>
      </c>
    </row>
    <row r="2386" spans="1:19" x14ac:dyDescent="0.3">
      <c r="A2386" s="2" t="s">
        <v>2962</v>
      </c>
      <c r="B2386" s="2">
        <v>117</v>
      </c>
      <c r="C2386" s="3">
        <v>14000000</v>
      </c>
      <c r="D2386" s="3" t="s">
        <v>5803</v>
      </c>
      <c r="E2386" s="2" t="s">
        <v>3469</v>
      </c>
      <c r="F2386" s="2" t="s">
        <v>10</v>
      </c>
      <c r="G2386" s="2" t="s">
        <v>3470</v>
      </c>
      <c r="H2386" s="2">
        <v>15000000</v>
      </c>
      <c r="I2386" s="2">
        <v>6.3</v>
      </c>
      <c r="J2386" s="3">
        <v>37481242</v>
      </c>
      <c r="K2386">
        <f t="shared" si="82"/>
        <v>1.3775047412552699E-3</v>
      </c>
      <c r="R2386" s="12" t="str">
        <f ca="1">IFERROR(__xludf.DUMMYFUNCTION("""COMPUTED_VALUE"""),"The Lizzie McGuire Movie ")</f>
        <v>The Lizzie McGuire Movie </v>
      </c>
      <c r="S2386" s="12">
        <f t="shared" si="81"/>
        <v>-177265514</v>
      </c>
    </row>
    <row r="2387" spans="1:19" x14ac:dyDescent="0.3">
      <c r="A2387" s="2" t="s">
        <v>3118</v>
      </c>
      <c r="B2387" s="2">
        <v>116</v>
      </c>
      <c r="C2387" s="3">
        <v>6173485</v>
      </c>
      <c r="D2387" s="3" t="s">
        <v>6214</v>
      </c>
      <c r="E2387" s="2" t="s">
        <v>3119</v>
      </c>
      <c r="F2387" s="2" t="s">
        <v>10</v>
      </c>
      <c r="G2387" s="2" t="s">
        <v>504</v>
      </c>
      <c r="H2387" s="2">
        <v>19000000</v>
      </c>
      <c r="I2387" s="2">
        <v>6.3</v>
      </c>
      <c r="J2387" s="3">
        <v>37486138</v>
      </c>
      <c r="K2387">
        <f t="shared" si="82"/>
        <v>1.3775047412552699E-3</v>
      </c>
      <c r="R2387" s="12" t="str">
        <f ca="1">IFERROR(__xludf.DUMMYFUNCTION("""COMPUTED_VALUE"""),"Snitch ")</f>
        <v>Snitch </v>
      </c>
      <c r="S2387" s="12">
        <f t="shared" si="81"/>
        <v>23995450</v>
      </c>
    </row>
    <row r="2388" spans="1:19" x14ac:dyDescent="0.3">
      <c r="A2388" s="2" t="s">
        <v>1342</v>
      </c>
      <c r="B2388" s="2">
        <v>109</v>
      </c>
      <c r="C2388" s="3">
        <v>2154540</v>
      </c>
      <c r="D2388" s="3" t="s">
        <v>6036</v>
      </c>
      <c r="E2388" s="2" t="s">
        <v>1343</v>
      </c>
      <c r="F2388" s="2" t="s">
        <v>10</v>
      </c>
      <c r="G2388" s="2" t="s">
        <v>11</v>
      </c>
      <c r="H2388" s="2">
        <v>50000000</v>
      </c>
      <c r="I2388" s="2">
        <v>5</v>
      </c>
      <c r="J2388" s="3">
        <v>37516013</v>
      </c>
      <c r="K2388">
        <f t="shared" si="82"/>
        <v>1.3775047412552699E-3</v>
      </c>
      <c r="R2388" s="12" t="str">
        <f ca="1">IFERROR(__xludf.DUMMYFUNCTION("""COMPUTED_VALUE"""),"Krampus ")</f>
        <v>Krampus </v>
      </c>
      <c r="S2388" s="12">
        <f t="shared" si="81"/>
        <v>6800000</v>
      </c>
    </row>
    <row r="2389" spans="1:19" x14ac:dyDescent="0.3">
      <c r="A2389" s="2" t="s">
        <v>3136</v>
      </c>
      <c r="B2389" s="2">
        <v>110</v>
      </c>
      <c r="C2389" s="2">
        <v>13998282</v>
      </c>
      <c r="D2389" s="3" t="s">
        <v>6090</v>
      </c>
      <c r="E2389" s="2" t="s">
        <v>3137</v>
      </c>
      <c r="F2389" s="2" t="s">
        <v>10</v>
      </c>
      <c r="G2389" s="2" t="s">
        <v>11</v>
      </c>
      <c r="H2389" s="2">
        <v>16000000</v>
      </c>
      <c r="I2389" s="2">
        <v>3.1</v>
      </c>
      <c r="J2389" s="3">
        <v>37553932</v>
      </c>
      <c r="K2389">
        <f t="shared" si="82"/>
        <v>1.3775047412552699E-3</v>
      </c>
      <c r="R2389" s="12" t="str">
        <f ca="1">IFERROR(__xludf.DUMMYFUNCTION("""COMPUTED_VALUE"""),"The Faculty ")</f>
        <v>The Faculty </v>
      </c>
      <c r="S2389" s="12">
        <f t="shared" si="81"/>
        <v>-12842509</v>
      </c>
    </row>
    <row r="2390" spans="1:19" x14ac:dyDescent="0.3">
      <c r="A2390" s="2" t="s">
        <v>161</v>
      </c>
      <c r="B2390" s="2">
        <v>101</v>
      </c>
      <c r="C2390" s="3">
        <v>34746109</v>
      </c>
      <c r="D2390" s="3" t="s">
        <v>5856</v>
      </c>
      <c r="E2390" s="2" t="s">
        <v>162</v>
      </c>
      <c r="F2390" s="2" t="s">
        <v>10</v>
      </c>
      <c r="G2390" s="2" t="s">
        <v>11</v>
      </c>
      <c r="H2390" s="2">
        <v>165000000</v>
      </c>
      <c r="I2390" s="2">
        <v>7.8</v>
      </c>
      <c r="J2390" s="3">
        <v>37566230</v>
      </c>
      <c r="K2390">
        <f t="shared" si="82"/>
        <v>1.3775047412552699E-3</v>
      </c>
      <c r="R2390" s="12" t="str">
        <f ca="1">IFERROR(__xludf.DUMMYFUNCTION("""COMPUTED_VALUE"""),"Cop Land ")</f>
        <v>Cop Land </v>
      </c>
      <c r="S2390" s="12">
        <f t="shared" si="81"/>
        <v>-15525492</v>
      </c>
    </row>
    <row r="2391" spans="1:19" x14ac:dyDescent="0.3">
      <c r="A2391" s="2" t="s">
        <v>1842</v>
      </c>
      <c r="B2391" s="2">
        <v>159</v>
      </c>
      <c r="C2391" s="3">
        <v>513836</v>
      </c>
      <c r="D2391" s="3" t="s">
        <v>5869</v>
      </c>
      <c r="E2391" s="2" t="s">
        <v>1843</v>
      </c>
      <c r="F2391" s="2" t="s">
        <v>1844</v>
      </c>
      <c r="G2391" s="2" t="s">
        <v>1845</v>
      </c>
      <c r="H2391" s="2">
        <v>18026148</v>
      </c>
      <c r="I2391" s="2">
        <v>8.4</v>
      </c>
      <c r="J2391" s="3">
        <v>37567440</v>
      </c>
      <c r="K2391">
        <f t="shared" si="82"/>
        <v>1.3775047412552699E-3</v>
      </c>
      <c r="R2391" s="12" t="str">
        <f ca="1">IFERROR(__xludf.DUMMYFUNCTION("""COMPUTED_VALUE"""),"Not Another Teen Movie ")</f>
        <v>Not Another Teen Movie </v>
      </c>
      <c r="S2391" s="12">
        <f t="shared" si="81"/>
        <v>4244913</v>
      </c>
    </row>
    <row r="2392" spans="1:19" x14ac:dyDescent="0.3">
      <c r="A2392" s="2" t="s">
        <v>2783</v>
      </c>
      <c r="B2392" s="2">
        <v>83</v>
      </c>
      <c r="C2392" s="3">
        <v>1294640</v>
      </c>
      <c r="D2392" s="3" t="s">
        <v>6362</v>
      </c>
      <c r="E2392" s="2" t="s">
        <v>2784</v>
      </c>
      <c r="F2392" s="2" t="s">
        <v>10</v>
      </c>
      <c r="G2392" s="2" t="s">
        <v>11</v>
      </c>
      <c r="H2392" s="2">
        <v>22000000</v>
      </c>
      <c r="I2392" s="2">
        <v>4.5999999999999996</v>
      </c>
      <c r="J2392" s="3">
        <v>37600435</v>
      </c>
      <c r="K2392">
        <f t="shared" si="82"/>
        <v>1.3775047412552699E-3</v>
      </c>
      <c r="R2392" s="12" t="str">
        <f ca="1">IFERROR(__xludf.DUMMYFUNCTION("""COMPUTED_VALUE"""),"End of Watch ")</f>
        <v>End of Watch </v>
      </c>
      <c r="S2392" s="12">
        <f t="shared" si="81"/>
        <v>-21493554</v>
      </c>
    </row>
    <row r="2393" spans="1:19" x14ac:dyDescent="0.3">
      <c r="A2393" s="2" t="s">
        <v>5049</v>
      </c>
      <c r="B2393" s="2">
        <v>90</v>
      </c>
      <c r="C2393" s="3">
        <v>14095303</v>
      </c>
      <c r="D2393" s="3" t="s">
        <v>5812</v>
      </c>
      <c r="E2393" s="2" t="s">
        <v>5736</v>
      </c>
      <c r="F2393" s="2" t="s">
        <v>10</v>
      </c>
      <c r="G2393" s="2" t="s">
        <v>11</v>
      </c>
      <c r="H2393" s="3">
        <v>474544677</v>
      </c>
      <c r="I2393" s="2">
        <v>6.6</v>
      </c>
      <c r="J2393" s="3">
        <v>37617947</v>
      </c>
      <c r="K2393">
        <f t="shared" si="82"/>
        <v>1.3775047412552699E-3</v>
      </c>
      <c r="R2393" s="12" t="str">
        <f ca="1">IFERROR(__xludf.DUMMYFUNCTION("""COMPUTED_VALUE"""),"The Skulls ")</f>
        <v>The Skulls </v>
      </c>
      <c r="S2393" s="12">
        <f t="shared" ref="S2393:S2456" si="83">C2371-H2371</f>
        <v>8035575</v>
      </c>
    </row>
    <row r="2394" spans="1:19" x14ac:dyDescent="0.3">
      <c r="A2394" s="2" t="s">
        <v>1557</v>
      </c>
      <c r="B2394" s="2">
        <v>133</v>
      </c>
      <c r="C2394" s="3">
        <v>36020063</v>
      </c>
      <c r="D2394" s="3" t="s">
        <v>6242</v>
      </c>
      <c r="E2394" s="2" t="s">
        <v>1558</v>
      </c>
      <c r="F2394" s="2" t="s">
        <v>10</v>
      </c>
      <c r="G2394" s="2" t="s">
        <v>11</v>
      </c>
      <c r="H2394" s="2">
        <v>45000000</v>
      </c>
      <c r="I2394" s="2">
        <v>7.4</v>
      </c>
      <c r="J2394" s="3">
        <v>37623143</v>
      </c>
      <c r="K2394">
        <f t="shared" si="82"/>
        <v>1.3775047412552699E-3</v>
      </c>
      <c r="R2394" s="12" t="str">
        <f ca="1">IFERROR(__xludf.DUMMYFUNCTION("""COMPUTED_VALUE"""),"The Theory of Everything ")</f>
        <v>The Theory of Everything </v>
      </c>
      <c r="S2394" s="12">
        <f t="shared" si="83"/>
        <v>-7794657</v>
      </c>
    </row>
    <row r="2395" spans="1:19" x14ac:dyDescent="0.3">
      <c r="A2395" s="2" t="s">
        <v>4991</v>
      </c>
      <c r="B2395" s="2">
        <v>113</v>
      </c>
      <c r="C2395" s="2">
        <v>9054736</v>
      </c>
      <c r="D2395" s="3" t="s">
        <v>5804</v>
      </c>
      <c r="E2395" s="2" t="s">
        <v>4992</v>
      </c>
      <c r="F2395" s="2" t="s">
        <v>10</v>
      </c>
      <c r="G2395" s="2" t="s">
        <v>11</v>
      </c>
      <c r="H2395" s="2">
        <v>2700000</v>
      </c>
      <c r="I2395" s="2">
        <v>7.1</v>
      </c>
      <c r="J2395" s="3">
        <v>37652565</v>
      </c>
      <c r="K2395">
        <f t="shared" si="82"/>
        <v>1.3775047412552699E-3</v>
      </c>
      <c r="R2395" s="12" t="str">
        <f ca="1">IFERROR(__xludf.DUMMYFUNCTION("""COMPUTED_VALUE"""),"Malibu's Most Wanted ")</f>
        <v>Malibu's Most Wanted </v>
      </c>
      <c r="S2395" s="12">
        <f t="shared" si="83"/>
        <v>3990542</v>
      </c>
    </row>
    <row r="2396" spans="1:19" x14ac:dyDescent="0.3">
      <c r="A2396" s="2" t="s">
        <v>2306</v>
      </c>
      <c r="B2396" s="2">
        <v>110</v>
      </c>
      <c r="C2396" s="2">
        <v>16295774</v>
      </c>
      <c r="D2396" s="3" t="s">
        <v>5767</v>
      </c>
      <c r="E2396" s="2" t="s">
        <v>2307</v>
      </c>
      <c r="F2396" s="2" t="s">
        <v>10</v>
      </c>
      <c r="G2396" s="2" t="s">
        <v>11</v>
      </c>
      <c r="H2396" s="2">
        <v>35000000</v>
      </c>
      <c r="I2396" s="2">
        <v>4.5999999999999996</v>
      </c>
      <c r="J2396" s="3">
        <v>37672350</v>
      </c>
      <c r="K2396">
        <f t="shared" si="82"/>
        <v>1.3775047412552699E-3</v>
      </c>
      <c r="R2396" s="12" t="str">
        <f ca="1">IFERROR(__xludf.DUMMYFUNCTION("""COMPUTED_VALUE"""),"Where the Heart Is ")</f>
        <v>Where the Heart Is </v>
      </c>
      <c r="S2396" s="12">
        <f t="shared" si="83"/>
        <v>-30307392</v>
      </c>
    </row>
    <row r="2397" spans="1:19" x14ac:dyDescent="0.3">
      <c r="A2397" s="2" t="s">
        <v>4079</v>
      </c>
      <c r="B2397" s="2">
        <v>111</v>
      </c>
      <c r="C2397" s="3">
        <v>46836394</v>
      </c>
      <c r="D2397" s="3" t="s">
        <v>885</v>
      </c>
      <c r="E2397" s="2" t="s">
        <v>4080</v>
      </c>
      <c r="F2397" s="2" t="s">
        <v>10</v>
      </c>
      <c r="G2397" s="2" t="s">
        <v>11</v>
      </c>
      <c r="H2397" s="2">
        <v>10000000</v>
      </c>
      <c r="I2397" s="2">
        <v>5.5</v>
      </c>
      <c r="J2397" s="3">
        <v>37707719</v>
      </c>
      <c r="K2397">
        <f t="shared" si="82"/>
        <v>1.3775047412552699E-3</v>
      </c>
      <c r="R2397" s="12" t="str">
        <f ca="1">IFERROR(__xludf.DUMMYFUNCTION("""COMPUTED_VALUE"""),"Lawrence of Arabia ")</f>
        <v>Lawrence of Arabia </v>
      </c>
      <c r="S2397" s="12">
        <f t="shared" si="83"/>
        <v>-5438762</v>
      </c>
    </row>
    <row r="2398" spans="1:19" x14ac:dyDescent="0.3">
      <c r="A2398" s="2" t="s">
        <v>3197</v>
      </c>
      <c r="B2398" s="2">
        <v>108</v>
      </c>
      <c r="C2398" s="3">
        <v>23213577</v>
      </c>
      <c r="D2398" s="3" t="s">
        <v>6128</v>
      </c>
      <c r="E2398" s="2" t="s">
        <v>3198</v>
      </c>
      <c r="F2398" s="2" t="s">
        <v>10</v>
      </c>
      <c r="G2398" s="2" t="s">
        <v>11</v>
      </c>
      <c r="H2398" s="2">
        <v>18000000</v>
      </c>
      <c r="I2398" s="2">
        <v>6.7</v>
      </c>
      <c r="J2398" s="3">
        <v>37738400</v>
      </c>
      <c r="K2398">
        <f t="shared" si="82"/>
        <v>1.3775047412552699E-3</v>
      </c>
      <c r="R2398" s="12" t="str">
        <f ca="1">IFERROR(__xludf.DUMMYFUNCTION("""COMPUTED_VALUE"""),"Halloween II ")</f>
        <v>Halloween II </v>
      </c>
      <c r="S2398" s="12">
        <f t="shared" si="83"/>
        <v>-7719493</v>
      </c>
    </row>
    <row r="2399" spans="1:19" x14ac:dyDescent="0.3">
      <c r="A2399" s="2" t="s">
        <v>5115</v>
      </c>
      <c r="B2399" s="2">
        <v>96</v>
      </c>
      <c r="C2399" s="3">
        <v>10555348</v>
      </c>
      <c r="D2399" s="3" t="s">
        <v>5995</v>
      </c>
      <c r="E2399" s="2" t="s">
        <v>5116</v>
      </c>
      <c r="F2399" s="2" t="s">
        <v>10</v>
      </c>
      <c r="G2399" s="2" t="s">
        <v>11</v>
      </c>
      <c r="H2399" s="2">
        <v>2000000</v>
      </c>
      <c r="I2399" s="2">
        <v>6.6</v>
      </c>
      <c r="J2399" s="3">
        <v>37752931</v>
      </c>
      <c r="K2399">
        <f t="shared" si="82"/>
        <v>1.3775047412552699E-3</v>
      </c>
      <c r="R2399" s="12" t="str">
        <f ca="1">IFERROR(__xludf.DUMMYFUNCTION("""COMPUTED_VALUE"""),"Wild ")</f>
        <v>Wild </v>
      </c>
      <c r="S2399" s="12">
        <f t="shared" si="83"/>
        <v>43007045</v>
      </c>
    </row>
    <row r="2400" spans="1:19" x14ac:dyDescent="0.3">
      <c r="A2400" s="2" t="s">
        <v>1523</v>
      </c>
      <c r="B2400" s="2">
        <v>136</v>
      </c>
      <c r="C2400" s="3">
        <v>1007962</v>
      </c>
      <c r="D2400" s="3" t="s">
        <v>1703</v>
      </c>
      <c r="E2400" s="2" t="s">
        <v>1524</v>
      </c>
      <c r="F2400" s="2" t="s">
        <v>10</v>
      </c>
      <c r="G2400" s="2" t="s">
        <v>11</v>
      </c>
      <c r="H2400" s="2">
        <v>30000000</v>
      </c>
      <c r="I2400" s="2">
        <v>7.2</v>
      </c>
      <c r="J2400" s="3">
        <v>37754208</v>
      </c>
      <c r="K2400">
        <f t="shared" si="82"/>
        <v>1.3775047412552699E-3</v>
      </c>
      <c r="R2400" s="12" t="str">
        <f ca="1">IFERROR(__xludf.DUMMYFUNCTION("""COMPUTED_VALUE"""),"The Last House on the Left ")</f>
        <v>The Last House on the Left </v>
      </c>
      <c r="S2400" s="12">
        <f t="shared" si="83"/>
        <v>-928770</v>
      </c>
    </row>
    <row r="2401" spans="1:19" x14ac:dyDescent="0.3">
      <c r="A2401" s="2" t="s">
        <v>2418</v>
      </c>
      <c r="B2401" s="2">
        <v>110</v>
      </c>
      <c r="C2401" s="3">
        <v>2024854</v>
      </c>
      <c r="D2401" s="3" t="s">
        <v>5973</v>
      </c>
      <c r="E2401" s="2" t="s">
        <v>2419</v>
      </c>
      <c r="F2401" s="2" t="s">
        <v>10</v>
      </c>
      <c r="G2401" s="2" t="s">
        <v>16</v>
      </c>
      <c r="H2401" s="2">
        <v>27000000</v>
      </c>
      <c r="I2401" s="2">
        <v>6.5</v>
      </c>
      <c r="J2401" s="3">
        <v>37760080</v>
      </c>
      <c r="K2401">
        <f t="shared" si="82"/>
        <v>1.3775047412552699E-3</v>
      </c>
      <c r="R2401" s="12" t="str">
        <f ca="1">IFERROR(__xludf.DUMMYFUNCTION("""COMPUTED_VALUE"""),"The Wedding Date ")</f>
        <v>The Wedding Date </v>
      </c>
      <c r="S2401" s="12">
        <f t="shared" si="83"/>
        <v>2114488</v>
      </c>
    </row>
    <row r="2402" spans="1:19" x14ac:dyDescent="0.3">
      <c r="A2402" s="2" t="s">
        <v>137</v>
      </c>
      <c r="B2402" s="2">
        <v>96</v>
      </c>
      <c r="C2402" s="3">
        <v>50007168</v>
      </c>
      <c r="D2402" s="3" t="s">
        <v>5900</v>
      </c>
      <c r="E2402" s="2" t="s">
        <v>5629</v>
      </c>
      <c r="F2402" s="2" t="s">
        <v>10</v>
      </c>
      <c r="G2402" s="2" t="s">
        <v>11</v>
      </c>
      <c r="H2402" s="3">
        <v>474544677</v>
      </c>
      <c r="I2402" s="2">
        <v>7.4</v>
      </c>
      <c r="J2402" s="3">
        <v>37766350</v>
      </c>
      <c r="K2402">
        <f t="shared" si="82"/>
        <v>1.3775047412552699E-3</v>
      </c>
      <c r="R2402" s="12" t="str">
        <f ca="1">IFERROR(__xludf.DUMMYFUNCTION("""COMPUTED_VALUE"""),"Halloween: Resurrection ")</f>
        <v>Halloween: Resurrection </v>
      </c>
      <c r="S2402" s="12">
        <f t="shared" si="83"/>
        <v>-11990332</v>
      </c>
    </row>
    <row r="2403" spans="1:19" x14ac:dyDescent="0.3">
      <c r="A2403" s="2" t="s">
        <v>4403</v>
      </c>
      <c r="B2403" s="2">
        <v>99</v>
      </c>
      <c r="C2403" s="3">
        <v>13300000</v>
      </c>
      <c r="D2403" s="3" t="s">
        <v>5813</v>
      </c>
      <c r="E2403" s="2" t="s">
        <v>4404</v>
      </c>
      <c r="F2403" s="2" t="s">
        <v>10</v>
      </c>
      <c r="G2403" s="2" t="s">
        <v>11</v>
      </c>
      <c r="H2403" s="2">
        <v>7000000</v>
      </c>
      <c r="I2403" s="2">
        <v>6.5</v>
      </c>
      <c r="J2403" s="3">
        <v>37788228</v>
      </c>
      <c r="K2403">
        <f t="shared" si="82"/>
        <v>1.3775047412552699E-3</v>
      </c>
      <c r="R2403" s="12" t="str">
        <f ca="1">IFERROR(__xludf.DUMMYFUNCTION("""COMPUTED_VALUE"""),"The Princess Bride ")</f>
        <v>The Princess Bride </v>
      </c>
      <c r="S2403" s="12">
        <f t="shared" si="83"/>
        <v>5756196</v>
      </c>
    </row>
    <row r="2404" spans="1:19" x14ac:dyDescent="0.3">
      <c r="A2404" s="2" t="s">
        <v>640</v>
      </c>
      <c r="B2404" s="2">
        <v>178</v>
      </c>
      <c r="C2404" s="3">
        <v>37939782</v>
      </c>
      <c r="D2404" s="3" t="s">
        <v>5912</v>
      </c>
      <c r="E2404" s="2" t="s">
        <v>641</v>
      </c>
      <c r="F2404" s="2" t="s">
        <v>10</v>
      </c>
      <c r="G2404" s="2" t="s">
        <v>11</v>
      </c>
      <c r="H2404" s="2">
        <v>90000000</v>
      </c>
      <c r="I2404" s="2">
        <v>7.1</v>
      </c>
      <c r="J2404" s="3">
        <v>37877959</v>
      </c>
      <c r="K2404">
        <f t="shared" si="82"/>
        <v>1.3775047412552699E-3</v>
      </c>
      <c r="R2404" s="12" t="str">
        <f ca="1">IFERROR(__xludf.DUMMYFUNCTION("""COMPUTED_VALUE"""),"The Great Debaters ")</f>
        <v>The Great Debaters </v>
      </c>
      <c r="S2404" s="12">
        <f t="shared" si="83"/>
        <v>-109873052</v>
      </c>
    </row>
    <row r="2405" spans="1:19" x14ac:dyDescent="0.3">
      <c r="A2405" s="2" t="s">
        <v>4291</v>
      </c>
      <c r="B2405" s="2">
        <v>104</v>
      </c>
      <c r="C2405" s="3">
        <v>6998324</v>
      </c>
      <c r="D2405" s="3" t="s">
        <v>6144</v>
      </c>
      <c r="E2405" s="2" t="s">
        <v>4292</v>
      </c>
      <c r="F2405" s="2" t="s">
        <v>10</v>
      </c>
      <c r="G2405" s="2" t="s">
        <v>11</v>
      </c>
      <c r="H2405" s="2">
        <v>8000000</v>
      </c>
      <c r="I2405" s="2">
        <v>7.4</v>
      </c>
      <c r="J2405" s="3">
        <v>37879996</v>
      </c>
      <c r="K2405">
        <f t="shared" si="82"/>
        <v>1.3775047412552699E-3</v>
      </c>
      <c r="R2405" s="12" t="str">
        <f ca="1">IFERROR(__xludf.DUMMYFUNCTION("""COMPUTED_VALUE"""),"Drive ")</f>
        <v>Drive </v>
      </c>
      <c r="S2405" s="12">
        <f t="shared" si="83"/>
        <v>-41252430</v>
      </c>
    </row>
    <row r="2406" spans="1:19" x14ac:dyDescent="0.3">
      <c r="A2406" s="2" t="s">
        <v>1384</v>
      </c>
      <c r="B2406" s="2">
        <v>98</v>
      </c>
      <c r="C2406" s="3">
        <v>37788228</v>
      </c>
      <c r="D2406" s="3" t="s">
        <v>6050</v>
      </c>
      <c r="E2406" s="2" t="s">
        <v>2303</v>
      </c>
      <c r="F2406" s="2" t="s">
        <v>10</v>
      </c>
      <c r="G2406" s="2" t="s">
        <v>11</v>
      </c>
      <c r="H2406" s="2">
        <v>40000000</v>
      </c>
      <c r="I2406" s="2">
        <v>5.5</v>
      </c>
      <c r="J2406" s="3">
        <v>37882551</v>
      </c>
      <c r="K2406">
        <f t="shared" si="82"/>
        <v>1.3775047412552699E-3</v>
      </c>
      <c r="R2406" s="12" t="str">
        <f ca="1">IFERROR(__xludf.DUMMYFUNCTION("""COMPUTED_VALUE"""),"Confessions of a Teenage Drama Queen ")</f>
        <v>Confessions of a Teenage Drama Queen </v>
      </c>
      <c r="S2406" s="12">
        <f t="shared" si="83"/>
        <v>13676606</v>
      </c>
    </row>
    <row r="2407" spans="1:19" x14ac:dyDescent="0.3">
      <c r="A2407" s="2" t="s">
        <v>4991</v>
      </c>
      <c r="B2407" s="2">
        <v>114</v>
      </c>
      <c r="C2407" s="2">
        <v>1001437</v>
      </c>
      <c r="D2407" s="3" t="s">
        <v>5910</v>
      </c>
      <c r="E2407" s="2" t="s">
        <v>5429</v>
      </c>
      <c r="F2407" s="2" t="s">
        <v>10</v>
      </c>
      <c r="G2407" s="2" t="s">
        <v>11</v>
      </c>
      <c r="H2407" s="2">
        <v>800000</v>
      </c>
      <c r="I2407" s="2">
        <v>7.2</v>
      </c>
      <c r="J2407" s="3">
        <v>37899638</v>
      </c>
      <c r="K2407">
        <f t="shared" si="82"/>
        <v>1.3775047412552699E-3</v>
      </c>
      <c r="R2407" s="12" t="str">
        <f ca="1">IFERROR(__xludf.DUMMYFUNCTION("""COMPUTED_VALUE"""),"The Object of My Affection ")</f>
        <v>The Object of My Affection </v>
      </c>
      <c r="S2407" s="12">
        <f t="shared" si="83"/>
        <v>-3552661</v>
      </c>
    </row>
    <row r="2408" spans="1:19" x14ac:dyDescent="0.3">
      <c r="A2408" s="2" t="s">
        <v>4963</v>
      </c>
      <c r="B2408" s="2">
        <v>87</v>
      </c>
      <c r="C2408" s="3">
        <v>1900725</v>
      </c>
      <c r="D2408" s="3" t="s">
        <v>5773</v>
      </c>
      <c r="E2408" s="2" t="s">
        <v>4964</v>
      </c>
      <c r="F2408" s="2" t="s">
        <v>10</v>
      </c>
      <c r="G2408" s="2" t="s">
        <v>11</v>
      </c>
      <c r="H2408" s="2">
        <v>3000000</v>
      </c>
      <c r="I2408" s="2">
        <v>5.3</v>
      </c>
      <c r="J2408" s="3">
        <v>37901509</v>
      </c>
      <c r="K2408">
        <f t="shared" si="82"/>
        <v>1.3775047412552699E-3</v>
      </c>
      <c r="R2408" s="12" t="str">
        <f ca="1">IFERROR(__xludf.DUMMYFUNCTION("""COMPUTED_VALUE"""),"28 Weeks Later ")</f>
        <v>28 Weeks Later </v>
      </c>
      <c r="S2408" s="12">
        <f t="shared" si="83"/>
        <v>-1000000</v>
      </c>
    </row>
    <row r="2409" spans="1:19" x14ac:dyDescent="0.3">
      <c r="A2409" s="2" t="s">
        <v>5263</v>
      </c>
      <c r="B2409" s="2">
        <v>97</v>
      </c>
      <c r="C2409" s="3">
        <v>15797907</v>
      </c>
      <c r="D2409" s="3" t="s">
        <v>5892</v>
      </c>
      <c r="E2409" s="2" t="s">
        <v>5264</v>
      </c>
      <c r="F2409" s="2" t="s">
        <v>10</v>
      </c>
      <c r="G2409" s="2" t="s">
        <v>71</v>
      </c>
      <c r="H2409" s="2">
        <v>1200000</v>
      </c>
      <c r="I2409" s="2">
        <v>7.4</v>
      </c>
      <c r="J2409" s="3">
        <v>37911876</v>
      </c>
      <c r="K2409">
        <f t="shared" si="82"/>
        <v>1.3775047412552699E-3</v>
      </c>
      <c r="R2409" s="12" t="str">
        <f ca="1">IFERROR(__xludf.DUMMYFUNCTION("""COMPUTED_VALUE"""),"When the Game Stands Tall ")</f>
        <v>When the Game Stands Tall </v>
      </c>
      <c r="S2409" s="12">
        <f t="shared" si="83"/>
        <v>-12826515</v>
      </c>
    </row>
    <row r="2410" spans="1:19" x14ac:dyDescent="0.3">
      <c r="A2410" s="2" t="s">
        <v>2216</v>
      </c>
      <c r="B2410" s="2">
        <v>112</v>
      </c>
      <c r="C2410" s="2">
        <v>16684352</v>
      </c>
      <c r="D2410" s="3" t="s">
        <v>5916</v>
      </c>
      <c r="E2410" s="2" t="s">
        <v>2825</v>
      </c>
      <c r="F2410" s="2" t="s">
        <v>10</v>
      </c>
      <c r="G2410" s="2" t="s">
        <v>11</v>
      </c>
      <c r="H2410" s="2">
        <v>17000000</v>
      </c>
      <c r="I2410" s="2">
        <v>6.3</v>
      </c>
      <c r="J2410" s="3">
        <v>37939782</v>
      </c>
      <c r="K2410">
        <f t="shared" si="82"/>
        <v>1.3775047412552699E-3</v>
      </c>
      <c r="R2410" s="12" t="str">
        <f ca="1">IFERROR(__xludf.DUMMYFUNCTION("""COMPUTED_VALUE"""),"Because of Winn-Dixie ")</f>
        <v>Because of Winn-Dixie </v>
      </c>
      <c r="S2410" s="12">
        <f t="shared" si="83"/>
        <v>-47845460</v>
      </c>
    </row>
    <row r="2411" spans="1:19" x14ac:dyDescent="0.3">
      <c r="A2411" s="2" t="s">
        <v>150</v>
      </c>
      <c r="B2411" s="2">
        <v>130</v>
      </c>
      <c r="C2411" s="3">
        <v>28734552</v>
      </c>
      <c r="D2411" s="3" t="s">
        <v>5920</v>
      </c>
      <c r="E2411" s="2" t="s">
        <v>151</v>
      </c>
      <c r="F2411" s="2" t="s">
        <v>10</v>
      </c>
      <c r="G2411" s="2" t="s">
        <v>11</v>
      </c>
      <c r="H2411" s="2">
        <v>170000000</v>
      </c>
      <c r="I2411" s="2">
        <v>7.6</v>
      </c>
      <c r="J2411" s="3">
        <v>38037513</v>
      </c>
      <c r="K2411">
        <f t="shared" si="82"/>
        <v>1.3775047412552699E-3</v>
      </c>
      <c r="R2411" s="12" t="str">
        <f ca="1">IFERROR(__xludf.DUMMYFUNCTION("""COMPUTED_VALUE"""),"Love &amp; Basketball ")</f>
        <v>Love &amp; Basketball </v>
      </c>
      <c r="S2411" s="12">
        <f t="shared" si="83"/>
        <v>-2001718</v>
      </c>
    </row>
    <row r="2412" spans="1:19" x14ac:dyDescent="0.3">
      <c r="A2412" s="2" t="s">
        <v>2745</v>
      </c>
      <c r="B2412" s="2">
        <v>88</v>
      </c>
      <c r="C2412" s="3">
        <v>40983001</v>
      </c>
      <c r="D2412" s="3" t="s">
        <v>5855</v>
      </c>
      <c r="E2412" s="2" t="s">
        <v>2746</v>
      </c>
      <c r="F2412" s="2" t="s">
        <v>10</v>
      </c>
      <c r="G2412" s="2" t="s">
        <v>11</v>
      </c>
      <c r="H2412" s="2">
        <v>23000000</v>
      </c>
      <c r="I2412" s="2">
        <v>5.6</v>
      </c>
      <c r="J2412" s="3">
        <v>38048637</v>
      </c>
      <c r="K2412">
        <f t="shared" si="82"/>
        <v>1.3775047412552699E-3</v>
      </c>
      <c r="R2412" s="12" t="str">
        <f ca="1">IFERROR(__xludf.DUMMYFUNCTION("""COMPUTED_VALUE"""),"Grosse Pointe Blank ")</f>
        <v>Grosse Pointe Blank </v>
      </c>
      <c r="S2412" s="12">
        <f t="shared" si="83"/>
        <v>-130253891</v>
      </c>
    </row>
    <row r="2413" spans="1:19" x14ac:dyDescent="0.3">
      <c r="A2413" s="2" t="s">
        <v>928</v>
      </c>
      <c r="B2413" s="2">
        <v>125</v>
      </c>
      <c r="C2413" s="3">
        <v>45857453</v>
      </c>
      <c r="D2413" s="3" t="s">
        <v>5910</v>
      </c>
      <c r="E2413" s="2" t="s">
        <v>929</v>
      </c>
      <c r="F2413" s="2" t="s">
        <v>10</v>
      </c>
      <c r="G2413" s="2" t="s">
        <v>11</v>
      </c>
      <c r="H2413" s="2">
        <v>68000000</v>
      </c>
      <c r="I2413" s="2">
        <v>6.4</v>
      </c>
      <c r="J2413" s="3">
        <v>38087366</v>
      </c>
      <c r="K2413">
        <f t="shared" si="82"/>
        <v>1.3775047412552699E-3</v>
      </c>
      <c r="R2413" s="12" t="str">
        <f ca="1">IFERROR(__xludf.DUMMYFUNCTION("""COMPUTED_VALUE"""),"All About Steve ")</f>
        <v>All About Steve </v>
      </c>
      <c r="S2413" s="12">
        <f t="shared" si="83"/>
        <v>-17512312</v>
      </c>
    </row>
    <row r="2414" spans="1:19" x14ac:dyDescent="0.3">
      <c r="A2414" s="2" t="s">
        <v>2035</v>
      </c>
      <c r="B2414" s="2">
        <v>118</v>
      </c>
      <c r="C2414" s="3">
        <v>10544143</v>
      </c>
      <c r="D2414" s="3" t="s">
        <v>520</v>
      </c>
      <c r="E2414" s="2" t="s">
        <v>3925</v>
      </c>
      <c r="F2414" s="2" t="s">
        <v>10</v>
      </c>
      <c r="G2414" s="2" t="s">
        <v>11</v>
      </c>
      <c r="H2414" s="2">
        <v>11000000</v>
      </c>
      <c r="I2414" s="2">
        <v>7.8</v>
      </c>
      <c r="J2414" s="3">
        <v>38087756</v>
      </c>
      <c r="K2414">
        <f t="shared" si="82"/>
        <v>1.3775047412552699E-3</v>
      </c>
      <c r="R2414" s="12" t="str">
        <f ca="1">IFERROR(__xludf.DUMMYFUNCTION("""COMPUTED_VALUE"""),"Book of Shadows: Blair Witch 2 ")</f>
        <v>Book of Shadows: Blair Witch 2 </v>
      </c>
      <c r="S2414" s="12">
        <f t="shared" si="83"/>
        <v>-20705360</v>
      </c>
    </row>
    <row r="2415" spans="1:19" x14ac:dyDescent="0.3">
      <c r="A2415" s="2" t="s">
        <v>650</v>
      </c>
      <c r="B2415" s="2">
        <v>99</v>
      </c>
      <c r="C2415" s="3">
        <v>6197866</v>
      </c>
      <c r="D2415" s="3" t="s">
        <v>5779</v>
      </c>
      <c r="E2415" s="2" t="s">
        <v>785</v>
      </c>
      <c r="F2415" s="2" t="s">
        <v>10</v>
      </c>
      <c r="G2415" s="2" t="s">
        <v>11</v>
      </c>
      <c r="H2415" s="2">
        <v>75000000</v>
      </c>
      <c r="I2415" s="2">
        <v>6.8</v>
      </c>
      <c r="J2415" s="3">
        <v>38105077</v>
      </c>
      <c r="K2415">
        <f t="shared" si="82"/>
        <v>1.3775047412552699E-3</v>
      </c>
      <c r="R2415" s="12" t="str">
        <f ca="1">IFERROR(__xludf.DUMMYFUNCTION("""COMPUTED_VALUE"""),"The Craft ")</f>
        <v>The Craft </v>
      </c>
      <c r="S2415" s="12">
        <f t="shared" si="83"/>
        <v>-460449374</v>
      </c>
    </row>
    <row r="2416" spans="1:19" x14ac:dyDescent="0.3">
      <c r="A2416" s="2" t="s">
        <v>2362</v>
      </c>
      <c r="B2416" s="2">
        <v>175</v>
      </c>
      <c r="C2416" s="3">
        <v>25926543</v>
      </c>
      <c r="D2416" s="3" t="s">
        <v>5751</v>
      </c>
      <c r="E2416" s="2" t="s">
        <v>2477</v>
      </c>
      <c r="F2416" s="2" t="s">
        <v>10</v>
      </c>
      <c r="G2416" s="2" t="s">
        <v>11</v>
      </c>
      <c r="H2416" s="2">
        <v>26000000</v>
      </c>
      <c r="I2416" s="2">
        <v>7.4</v>
      </c>
      <c r="J2416" s="3">
        <v>38119483</v>
      </c>
      <c r="K2416">
        <f t="shared" si="82"/>
        <v>1.3775047412552699E-3</v>
      </c>
      <c r="R2416" s="12" t="str">
        <f ca="1">IFERROR(__xludf.DUMMYFUNCTION("""COMPUTED_VALUE"""),"Match Point ")</f>
        <v>Match Point </v>
      </c>
      <c r="S2416" s="12">
        <f t="shared" si="83"/>
        <v>-8979937</v>
      </c>
    </row>
    <row r="2417" spans="1:19" x14ac:dyDescent="0.3">
      <c r="A2417" s="2" t="s">
        <v>2088</v>
      </c>
      <c r="B2417" s="2">
        <v>99</v>
      </c>
      <c r="C2417" s="3">
        <v>302204</v>
      </c>
      <c r="D2417" s="3" t="s">
        <v>6363</v>
      </c>
      <c r="E2417" s="2" t="s">
        <v>2089</v>
      </c>
      <c r="F2417" s="2" t="s">
        <v>10</v>
      </c>
      <c r="G2417" s="2" t="s">
        <v>11</v>
      </c>
      <c r="H2417" s="2">
        <v>33000000</v>
      </c>
      <c r="I2417" s="2">
        <v>6.5</v>
      </c>
      <c r="J2417" s="3">
        <v>38120554</v>
      </c>
      <c r="K2417">
        <f t="shared" si="82"/>
        <v>1.3775047412552699E-3</v>
      </c>
      <c r="R2417" s="12" t="str">
        <f ca="1">IFERROR(__xludf.DUMMYFUNCTION("""COMPUTED_VALUE"""),"Ramona and Beezus ")</f>
        <v>Ramona and Beezus </v>
      </c>
      <c r="S2417" s="12">
        <f t="shared" si="83"/>
        <v>6354736</v>
      </c>
    </row>
    <row r="2418" spans="1:19" x14ac:dyDescent="0.3">
      <c r="A2418" s="2" t="s">
        <v>8</v>
      </c>
      <c r="B2418" s="2">
        <v>171</v>
      </c>
      <c r="C2418" s="3">
        <v>17596256</v>
      </c>
      <c r="D2418" s="3" t="s">
        <v>5767</v>
      </c>
      <c r="E2418" s="2" t="s">
        <v>884</v>
      </c>
      <c r="F2418" s="2" t="s">
        <v>10</v>
      </c>
      <c r="G2418" s="2" t="s">
        <v>11</v>
      </c>
      <c r="H2418" s="2">
        <v>69500000</v>
      </c>
      <c r="I2418" s="2">
        <v>7.6</v>
      </c>
      <c r="J2418" s="3">
        <v>38122105</v>
      </c>
      <c r="K2418">
        <f t="shared" si="82"/>
        <v>1.3775047412552699E-3</v>
      </c>
      <c r="R2418" s="12" t="str">
        <f ca="1">IFERROR(__xludf.DUMMYFUNCTION("""COMPUTED_VALUE"""),"The Remains of the Day ")</f>
        <v>The Remains of the Day </v>
      </c>
      <c r="S2418" s="12">
        <f t="shared" si="83"/>
        <v>-18704226</v>
      </c>
    </row>
    <row r="2419" spans="1:19" x14ac:dyDescent="0.3">
      <c r="A2419" s="2" t="s">
        <v>240</v>
      </c>
      <c r="B2419" s="2">
        <v>110</v>
      </c>
      <c r="C2419" s="3">
        <v>95001351</v>
      </c>
      <c r="D2419" s="3" t="s">
        <v>6026</v>
      </c>
      <c r="E2419" s="2" t="s">
        <v>870</v>
      </c>
      <c r="F2419" s="2" t="s">
        <v>10</v>
      </c>
      <c r="G2419" s="2" t="s">
        <v>11</v>
      </c>
      <c r="H2419" s="2">
        <v>70000000</v>
      </c>
      <c r="I2419" s="2">
        <v>5.6</v>
      </c>
      <c r="J2419" s="3">
        <v>38168022</v>
      </c>
      <c r="K2419">
        <f t="shared" si="82"/>
        <v>1.3775047412552699E-3</v>
      </c>
      <c r="R2419" s="12" t="str">
        <f ca="1">IFERROR(__xludf.DUMMYFUNCTION("""COMPUTED_VALUE"""),"Boogie Nights ")</f>
        <v>Boogie Nights </v>
      </c>
      <c r="S2419" s="12">
        <f t="shared" si="83"/>
        <v>36836394</v>
      </c>
    </row>
    <row r="2420" spans="1:19" x14ac:dyDescent="0.3">
      <c r="A2420" s="2" t="s">
        <v>4295</v>
      </c>
      <c r="B2420" s="2">
        <v>99</v>
      </c>
      <c r="C2420" s="3">
        <v>42672630</v>
      </c>
      <c r="D2420" s="3" t="s">
        <v>5855</v>
      </c>
      <c r="E2420" s="2" t="s">
        <v>4296</v>
      </c>
      <c r="F2420" s="2" t="s">
        <v>10</v>
      </c>
      <c r="G2420" s="2" t="s">
        <v>11</v>
      </c>
      <c r="H2420" s="2">
        <v>8000000</v>
      </c>
      <c r="I2420" s="2">
        <v>6.4</v>
      </c>
      <c r="J2420" s="3">
        <v>38176108</v>
      </c>
      <c r="K2420">
        <f t="shared" si="82"/>
        <v>1.3775047412552699E-3</v>
      </c>
      <c r="R2420" s="12" t="str">
        <f ca="1">IFERROR(__xludf.DUMMYFUNCTION("""COMPUTED_VALUE"""),"Nowhere to Run ")</f>
        <v>Nowhere to Run </v>
      </c>
      <c r="S2420" s="12">
        <f t="shared" si="83"/>
        <v>5213577</v>
      </c>
    </row>
    <row r="2421" spans="1:19" x14ac:dyDescent="0.3">
      <c r="A2421" s="2" t="s">
        <v>4401</v>
      </c>
      <c r="B2421" s="2">
        <v>112</v>
      </c>
      <c r="C2421" s="3">
        <v>10562387</v>
      </c>
      <c r="D2421" s="3" t="s">
        <v>520</v>
      </c>
      <c r="E2421" s="2" t="s">
        <v>4402</v>
      </c>
      <c r="F2421" s="2" t="s">
        <v>10</v>
      </c>
      <c r="G2421" s="2" t="s">
        <v>16</v>
      </c>
      <c r="H2421" s="2">
        <v>7000000</v>
      </c>
      <c r="I2421" s="2">
        <v>7.5</v>
      </c>
      <c r="J2421" s="3">
        <v>38176892</v>
      </c>
      <c r="K2421">
        <f t="shared" si="82"/>
        <v>1.3775047412552699E-3</v>
      </c>
      <c r="R2421" s="12" t="str">
        <f ca="1">IFERROR(__xludf.DUMMYFUNCTION("""COMPUTED_VALUE"""),"Flicka ")</f>
        <v>Flicka </v>
      </c>
      <c r="S2421" s="12">
        <f t="shared" si="83"/>
        <v>8555348</v>
      </c>
    </row>
    <row r="2422" spans="1:19" x14ac:dyDescent="0.3">
      <c r="A2422" s="2" t="s">
        <v>414</v>
      </c>
      <c r="B2422" s="2">
        <v>103</v>
      </c>
      <c r="C2422" s="3">
        <v>50000000</v>
      </c>
      <c r="D2422" s="3" t="s">
        <v>6156</v>
      </c>
      <c r="E2422" s="2" t="s">
        <v>415</v>
      </c>
      <c r="F2422" s="2" t="s">
        <v>10</v>
      </c>
      <c r="G2422" s="2" t="s">
        <v>11</v>
      </c>
      <c r="H2422" s="2">
        <v>110000000</v>
      </c>
      <c r="I2422" s="2">
        <v>5.5</v>
      </c>
      <c r="J2422" s="3">
        <v>38201895</v>
      </c>
      <c r="K2422">
        <f t="shared" si="82"/>
        <v>1.3775047412552699E-3</v>
      </c>
      <c r="R2422" s="12" t="str">
        <f ca="1">IFERROR(__xludf.DUMMYFUNCTION("""COMPUTED_VALUE"""),"The Hills Have Eyes II ")</f>
        <v>The Hills Have Eyes II </v>
      </c>
      <c r="S2422" s="12">
        <f t="shared" si="83"/>
        <v>-28992038</v>
      </c>
    </row>
    <row r="2423" spans="1:19" x14ac:dyDescent="0.3">
      <c r="A2423" s="2" t="s">
        <v>1428</v>
      </c>
      <c r="B2423" s="2">
        <v>87</v>
      </c>
      <c r="C2423" s="2">
        <v>20999103</v>
      </c>
      <c r="D2423" s="3" t="s">
        <v>5849</v>
      </c>
      <c r="E2423" s="2" t="s">
        <v>1797</v>
      </c>
      <c r="F2423" s="2" t="s">
        <v>10</v>
      </c>
      <c r="G2423" s="2" t="s">
        <v>11</v>
      </c>
      <c r="H2423" s="2">
        <v>40000000</v>
      </c>
      <c r="I2423" s="2">
        <v>7.8</v>
      </c>
      <c r="J2423" s="3">
        <v>38230435</v>
      </c>
      <c r="K2423">
        <f t="shared" si="82"/>
        <v>1.3775047412552699E-3</v>
      </c>
      <c r="R2423" s="12" t="str">
        <f ca="1">IFERROR(__xludf.DUMMYFUNCTION("""COMPUTED_VALUE"""),"Urban Legends: Final Cut ")</f>
        <v>Urban Legends: Final Cut </v>
      </c>
      <c r="S2423" s="12">
        <f t="shared" si="83"/>
        <v>-24975146</v>
      </c>
    </row>
    <row r="2424" spans="1:19" x14ac:dyDescent="0.3">
      <c r="A2424" s="2" t="s">
        <v>571</v>
      </c>
      <c r="B2424" s="2">
        <v>88</v>
      </c>
      <c r="C2424" s="2">
        <v>49474048</v>
      </c>
      <c r="D2424" s="3" t="s">
        <v>6259</v>
      </c>
      <c r="E2424" s="2" t="s">
        <v>1970</v>
      </c>
      <c r="F2424" s="2" t="s">
        <v>10</v>
      </c>
      <c r="G2424" s="2" t="s">
        <v>11</v>
      </c>
      <c r="H2424" s="2">
        <v>35000000</v>
      </c>
      <c r="I2424" s="2">
        <v>5.4</v>
      </c>
      <c r="J2424" s="3">
        <v>38232624</v>
      </c>
      <c r="K2424">
        <f t="shared" si="82"/>
        <v>1.3775047412552699E-3</v>
      </c>
      <c r="R2424" s="12" t="str">
        <f ca="1">IFERROR(__xludf.DUMMYFUNCTION("""COMPUTED_VALUE"""),"Tuck Everlasting ")</f>
        <v>Tuck Everlasting </v>
      </c>
      <c r="S2424" s="12">
        <f t="shared" si="83"/>
        <v>-424537509</v>
      </c>
    </row>
    <row r="2425" spans="1:19" x14ac:dyDescent="0.3">
      <c r="A2425" s="2" t="s">
        <v>3361</v>
      </c>
      <c r="B2425" s="2">
        <v>92</v>
      </c>
      <c r="C2425" s="2">
        <v>23091</v>
      </c>
      <c r="D2425" s="3" t="s">
        <v>351</v>
      </c>
      <c r="E2425" s="2" t="s">
        <v>3362</v>
      </c>
      <c r="F2425" s="2" t="s">
        <v>10</v>
      </c>
      <c r="G2425" s="2" t="s">
        <v>16</v>
      </c>
      <c r="H2425" s="2">
        <v>15000000</v>
      </c>
      <c r="I2425" s="2">
        <v>6.2</v>
      </c>
      <c r="J2425" s="3">
        <v>38297305</v>
      </c>
      <c r="K2425">
        <f t="shared" si="82"/>
        <v>1.3775047412552699E-3</v>
      </c>
      <c r="R2425" s="12" t="str">
        <f ca="1">IFERROR(__xludf.DUMMYFUNCTION("""COMPUTED_VALUE"""),"The Marine ")</f>
        <v>The Marine </v>
      </c>
      <c r="S2425" s="12">
        <f t="shared" si="83"/>
        <v>6300000</v>
      </c>
    </row>
    <row r="2426" spans="1:19" x14ac:dyDescent="0.3">
      <c r="A2426" s="2" t="s">
        <v>1464</v>
      </c>
      <c r="B2426" s="2">
        <v>85</v>
      </c>
      <c r="C2426" s="3">
        <v>50041732</v>
      </c>
      <c r="D2426" s="3" t="s">
        <v>5849</v>
      </c>
      <c r="E2426" s="2" t="s">
        <v>1465</v>
      </c>
      <c r="F2426" s="2" t="s">
        <v>10</v>
      </c>
      <c r="G2426" s="2" t="s">
        <v>11</v>
      </c>
      <c r="H2426" s="2">
        <v>49000000</v>
      </c>
      <c r="I2426" s="2">
        <v>5.9</v>
      </c>
      <c r="J2426" s="3">
        <v>38317535</v>
      </c>
      <c r="K2426">
        <f t="shared" si="82"/>
        <v>1.3775047412552699E-3</v>
      </c>
      <c r="R2426" s="12" t="str">
        <f ca="1">IFERROR(__xludf.DUMMYFUNCTION("""COMPUTED_VALUE"""),"Keanu ")</f>
        <v>Keanu </v>
      </c>
      <c r="S2426" s="12">
        <f t="shared" si="83"/>
        <v>-52060218</v>
      </c>
    </row>
    <row r="2427" spans="1:19" x14ac:dyDescent="0.3">
      <c r="A2427" s="2" t="s">
        <v>1633</v>
      </c>
      <c r="B2427" s="2">
        <v>122</v>
      </c>
      <c r="C2427" s="3">
        <v>1891821</v>
      </c>
      <c r="D2427" s="3" t="s">
        <v>5767</v>
      </c>
      <c r="E2427" s="2" t="s">
        <v>1908</v>
      </c>
      <c r="F2427" s="2" t="s">
        <v>10</v>
      </c>
      <c r="G2427" s="2" t="s">
        <v>11</v>
      </c>
      <c r="H2427" s="2">
        <v>37000000</v>
      </c>
      <c r="I2427" s="2">
        <v>5.2</v>
      </c>
      <c r="J2427" s="3">
        <v>38345403</v>
      </c>
      <c r="K2427">
        <f t="shared" si="82"/>
        <v>1.3775047412552699E-3</v>
      </c>
      <c r="R2427" s="12" t="str">
        <f ca="1">IFERROR(__xludf.DUMMYFUNCTION("""COMPUTED_VALUE"""),"Country Strong ")</f>
        <v>Country Strong </v>
      </c>
      <c r="S2427" s="12">
        <f t="shared" si="83"/>
        <v>-1001676</v>
      </c>
    </row>
    <row r="2428" spans="1:19" x14ac:dyDescent="0.3">
      <c r="A2428" s="2" t="s">
        <v>106</v>
      </c>
      <c r="B2428" s="2">
        <v>93</v>
      </c>
      <c r="C2428" s="3">
        <v>7837632</v>
      </c>
      <c r="D2428" s="3" t="s">
        <v>5884</v>
      </c>
      <c r="E2428" s="2" t="s">
        <v>107</v>
      </c>
      <c r="F2428" s="2" t="s">
        <v>10</v>
      </c>
      <c r="G2428" s="2" t="s">
        <v>11</v>
      </c>
      <c r="H2428" s="2">
        <v>185000000</v>
      </c>
      <c r="I2428" s="2">
        <v>7.2</v>
      </c>
      <c r="J2428" s="3">
        <v>38360195</v>
      </c>
      <c r="K2428">
        <f t="shared" si="82"/>
        <v>1.3775047412552699E-3</v>
      </c>
      <c r="R2428" s="12" t="str">
        <f ca="1">IFERROR(__xludf.DUMMYFUNCTION("""COMPUTED_VALUE"""),"Disturbing Behavior ")</f>
        <v>Disturbing Behavior </v>
      </c>
      <c r="S2428" s="12">
        <f t="shared" si="83"/>
        <v>-2211772</v>
      </c>
    </row>
    <row r="2429" spans="1:19" x14ac:dyDescent="0.3">
      <c r="A2429" s="2" t="s">
        <v>1485</v>
      </c>
      <c r="B2429" s="2">
        <v>108</v>
      </c>
      <c r="C2429" s="2">
        <v>26525834</v>
      </c>
      <c r="D2429" s="3" t="s">
        <v>6364</v>
      </c>
      <c r="E2429" s="2" t="s">
        <v>2273</v>
      </c>
      <c r="F2429" s="2" t="s">
        <v>10</v>
      </c>
      <c r="G2429" s="2" t="s">
        <v>11</v>
      </c>
      <c r="H2429" s="2">
        <v>30000000</v>
      </c>
      <c r="I2429" s="2">
        <v>6.8</v>
      </c>
      <c r="J2429" s="3">
        <v>38372662</v>
      </c>
      <c r="K2429">
        <f t="shared" si="82"/>
        <v>1.3775047412552699E-3</v>
      </c>
      <c r="R2429" s="12" t="str">
        <f ca="1">IFERROR(__xludf.DUMMYFUNCTION("""COMPUTED_VALUE"""),"The Place Beyond the Pines ")</f>
        <v>The Place Beyond the Pines </v>
      </c>
      <c r="S2429" s="12">
        <f t="shared" si="83"/>
        <v>201437</v>
      </c>
    </row>
    <row r="2430" spans="1:19" x14ac:dyDescent="0.3">
      <c r="A2430" s="2" t="s">
        <v>3776</v>
      </c>
      <c r="B2430" s="2">
        <v>110</v>
      </c>
      <c r="C2430" s="3">
        <v>70001698</v>
      </c>
      <c r="D2430" s="3" t="s">
        <v>5818</v>
      </c>
      <c r="E2430" s="2" t="s">
        <v>3777</v>
      </c>
      <c r="F2430" s="2" t="s">
        <v>10</v>
      </c>
      <c r="G2430" s="2" t="s">
        <v>11</v>
      </c>
      <c r="H2430" s="2">
        <v>12000000</v>
      </c>
      <c r="I2430" s="2">
        <v>6.5</v>
      </c>
      <c r="J2430" s="3">
        <v>38400000</v>
      </c>
      <c r="K2430">
        <f t="shared" si="82"/>
        <v>1.3775047412552699E-3</v>
      </c>
      <c r="R2430" s="12" t="str">
        <f ca="1">IFERROR(__xludf.DUMMYFUNCTION("""COMPUTED_VALUE"""),"The November Man ")</f>
        <v>The November Man </v>
      </c>
      <c r="S2430" s="12">
        <f t="shared" si="83"/>
        <v>-1099275</v>
      </c>
    </row>
    <row r="2431" spans="1:19" x14ac:dyDescent="0.3">
      <c r="A2431" s="2" t="s">
        <v>2626</v>
      </c>
      <c r="B2431" s="2">
        <v>93</v>
      </c>
      <c r="C2431" s="3">
        <v>17593391</v>
      </c>
      <c r="D2431" s="3" t="s">
        <v>6144</v>
      </c>
      <c r="E2431" s="2" t="s">
        <v>2627</v>
      </c>
      <c r="F2431" s="2" t="s">
        <v>10</v>
      </c>
      <c r="G2431" s="2" t="s">
        <v>11</v>
      </c>
      <c r="H2431" s="2">
        <v>8000000</v>
      </c>
      <c r="I2431" s="2">
        <v>5.9</v>
      </c>
      <c r="J2431" s="3">
        <v>38413606</v>
      </c>
      <c r="K2431">
        <f t="shared" si="82"/>
        <v>1.3775047412552699E-3</v>
      </c>
      <c r="R2431" s="12" t="str">
        <f ca="1">IFERROR(__xludf.DUMMYFUNCTION("""COMPUTED_VALUE"""),"Eye of the Beholder ")</f>
        <v>Eye of the Beholder </v>
      </c>
      <c r="S2431" s="12">
        <f t="shared" si="83"/>
        <v>14597907</v>
      </c>
    </row>
    <row r="2432" spans="1:19" x14ac:dyDescent="0.3">
      <c r="A2432" s="2" t="s">
        <v>1701</v>
      </c>
      <c r="B2432" s="2">
        <v>116</v>
      </c>
      <c r="C2432" s="3">
        <v>17738570</v>
      </c>
      <c r="D2432" s="3" t="s">
        <v>6100</v>
      </c>
      <c r="E2432" s="2" t="s">
        <v>1909</v>
      </c>
      <c r="F2432" s="2" t="s">
        <v>10</v>
      </c>
      <c r="G2432" s="2" t="s">
        <v>11</v>
      </c>
      <c r="H2432" s="2">
        <v>36000000</v>
      </c>
      <c r="I2432" s="2">
        <v>7</v>
      </c>
      <c r="J2432" s="3">
        <v>38432823</v>
      </c>
      <c r="K2432">
        <f t="shared" si="82"/>
        <v>1.3775047412552699E-3</v>
      </c>
      <c r="R2432" s="12" t="str">
        <f ca="1">IFERROR(__xludf.DUMMYFUNCTION("""COMPUTED_VALUE"""),"The Hurt Locker ")</f>
        <v>The Hurt Locker </v>
      </c>
      <c r="S2432" s="12">
        <f t="shared" si="83"/>
        <v>-315648</v>
      </c>
    </row>
    <row r="2433" spans="1:19" x14ac:dyDescent="0.3">
      <c r="A2433" s="2" t="s">
        <v>5610</v>
      </c>
      <c r="B2433" s="2">
        <v>98</v>
      </c>
      <c r="C2433" s="3">
        <v>1977544</v>
      </c>
      <c r="D2433" s="3" t="s">
        <v>6365</v>
      </c>
      <c r="E2433" s="2" t="s">
        <v>5611</v>
      </c>
      <c r="F2433" s="2" t="s">
        <v>10</v>
      </c>
      <c r="G2433" s="2" t="s">
        <v>11</v>
      </c>
      <c r="H2433" s="2">
        <v>250000</v>
      </c>
      <c r="I2433" s="2">
        <v>6.2</v>
      </c>
      <c r="J2433" s="3">
        <v>38509342</v>
      </c>
      <c r="K2433">
        <f t="shared" si="82"/>
        <v>1.3775047412552699E-3</v>
      </c>
      <c r="R2433" s="12" t="str">
        <f ca="1">IFERROR(__xludf.DUMMYFUNCTION("""COMPUTED_VALUE"""),"Firestarter ")</f>
        <v>Firestarter </v>
      </c>
      <c r="S2433" s="12">
        <f t="shared" si="83"/>
        <v>-141265448</v>
      </c>
    </row>
    <row r="2434" spans="1:19" x14ac:dyDescent="0.3">
      <c r="A2434" s="2" t="s">
        <v>5297</v>
      </c>
      <c r="B2434" s="2">
        <v>99</v>
      </c>
      <c r="C2434" s="3">
        <v>20773070</v>
      </c>
      <c r="D2434" s="3" t="s">
        <v>5849</v>
      </c>
      <c r="E2434" s="2" t="s">
        <v>5298</v>
      </c>
      <c r="F2434" s="2" t="s">
        <v>2071</v>
      </c>
      <c r="G2434" s="2" t="s">
        <v>771</v>
      </c>
      <c r="H2434" s="2">
        <v>1000000000</v>
      </c>
      <c r="I2434" s="2">
        <v>6</v>
      </c>
      <c r="J2434" s="3">
        <v>38536376</v>
      </c>
      <c r="K2434">
        <f t="shared" ref="K2434:K2497" si="84">CORREL(H$2:H$3941,J$2:J$3941)</f>
        <v>1.3775047412552699E-3</v>
      </c>
      <c r="R2434" s="12" t="str">
        <f ca="1">IFERROR(__xludf.DUMMYFUNCTION("""COMPUTED_VALUE"""),"Killing Them Softly ")</f>
        <v>Killing Them Softly </v>
      </c>
      <c r="S2434" s="12">
        <f t="shared" si="83"/>
        <v>17983001</v>
      </c>
    </row>
    <row r="2435" spans="1:19" x14ac:dyDescent="0.3">
      <c r="A2435" s="2" t="s">
        <v>316</v>
      </c>
      <c r="B2435" s="2">
        <v>101</v>
      </c>
      <c r="C2435" s="3">
        <v>1011054</v>
      </c>
      <c r="D2435" s="3" t="s">
        <v>520</v>
      </c>
      <c r="E2435" s="2" t="s">
        <v>317</v>
      </c>
      <c r="F2435" s="2" t="s">
        <v>10</v>
      </c>
      <c r="G2435" s="2" t="s">
        <v>11</v>
      </c>
      <c r="H2435" s="2">
        <v>110000000</v>
      </c>
      <c r="I2435" s="2">
        <v>6.4</v>
      </c>
      <c r="J2435" s="3">
        <v>38542418</v>
      </c>
      <c r="K2435">
        <f t="shared" si="84"/>
        <v>1.3775047412552699E-3</v>
      </c>
      <c r="R2435" s="12" t="str">
        <f ca="1">IFERROR(__xludf.DUMMYFUNCTION("""COMPUTED_VALUE"""),"A Most Wanted Man ")</f>
        <v>A Most Wanted Man </v>
      </c>
      <c r="S2435" s="12">
        <f t="shared" si="83"/>
        <v>-22142547</v>
      </c>
    </row>
    <row r="2436" spans="1:19" x14ac:dyDescent="0.3">
      <c r="A2436" s="2" t="s">
        <v>101</v>
      </c>
      <c r="B2436" s="2">
        <v>112</v>
      </c>
      <c r="C2436" s="3">
        <v>10640645</v>
      </c>
      <c r="D2436" s="3" t="s">
        <v>5849</v>
      </c>
      <c r="E2436" s="2" t="s">
        <v>3317</v>
      </c>
      <c r="F2436" s="2" t="s">
        <v>723</v>
      </c>
      <c r="G2436" s="2" t="s">
        <v>932</v>
      </c>
      <c r="H2436" s="2">
        <v>13500000</v>
      </c>
      <c r="I2436" s="2">
        <v>8.1999999999999993</v>
      </c>
      <c r="J2436" s="3">
        <v>38543473</v>
      </c>
      <c r="K2436">
        <f t="shared" si="84"/>
        <v>1.3775047412552699E-3</v>
      </c>
      <c r="R2436" s="12" t="str">
        <f ca="1">IFERROR(__xludf.DUMMYFUNCTION("""COMPUTED_VALUE"""),"Freddy Got Fingered ")</f>
        <v>Freddy Got Fingered </v>
      </c>
      <c r="S2436" s="12">
        <f t="shared" si="83"/>
        <v>-455857</v>
      </c>
    </row>
    <row r="2437" spans="1:19" x14ac:dyDescent="0.3">
      <c r="A2437" s="2" t="s">
        <v>5685</v>
      </c>
      <c r="B2437" s="2">
        <v>82</v>
      </c>
      <c r="C2437" s="3">
        <v>4554569</v>
      </c>
      <c r="D2437" s="3" t="s">
        <v>5929</v>
      </c>
      <c r="E2437" s="2" t="s">
        <v>5686</v>
      </c>
      <c r="F2437" s="2" t="s">
        <v>10</v>
      </c>
      <c r="G2437" s="2" t="s">
        <v>11</v>
      </c>
      <c r="H2437" s="3">
        <v>474544677</v>
      </c>
      <c r="I2437" s="2">
        <v>5.6</v>
      </c>
      <c r="J2437" s="3">
        <v>38553833</v>
      </c>
      <c r="K2437">
        <f t="shared" si="84"/>
        <v>1.3775047412552699E-3</v>
      </c>
      <c r="R2437" s="12" t="str">
        <f ca="1">IFERROR(__xludf.DUMMYFUNCTION("""COMPUTED_VALUE"""),"The Pirates Who Don't Do Anything: A VeggieTales Movie ")</f>
        <v>The Pirates Who Don't Do Anything: A VeggieTales Movie </v>
      </c>
      <c r="S2437" s="12">
        <f t="shared" si="83"/>
        <v>-68802134</v>
      </c>
    </row>
    <row r="2438" spans="1:19" x14ac:dyDescent="0.3">
      <c r="A2438" s="2" t="s">
        <v>501</v>
      </c>
      <c r="B2438" s="2">
        <v>114</v>
      </c>
      <c r="C2438" s="3">
        <v>6157157</v>
      </c>
      <c r="D2438" s="3" t="s">
        <v>6251</v>
      </c>
      <c r="E2438" s="2" t="s">
        <v>720</v>
      </c>
      <c r="F2438" s="2" t="s">
        <v>10</v>
      </c>
      <c r="G2438" s="2" t="s">
        <v>11</v>
      </c>
      <c r="H2438" s="2">
        <v>90000000</v>
      </c>
      <c r="I2438" s="2">
        <v>5.6</v>
      </c>
      <c r="J2438" s="3">
        <v>38590500</v>
      </c>
      <c r="K2438">
        <f t="shared" si="84"/>
        <v>1.3775047412552699E-3</v>
      </c>
      <c r="R2438" s="12" t="str">
        <f ca="1">IFERROR(__xludf.DUMMYFUNCTION("""COMPUTED_VALUE"""),"Highlander: Endgame ")</f>
        <v>Highlander: Endgame </v>
      </c>
      <c r="S2438" s="12">
        <f t="shared" si="83"/>
        <v>-73457</v>
      </c>
    </row>
    <row r="2439" spans="1:19" x14ac:dyDescent="0.3">
      <c r="A2439" s="2" t="s">
        <v>2427</v>
      </c>
      <c r="B2439" s="2">
        <v>123</v>
      </c>
      <c r="C2439" s="3">
        <v>51600000</v>
      </c>
      <c r="D2439" s="3" t="s">
        <v>5869</v>
      </c>
      <c r="E2439" s="2" t="s">
        <v>3247</v>
      </c>
      <c r="F2439" s="2" t="s">
        <v>10</v>
      </c>
      <c r="G2439" s="2" t="s">
        <v>11</v>
      </c>
      <c r="H2439" s="2">
        <v>17000000</v>
      </c>
      <c r="I2439" s="2">
        <v>6.7</v>
      </c>
      <c r="J2439" s="3">
        <v>38624000</v>
      </c>
      <c r="K2439">
        <f t="shared" si="84"/>
        <v>1.3775047412552699E-3</v>
      </c>
      <c r="R2439" s="12" t="str">
        <f ca="1">IFERROR(__xludf.DUMMYFUNCTION("""COMPUTED_VALUE"""),"Idlewild ")</f>
        <v>Idlewild </v>
      </c>
      <c r="S2439" s="12">
        <f t="shared" si="83"/>
        <v>-32697796</v>
      </c>
    </row>
    <row r="2440" spans="1:19" x14ac:dyDescent="0.3">
      <c r="A2440" s="2" t="s">
        <v>1288</v>
      </c>
      <c r="B2440" s="2">
        <v>100</v>
      </c>
      <c r="C2440" s="3">
        <v>17605861</v>
      </c>
      <c r="D2440" s="3" t="s">
        <v>6201</v>
      </c>
      <c r="E2440" s="2" t="s">
        <v>1858</v>
      </c>
      <c r="F2440" s="2" t="s">
        <v>10</v>
      </c>
      <c r="G2440" s="2" t="s">
        <v>11</v>
      </c>
      <c r="H2440" s="2">
        <v>38000000</v>
      </c>
      <c r="I2440" s="2">
        <v>5.0999999999999996</v>
      </c>
      <c r="J2440" s="3">
        <v>38747385</v>
      </c>
      <c r="K2440">
        <f t="shared" si="84"/>
        <v>1.3775047412552699E-3</v>
      </c>
      <c r="R2440" s="12" t="str">
        <f ca="1">IFERROR(__xludf.DUMMYFUNCTION("""COMPUTED_VALUE"""),"One Day ")</f>
        <v>One Day </v>
      </c>
      <c r="S2440" s="12">
        <f t="shared" si="83"/>
        <v>-51903744</v>
      </c>
    </row>
    <row r="2441" spans="1:19" x14ac:dyDescent="0.3">
      <c r="A2441" s="2" t="s">
        <v>246</v>
      </c>
      <c r="B2441" s="2">
        <v>99</v>
      </c>
      <c r="C2441" s="3">
        <v>43337279</v>
      </c>
      <c r="D2441" s="3" t="s">
        <v>5869</v>
      </c>
      <c r="E2441" s="2" t="s">
        <v>3144</v>
      </c>
      <c r="F2441" s="2" t="s">
        <v>10</v>
      </c>
      <c r="G2441" s="2" t="s">
        <v>11</v>
      </c>
      <c r="H2441" s="2">
        <v>21000000</v>
      </c>
      <c r="I2441" s="2">
        <v>6.6</v>
      </c>
      <c r="J2441" s="3">
        <v>38916903</v>
      </c>
      <c r="K2441">
        <f t="shared" si="84"/>
        <v>1.3775047412552699E-3</v>
      </c>
      <c r="R2441" s="12" t="str">
        <f ca="1">IFERROR(__xludf.DUMMYFUNCTION("""COMPUTED_VALUE"""),"Whip It ")</f>
        <v>Whip It </v>
      </c>
      <c r="S2441" s="12">
        <f t="shared" si="83"/>
        <v>25001351</v>
      </c>
    </row>
    <row r="2442" spans="1:19" x14ac:dyDescent="0.3">
      <c r="A2442" s="2" t="s">
        <v>2470</v>
      </c>
      <c r="B2442" s="2">
        <v>114</v>
      </c>
      <c r="C2442" s="3">
        <v>2426851</v>
      </c>
      <c r="D2442" s="3" t="s">
        <v>885</v>
      </c>
      <c r="E2442" s="2" t="s">
        <v>2471</v>
      </c>
      <c r="F2442" s="2" t="s">
        <v>10</v>
      </c>
      <c r="G2442" s="2" t="s">
        <v>11</v>
      </c>
      <c r="H2442" s="2">
        <v>28000000</v>
      </c>
      <c r="I2442" s="2">
        <v>6.5</v>
      </c>
      <c r="J2442" s="3">
        <v>38966057</v>
      </c>
      <c r="K2442">
        <f t="shared" si="84"/>
        <v>1.3775047412552699E-3</v>
      </c>
      <c r="R2442" s="12" t="str">
        <f ca="1">IFERROR(__xludf.DUMMYFUNCTION("""COMPUTED_VALUE"""),"Confidence ")</f>
        <v>Confidence </v>
      </c>
      <c r="S2442" s="12">
        <f t="shared" si="83"/>
        <v>34672630</v>
      </c>
    </row>
    <row r="2443" spans="1:19" x14ac:dyDescent="0.3">
      <c r="A2443" s="2" t="s">
        <v>1650</v>
      </c>
      <c r="B2443" s="2">
        <v>108</v>
      </c>
      <c r="C2443" s="3">
        <v>22717758</v>
      </c>
      <c r="D2443" s="3" t="s">
        <v>5869</v>
      </c>
      <c r="E2443" s="2" t="s">
        <v>1651</v>
      </c>
      <c r="F2443" s="2" t="s">
        <v>10</v>
      </c>
      <c r="G2443" s="2" t="s">
        <v>1008</v>
      </c>
      <c r="H2443" s="2">
        <v>41000000</v>
      </c>
      <c r="I2443" s="2">
        <v>5.2</v>
      </c>
      <c r="J2443" s="3">
        <v>39008741</v>
      </c>
      <c r="K2443">
        <f t="shared" si="84"/>
        <v>1.3775047412552699E-3</v>
      </c>
      <c r="R2443" s="12" t="str">
        <f ca="1">IFERROR(__xludf.DUMMYFUNCTION("""COMPUTED_VALUE"""),"The Muse ")</f>
        <v>The Muse </v>
      </c>
      <c r="S2443" s="12">
        <f t="shared" si="83"/>
        <v>3562387</v>
      </c>
    </row>
    <row r="2444" spans="1:19" x14ac:dyDescent="0.3">
      <c r="A2444" s="2" t="s">
        <v>5099</v>
      </c>
      <c r="B2444" s="2">
        <v>100</v>
      </c>
      <c r="C2444" s="3">
        <v>49994804</v>
      </c>
      <c r="D2444" s="3" t="s">
        <v>5892</v>
      </c>
      <c r="E2444" s="2" t="s">
        <v>5100</v>
      </c>
      <c r="F2444" s="2" t="s">
        <v>10</v>
      </c>
      <c r="G2444" s="2" t="s">
        <v>16</v>
      </c>
      <c r="H2444" s="2">
        <v>2000000</v>
      </c>
      <c r="I2444" s="2">
        <v>8.1</v>
      </c>
      <c r="J2444" s="3">
        <v>39025000</v>
      </c>
      <c r="K2444">
        <f t="shared" si="84"/>
        <v>1.3775047412552699E-3</v>
      </c>
      <c r="R2444" s="12" t="str">
        <f ca="1">IFERROR(__xludf.DUMMYFUNCTION("""COMPUTED_VALUE"""),"De-Lovely ")</f>
        <v>De-Lovely </v>
      </c>
      <c r="S2444" s="12">
        <f t="shared" si="83"/>
        <v>-60000000</v>
      </c>
    </row>
    <row r="2445" spans="1:19" x14ac:dyDescent="0.3">
      <c r="A2445" s="2" t="s">
        <v>4508</v>
      </c>
      <c r="B2445" s="2">
        <v>101</v>
      </c>
      <c r="C2445" s="3">
        <v>14003141</v>
      </c>
      <c r="D2445" s="3" t="s">
        <v>6366</v>
      </c>
      <c r="E2445" s="2" t="s">
        <v>4509</v>
      </c>
      <c r="F2445" s="2" t="s">
        <v>10</v>
      </c>
      <c r="G2445" s="2" t="s">
        <v>11</v>
      </c>
      <c r="H2445" s="2">
        <v>6000000</v>
      </c>
      <c r="I2445" s="2">
        <v>5.9</v>
      </c>
      <c r="J2445" s="3">
        <v>39026186</v>
      </c>
      <c r="K2445">
        <f t="shared" si="84"/>
        <v>1.3775047412552699E-3</v>
      </c>
      <c r="R2445" s="12" t="str">
        <f ca="1">IFERROR(__xludf.DUMMYFUNCTION("""COMPUTED_VALUE"""),"New York Stories ")</f>
        <v>New York Stories </v>
      </c>
      <c r="S2445" s="12">
        <f t="shared" si="83"/>
        <v>-19000897</v>
      </c>
    </row>
    <row r="2446" spans="1:19" x14ac:dyDescent="0.3">
      <c r="A2446" s="2" t="s">
        <v>1697</v>
      </c>
      <c r="B2446" s="2">
        <v>99</v>
      </c>
      <c r="C2446" s="3">
        <v>32368960</v>
      </c>
      <c r="D2446" s="3" t="s">
        <v>6004</v>
      </c>
      <c r="E2446" s="2" t="s">
        <v>1698</v>
      </c>
      <c r="F2446" s="2" t="s">
        <v>10</v>
      </c>
      <c r="G2446" s="2" t="s">
        <v>11</v>
      </c>
      <c r="H2446" s="2">
        <v>40000000</v>
      </c>
      <c r="I2446" s="2">
        <v>4.5999999999999996</v>
      </c>
      <c r="J2446" s="3">
        <v>39103378</v>
      </c>
      <c r="K2446">
        <f t="shared" si="84"/>
        <v>1.3775047412552699E-3</v>
      </c>
      <c r="R2446" s="12" t="str">
        <f ca="1">IFERROR(__xludf.DUMMYFUNCTION("""COMPUTED_VALUE"""),"Barney's Great Adventure ")</f>
        <v>Barney's Great Adventure </v>
      </c>
      <c r="S2446" s="12">
        <f t="shared" si="83"/>
        <v>14474048</v>
      </c>
    </row>
    <row r="2447" spans="1:19" x14ac:dyDescent="0.3">
      <c r="A2447" s="2" t="s">
        <v>749</v>
      </c>
      <c r="B2447" s="2">
        <v>81</v>
      </c>
      <c r="C2447" s="3">
        <v>28687835</v>
      </c>
      <c r="D2447" s="3" t="s">
        <v>6355</v>
      </c>
      <c r="E2447" s="2" t="s">
        <v>2408</v>
      </c>
      <c r="F2447" s="2" t="s">
        <v>10</v>
      </c>
      <c r="G2447" s="2" t="s">
        <v>504</v>
      </c>
      <c r="H2447" s="2">
        <v>160000000</v>
      </c>
      <c r="I2447" s="2">
        <v>8</v>
      </c>
      <c r="J2447" s="3">
        <v>39143839</v>
      </c>
      <c r="K2447">
        <f t="shared" si="84"/>
        <v>1.3775047412552699E-3</v>
      </c>
      <c r="R2447" s="12" t="str">
        <f ca="1">IFERROR(__xludf.DUMMYFUNCTION("""COMPUTED_VALUE"""),"The Man with the Iron Fists ")</f>
        <v>The Man with the Iron Fists </v>
      </c>
      <c r="S2447" s="12">
        <f t="shared" si="83"/>
        <v>-14976909</v>
      </c>
    </row>
    <row r="2448" spans="1:19" x14ac:dyDescent="0.3">
      <c r="A2448" s="2" t="s">
        <v>3579</v>
      </c>
      <c r="B2448" s="2">
        <v>139</v>
      </c>
      <c r="C2448" s="3">
        <v>12469811</v>
      </c>
      <c r="D2448" s="3" t="s">
        <v>6221</v>
      </c>
      <c r="E2448" s="2" t="s">
        <v>3580</v>
      </c>
      <c r="F2448" s="2" t="s">
        <v>10</v>
      </c>
      <c r="G2448" s="2" t="s">
        <v>2058</v>
      </c>
      <c r="H2448" s="2">
        <v>14200000</v>
      </c>
      <c r="I2448" s="2">
        <v>7.4</v>
      </c>
      <c r="J2448" s="3">
        <v>39177215</v>
      </c>
      <c r="K2448">
        <f t="shared" si="84"/>
        <v>1.3775047412552699E-3</v>
      </c>
      <c r="R2448" s="12" t="str">
        <f ca="1">IFERROR(__xludf.DUMMYFUNCTION("""COMPUTED_VALUE"""),"Home Fries ")</f>
        <v>Home Fries </v>
      </c>
      <c r="S2448" s="12">
        <f t="shared" si="83"/>
        <v>1041732</v>
      </c>
    </row>
    <row r="2449" spans="1:19" x14ac:dyDescent="0.3">
      <c r="A2449" s="2" t="s">
        <v>131</v>
      </c>
      <c r="B2449" s="2">
        <v>114</v>
      </c>
      <c r="C2449" s="3">
        <v>6165429</v>
      </c>
      <c r="D2449" s="3" t="s">
        <v>5892</v>
      </c>
      <c r="E2449" s="2" t="s">
        <v>733</v>
      </c>
      <c r="F2449" s="2" t="s">
        <v>10</v>
      </c>
      <c r="G2449" s="2" t="s">
        <v>11</v>
      </c>
      <c r="H2449" s="2">
        <v>80000000</v>
      </c>
      <c r="I2449" s="2">
        <v>5.8</v>
      </c>
      <c r="J2449" s="3">
        <v>39177541</v>
      </c>
      <c r="K2449">
        <f t="shared" si="84"/>
        <v>1.3775047412552699E-3</v>
      </c>
      <c r="R2449" s="12" t="str">
        <f ca="1">IFERROR(__xludf.DUMMYFUNCTION("""COMPUTED_VALUE"""),"Here on Earth ")</f>
        <v>Here on Earth </v>
      </c>
      <c r="S2449" s="12">
        <f t="shared" si="83"/>
        <v>-35108179</v>
      </c>
    </row>
    <row r="2450" spans="1:19" x14ac:dyDescent="0.3">
      <c r="A2450" s="2" t="s">
        <v>516</v>
      </c>
      <c r="B2450" s="2">
        <v>93</v>
      </c>
      <c r="C2450" s="3">
        <v>84300000</v>
      </c>
      <c r="D2450" s="3" t="s">
        <v>5849</v>
      </c>
      <c r="E2450" s="2" t="s">
        <v>517</v>
      </c>
      <c r="F2450" s="2" t="s">
        <v>10</v>
      </c>
      <c r="G2450" s="2" t="s">
        <v>11</v>
      </c>
      <c r="H2450" s="2">
        <v>90000000</v>
      </c>
      <c r="I2450" s="2">
        <v>5.2</v>
      </c>
      <c r="J2450" s="3">
        <v>39200000</v>
      </c>
      <c r="K2450">
        <f t="shared" si="84"/>
        <v>1.3775047412552699E-3</v>
      </c>
      <c r="R2450" s="12" t="str">
        <f ca="1">IFERROR(__xludf.DUMMYFUNCTION("""COMPUTED_VALUE"""),"Brazil ")</f>
        <v>Brazil </v>
      </c>
      <c r="S2450" s="12">
        <f t="shared" si="83"/>
        <v>-177162368</v>
      </c>
    </row>
    <row r="2451" spans="1:19" x14ac:dyDescent="0.3">
      <c r="A2451" s="2" t="s">
        <v>355</v>
      </c>
      <c r="B2451" s="2">
        <v>153</v>
      </c>
      <c r="C2451" s="3">
        <v>25590119</v>
      </c>
      <c r="D2451" s="3" t="s">
        <v>6266</v>
      </c>
      <c r="E2451" s="2" t="s">
        <v>387</v>
      </c>
      <c r="F2451" s="2" t="s">
        <v>10</v>
      </c>
      <c r="G2451" s="2" t="s">
        <v>11</v>
      </c>
      <c r="H2451" s="2">
        <v>115000000</v>
      </c>
      <c r="I2451" s="2">
        <v>6</v>
      </c>
      <c r="J2451" s="3">
        <v>39235088</v>
      </c>
      <c r="K2451">
        <f t="shared" si="84"/>
        <v>1.3775047412552699E-3</v>
      </c>
      <c r="R2451" s="12" t="str">
        <f ca="1">IFERROR(__xludf.DUMMYFUNCTION("""COMPUTED_VALUE"""),"Raise Your Voice ")</f>
        <v>Raise Your Voice </v>
      </c>
      <c r="S2451" s="12">
        <f t="shared" si="83"/>
        <v>-3474166</v>
      </c>
    </row>
    <row r="2452" spans="1:19" x14ac:dyDescent="0.3">
      <c r="A2452" s="2" t="s">
        <v>4067</v>
      </c>
      <c r="B2452" s="2">
        <v>89</v>
      </c>
      <c r="C2452" s="3">
        <v>1304837</v>
      </c>
      <c r="D2452" s="3" t="s">
        <v>5913</v>
      </c>
      <c r="E2452" s="2" t="s">
        <v>4068</v>
      </c>
      <c r="F2452" s="2" t="s">
        <v>10</v>
      </c>
      <c r="G2452" s="2" t="s">
        <v>11</v>
      </c>
      <c r="H2452" s="2">
        <v>10000000</v>
      </c>
      <c r="I2452" s="2">
        <v>6.7</v>
      </c>
      <c r="J2452" s="3">
        <v>39251128</v>
      </c>
      <c r="K2452">
        <f t="shared" si="84"/>
        <v>1.3775047412552699E-3</v>
      </c>
      <c r="R2452" s="12" t="str">
        <f ca="1">IFERROR(__xludf.DUMMYFUNCTION("""COMPUTED_VALUE"""),"The Big Lebowski ")</f>
        <v>The Big Lebowski </v>
      </c>
      <c r="S2452" s="12">
        <f t="shared" si="83"/>
        <v>58001698</v>
      </c>
    </row>
    <row r="2453" spans="1:19" x14ac:dyDescent="0.3">
      <c r="A2453" s="2" t="s">
        <v>2775</v>
      </c>
      <c r="B2453" s="2">
        <v>132</v>
      </c>
      <c r="C2453" s="3">
        <v>28644770</v>
      </c>
      <c r="D2453" s="3" t="s">
        <v>5842</v>
      </c>
      <c r="E2453" s="2" t="s">
        <v>2776</v>
      </c>
      <c r="F2453" s="2" t="s">
        <v>10</v>
      </c>
      <c r="G2453" s="2" t="s">
        <v>11</v>
      </c>
      <c r="H2453" s="2">
        <v>22000000</v>
      </c>
      <c r="I2453" s="2">
        <v>7.6</v>
      </c>
      <c r="J2453" s="3">
        <v>39263506</v>
      </c>
      <c r="K2453">
        <f t="shared" si="84"/>
        <v>1.3775047412552699E-3</v>
      </c>
      <c r="R2453" s="12" t="str">
        <f ca="1">IFERROR(__xludf.DUMMYFUNCTION("""COMPUTED_VALUE"""),"Black Snake Moan ")</f>
        <v>Black Snake Moan </v>
      </c>
      <c r="S2453" s="12">
        <f t="shared" si="83"/>
        <v>9593391</v>
      </c>
    </row>
    <row r="2454" spans="1:19" x14ac:dyDescent="0.3">
      <c r="A2454" s="2" t="s">
        <v>3299</v>
      </c>
      <c r="B2454" s="2">
        <v>90</v>
      </c>
      <c r="C2454" s="2">
        <v>303439</v>
      </c>
      <c r="D2454" s="3" t="s">
        <v>6251</v>
      </c>
      <c r="E2454" s="2" t="s">
        <v>3867</v>
      </c>
      <c r="F2454" s="2" t="s">
        <v>10</v>
      </c>
      <c r="G2454" s="2" t="s">
        <v>11</v>
      </c>
      <c r="H2454" s="2">
        <v>8000000</v>
      </c>
      <c r="I2454" s="2">
        <v>6.4</v>
      </c>
      <c r="J2454" s="3">
        <v>39292022</v>
      </c>
      <c r="K2454">
        <f t="shared" si="84"/>
        <v>1.3775047412552699E-3</v>
      </c>
      <c r="R2454" s="12" t="str">
        <f ca="1">IFERROR(__xludf.DUMMYFUNCTION("""COMPUTED_VALUE"""),"Dark Blue ")</f>
        <v>Dark Blue </v>
      </c>
      <c r="S2454" s="12">
        <f t="shared" si="83"/>
        <v>-18261430</v>
      </c>
    </row>
    <row r="2455" spans="1:19" x14ac:dyDescent="0.3">
      <c r="A2455" s="2" t="s">
        <v>4636</v>
      </c>
      <c r="B2455" s="2">
        <v>100</v>
      </c>
      <c r="C2455" s="3">
        <v>2148212</v>
      </c>
      <c r="D2455" s="3" t="s">
        <v>6162</v>
      </c>
      <c r="E2455" s="2" t="s">
        <v>4637</v>
      </c>
      <c r="F2455" s="2" t="s">
        <v>10</v>
      </c>
      <c r="G2455" s="2" t="s">
        <v>11</v>
      </c>
      <c r="H2455" s="2">
        <v>5000000</v>
      </c>
      <c r="I2455" s="2">
        <v>4.5</v>
      </c>
      <c r="J2455" s="3">
        <v>39380442</v>
      </c>
      <c r="K2455">
        <f t="shared" si="84"/>
        <v>1.3775047412552699E-3</v>
      </c>
      <c r="R2455" s="12" t="str">
        <f ca="1">IFERROR(__xludf.DUMMYFUNCTION("""COMPUTED_VALUE"""),"A Mighty Heart ")</f>
        <v>A Mighty Heart </v>
      </c>
      <c r="S2455" s="12">
        <f t="shared" si="83"/>
        <v>1727544</v>
      </c>
    </row>
    <row r="2456" spans="1:19" x14ac:dyDescent="0.3">
      <c r="A2456" s="2" t="s">
        <v>2655</v>
      </c>
      <c r="B2456" s="2">
        <v>105</v>
      </c>
      <c r="C2456" s="3">
        <v>22551000</v>
      </c>
      <c r="D2456" s="3" t="s">
        <v>5884</v>
      </c>
      <c r="E2456" s="2" t="s">
        <v>2656</v>
      </c>
      <c r="F2456" s="2" t="s">
        <v>10</v>
      </c>
      <c r="G2456" s="2" t="s">
        <v>11</v>
      </c>
      <c r="H2456" s="2">
        <v>25000000</v>
      </c>
      <c r="I2456" s="2">
        <v>6.2</v>
      </c>
      <c r="J2456" s="3">
        <v>39399750</v>
      </c>
      <c r="K2456">
        <f t="shared" si="84"/>
        <v>1.3775047412552699E-3</v>
      </c>
      <c r="R2456" s="12" t="str">
        <f ca="1">IFERROR(__xludf.DUMMYFUNCTION("""COMPUTED_VALUE"""),"Whatever It Takes ")</f>
        <v>Whatever It Takes </v>
      </c>
      <c r="S2456" s="12">
        <f t="shared" si="83"/>
        <v>-979226930</v>
      </c>
    </row>
    <row r="2457" spans="1:19" x14ac:dyDescent="0.3">
      <c r="A2457" s="2" t="s">
        <v>87</v>
      </c>
      <c r="B2457" s="2">
        <v>94</v>
      </c>
      <c r="C2457" s="3">
        <v>4839383</v>
      </c>
      <c r="D2457" s="3" t="s">
        <v>5773</v>
      </c>
      <c r="E2457" s="2" t="s">
        <v>562</v>
      </c>
      <c r="F2457" s="2" t="s">
        <v>10</v>
      </c>
      <c r="G2457" s="2" t="s">
        <v>11</v>
      </c>
      <c r="H2457" s="2">
        <v>92000000</v>
      </c>
      <c r="I2457" s="2">
        <v>5.5</v>
      </c>
      <c r="J2457" s="3">
        <v>39440655</v>
      </c>
      <c r="K2457">
        <f t="shared" si="84"/>
        <v>1.3775047412552699E-3</v>
      </c>
      <c r="R2457" s="12" t="str">
        <f ca="1">IFERROR(__xludf.DUMMYFUNCTION("""COMPUTED_VALUE"""),"Boat Trip ")</f>
        <v>Boat Trip </v>
      </c>
      <c r="S2457" s="12">
        <f t="shared" ref="S2457:S2520" si="85">C2435-H2435</f>
        <v>-108988946</v>
      </c>
    </row>
    <row r="2458" spans="1:19" x14ac:dyDescent="0.3">
      <c r="A2458" s="2" t="s">
        <v>5352</v>
      </c>
      <c r="B2458" s="2">
        <v>101</v>
      </c>
      <c r="C2458" s="3">
        <v>1001437</v>
      </c>
      <c r="D2458" s="3" t="s">
        <v>5894</v>
      </c>
      <c r="E2458" s="2" t="s">
        <v>5443</v>
      </c>
      <c r="F2458" s="2" t="s">
        <v>10</v>
      </c>
      <c r="G2458" s="2" t="s">
        <v>11</v>
      </c>
      <c r="H2458" s="2">
        <v>750000</v>
      </c>
      <c r="I2458" s="2">
        <v>5.5</v>
      </c>
      <c r="J2458" s="3">
        <v>39442871</v>
      </c>
      <c r="K2458">
        <f t="shared" si="84"/>
        <v>1.3775047412552699E-3</v>
      </c>
      <c r="R2458" s="12" t="str">
        <f ca="1">IFERROR(__xludf.DUMMYFUNCTION("""COMPUTED_VALUE"""),"The Importance of Being Earnest ")</f>
        <v>The Importance of Being Earnest </v>
      </c>
      <c r="S2458" s="12">
        <f t="shared" si="85"/>
        <v>-2859355</v>
      </c>
    </row>
    <row r="2459" spans="1:19" x14ac:dyDescent="0.3">
      <c r="A2459" s="2" t="s">
        <v>3123</v>
      </c>
      <c r="B2459" s="2">
        <v>95</v>
      </c>
      <c r="C2459" s="3">
        <v>59068786</v>
      </c>
      <c r="D2459" s="3" t="s">
        <v>5802</v>
      </c>
      <c r="E2459" s="2" t="s">
        <v>4990</v>
      </c>
      <c r="F2459" s="2" t="s">
        <v>10</v>
      </c>
      <c r="G2459" s="2" t="s">
        <v>11</v>
      </c>
      <c r="H2459" s="2">
        <v>2000000</v>
      </c>
      <c r="I2459" s="2">
        <v>5.7</v>
      </c>
      <c r="J2459" s="3">
        <v>39462438</v>
      </c>
      <c r="K2459">
        <f t="shared" si="84"/>
        <v>1.3775047412552699E-3</v>
      </c>
      <c r="R2459" s="12" t="str">
        <f ca="1">IFERROR(__xludf.DUMMYFUNCTION("""COMPUTED_VALUE"""),"Hoot ")</f>
        <v>Hoot </v>
      </c>
      <c r="S2459" s="12">
        <f t="shared" si="85"/>
        <v>-469990108</v>
      </c>
    </row>
    <row r="2460" spans="1:19" x14ac:dyDescent="0.3">
      <c r="A2460" s="2" t="s">
        <v>762</v>
      </c>
      <c r="B2460" s="2">
        <v>109</v>
      </c>
      <c r="C2460" s="3">
        <v>35990505</v>
      </c>
      <c r="D2460" s="3" t="s">
        <v>6367</v>
      </c>
      <c r="E2460" s="2" t="s">
        <v>3598</v>
      </c>
      <c r="F2460" s="2" t="s">
        <v>10</v>
      </c>
      <c r="G2460" s="2" t="s">
        <v>11</v>
      </c>
      <c r="H2460" s="2">
        <v>14000000</v>
      </c>
      <c r="I2460" s="2">
        <v>5.9</v>
      </c>
      <c r="J2460" s="3">
        <v>39511038</v>
      </c>
      <c r="K2460">
        <f t="shared" si="84"/>
        <v>1.3775047412552699E-3</v>
      </c>
      <c r="R2460" s="12" t="str">
        <f ca="1">IFERROR(__xludf.DUMMYFUNCTION("""COMPUTED_VALUE"""),"In Bruges ")</f>
        <v>In Bruges </v>
      </c>
      <c r="S2460" s="12">
        <f t="shared" si="85"/>
        <v>-83842843</v>
      </c>
    </row>
    <row r="2461" spans="1:19" x14ac:dyDescent="0.3">
      <c r="A2461" s="2" t="s">
        <v>268</v>
      </c>
      <c r="B2461" s="2">
        <v>133</v>
      </c>
      <c r="C2461" s="3">
        <v>19593740</v>
      </c>
      <c r="D2461" s="3" t="s">
        <v>351</v>
      </c>
      <c r="E2461" s="2" t="s">
        <v>2193</v>
      </c>
      <c r="F2461" s="2" t="s">
        <v>10</v>
      </c>
      <c r="G2461" s="2" t="s">
        <v>11</v>
      </c>
      <c r="H2461" s="2">
        <v>30000000</v>
      </c>
      <c r="I2461" s="2">
        <v>7.5</v>
      </c>
      <c r="J2461" s="3">
        <v>39514713</v>
      </c>
      <c r="K2461">
        <f t="shared" si="84"/>
        <v>1.3775047412552699E-3</v>
      </c>
      <c r="R2461" s="12" t="str">
        <f ca="1">IFERROR(__xludf.DUMMYFUNCTION("""COMPUTED_VALUE"""),"Peeples ")</f>
        <v>Peeples </v>
      </c>
      <c r="S2461" s="12">
        <f t="shared" si="85"/>
        <v>34600000</v>
      </c>
    </row>
    <row r="2462" spans="1:19" x14ac:dyDescent="0.3">
      <c r="A2462" s="2" t="s">
        <v>3722</v>
      </c>
      <c r="B2462" s="2">
        <v>87</v>
      </c>
      <c r="C2462" s="3">
        <v>13973532</v>
      </c>
      <c r="D2462" s="3" t="s">
        <v>6368</v>
      </c>
      <c r="E2462" s="2" t="s">
        <v>3723</v>
      </c>
      <c r="F2462" s="2" t="s">
        <v>10</v>
      </c>
      <c r="G2462" s="2" t="s">
        <v>11</v>
      </c>
      <c r="H2462" s="2">
        <v>3000000</v>
      </c>
      <c r="I2462" s="2">
        <v>5.0999999999999996</v>
      </c>
      <c r="J2462" s="3">
        <v>39532308</v>
      </c>
      <c r="K2462">
        <f t="shared" si="84"/>
        <v>1.3775047412552699E-3</v>
      </c>
      <c r="R2462" s="12" t="str">
        <f ca="1">IFERROR(__xludf.DUMMYFUNCTION("""COMPUTED_VALUE"""),"The Rocker ")</f>
        <v>The Rocker </v>
      </c>
      <c r="S2462" s="12">
        <f t="shared" si="85"/>
        <v>-20394139</v>
      </c>
    </row>
    <row r="2463" spans="1:19" x14ac:dyDescent="0.3">
      <c r="A2463" s="2" t="s">
        <v>590</v>
      </c>
      <c r="B2463" s="2">
        <v>110</v>
      </c>
      <c r="C2463" s="3">
        <v>148313048</v>
      </c>
      <c r="D2463" s="3" t="s">
        <v>5910</v>
      </c>
      <c r="E2463" s="2" t="s">
        <v>664</v>
      </c>
      <c r="F2463" s="2" t="s">
        <v>10</v>
      </c>
      <c r="G2463" s="2" t="s">
        <v>11</v>
      </c>
      <c r="H2463" s="2">
        <v>80000000</v>
      </c>
      <c r="I2463" s="2">
        <v>7.1</v>
      </c>
      <c r="J2463" s="3">
        <v>39552600</v>
      </c>
      <c r="K2463">
        <f t="shared" si="84"/>
        <v>1.3775047412552699E-3</v>
      </c>
      <c r="R2463" s="12" t="str">
        <f ca="1">IFERROR(__xludf.DUMMYFUNCTION("""COMPUTED_VALUE"""),"Post Grad ")</f>
        <v>Post Grad </v>
      </c>
      <c r="S2463" s="12">
        <f t="shared" si="85"/>
        <v>22337279</v>
      </c>
    </row>
    <row r="2464" spans="1:19" x14ac:dyDescent="0.3">
      <c r="A2464" s="2" t="s">
        <v>278</v>
      </c>
      <c r="B2464" s="2">
        <v>132</v>
      </c>
      <c r="C2464" s="3">
        <v>17536788</v>
      </c>
      <c r="D2464" s="3" t="s">
        <v>6369</v>
      </c>
      <c r="E2464" s="2" t="s">
        <v>1416</v>
      </c>
      <c r="F2464" s="2" t="s">
        <v>10</v>
      </c>
      <c r="G2464" s="2" t="s">
        <v>504</v>
      </c>
      <c r="H2464" s="2">
        <v>50000000</v>
      </c>
      <c r="I2464" s="2">
        <v>6.3</v>
      </c>
      <c r="J2464" s="3">
        <v>39568996</v>
      </c>
      <c r="K2464">
        <f t="shared" si="84"/>
        <v>1.3775047412552699E-3</v>
      </c>
      <c r="R2464" s="12" t="str">
        <f ca="1">IFERROR(__xludf.DUMMYFUNCTION("""COMPUTED_VALUE"""),"Promised Land ")</f>
        <v>Promised Land </v>
      </c>
      <c r="S2464" s="12">
        <f t="shared" si="85"/>
        <v>-25573149</v>
      </c>
    </row>
    <row r="2465" spans="1:19" x14ac:dyDescent="0.3">
      <c r="A2465" s="2" t="s">
        <v>218</v>
      </c>
      <c r="B2465" s="2">
        <v>108</v>
      </c>
      <c r="C2465" s="3">
        <v>45856732</v>
      </c>
      <c r="D2465" s="3" t="s">
        <v>6370</v>
      </c>
      <c r="E2465" s="2" t="s">
        <v>609</v>
      </c>
      <c r="F2465" s="2" t="s">
        <v>10</v>
      </c>
      <c r="G2465" s="2" t="s">
        <v>11</v>
      </c>
      <c r="H2465" s="2">
        <v>100000000</v>
      </c>
      <c r="I2465" s="2">
        <v>6.5</v>
      </c>
      <c r="J2465" s="3">
        <v>39647595</v>
      </c>
      <c r="K2465">
        <f t="shared" si="84"/>
        <v>1.3775047412552699E-3</v>
      </c>
      <c r="R2465" s="12" t="str">
        <f ca="1">IFERROR(__xludf.DUMMYFUNCTION("""COMPUTED_VALUE"""),"Whatever Works ")</f>
        <v>Whatever Works </v>
      </c>
      <c r="S2465" s="12">
        <f t="shared" si="85"/>
        <v>-18282242</v>
      </c>
    </row>
    <row r="2466" spans="1:19" x14ac:dyDescent="0.3">
      <c r="A2466" s="2" t="s">
        <v>141</v>
      </c>
      <c r="B2466" s="2">
        <v>118</v>
      </c>
      <c r="C2466" s="3">
        <v>34522221</v>
      </c>
      <c r="D2466" s="3" t="s">
        <v>6019</v>
      </c>
      <c r="E2466" s="2" t="s">
        <v>142</v>
      </c>
      <c r="F2466" s="2" t="s">
        <v>10</v>
      </c>
      <c r="G2466" s="2" t="s">
        <v>11</v>
      </c>
      <c r="H2466" s="2">
        <v>175000000</v>
      </c>
      <c r="I2466" s="2">
        <v>5.8</v>
      </c>
      <c r="J2466" s="3">
        <v>39687528</v>
      </c>
      <c r="K2466">
        <f t="shared" si="84"/>
        <v>1.3775047412552699E-3</v>
      </c>
      <c r="R2466" s="12" t="str">
        <f ca="1">IFERROR(__xludf.DUMMYFUNCTION("""COMPUTED_VALUE"""),"The In Crowd ")</f>
        <v>The In Crowd </v>
      </c>
      <c r="S2466" s="12">
        <f t="shared" si="85"/>
        <v>47994804</v>
      </c>
    </row>
    <row r="2467" spans="1:19" x14ac:dyDescent="0.3">
      <c r="A2467" s="2" t="s">
        <v>897</v>
      </c>
      <c r="B2467" s="2">
        <v>88</v>
      </c>
      <c r="C2467" s="3">
        <v>13998282</v>
      </c>
      <c r="D2467" s="3" t="s">
        <v>6241</v>
      </c>
      <c r="E2467" s="2" t="s">
        <v>898</v>
      </c>
      <c r="F2467" s="2" t="s">
        <v>10</v>
      </c>
      <c r="G2467" s="2" t="s">
        <v>11</v>
      </c>
      <c r="H2467" s="2">
        <v>70000000</v>
      </c>
      <c r="I2467" s="2">
        <v>6.4</v>
      </c>
      <c r="J2467" s="3">
        <v>39692139</v>
      </c>
      <c r="K2467">
        <f t="shared" si="84"/>
        <v>1.3775047412552699E-3</v>
      </c>
      <c r="R2467" s="12" t="str">
        <f ca="1">IFERROR(__xludf.DUMMYFUNCTION("""COMPUTED_VALUE"""),"Three Burials ")</f>
        <v>Three Burials </v>
      </c>
      <c r="S2467" s="12">
        <f t="shared" si="85"/>
        <v>8003141</v>
      </c>
    </row>
    <row r="2468" spans="1:19" x14ac:dyDescent="0.3">
      <c r="A2468" s="2" t="s">
        <v>3302</v>
      </c>
      <c r="B2468" s="2">
        <v>113</v>
      </c>
      <c r="C2468" s="3">
        <v>28563926</v>
      </c>
      <c r="D2468" s="3" t="s">
        <v>5767</v>
      </c>
      <c r="E2468" s="2" t="s">
        <v>3303</v>
      </c>
      <c r="F2468" s="2" t="s">
        <v>10</v>
      </c>
      <c r="G2468" s="2" t="s">
        <v>11</v>
      </c>
      <c r="H2468" s="2">
        <v>16000000</v>
      </c>
      <c r="I2468" s="2">
        <v>7.3</v>
      </c>
      <c r="J2468" s="3">
        <v>39737645</v>
      </c>
      <c r="K2468">
        <f t="shared" si="84"/>
        <v>1.3775047412552699E-3</v>
      </c>
      <c r="R2468" s="12" t="str">
        <f ca="1">IFERROR(__xludf.DUMMYFUNCTION("""COMPUTED_VALUE"""),"Jakob the Liar ")</f>
        <v>Jakob the Liar </v>
      </c>
      <c r="S2468" s="12">
        <f t="shared" si="85"/>
        <v>-7631040</v>
      </c>
    </row>
    <row r="2469" spans="1:19" x14ac:dyDescent="0.3">
      <c r="A2469" s="2" t="s">
        <v>3622</v>
      </c>
      <c r="B2469" s="2">
        <v>95</v>
      </c>
      <c r="C2469" s="3">
        <v>6167817</v>
      </c>
      <c r="D2469" s="3" t="s">
        <v>6004</v>
      </c>
      <c r="E2469" s="2" t="s">
        <v>4194</v>
      </c>
      <c r="F2469" s="2" t="s">
        <v>10</v>
      </c>
      <c r="G2469" s="2" t="s">
        <v>11</v>
      </c>
      <c r="H2469" s="2">
        <v>9000000</v>
      </c>
      <c r="I2469" s="2">
        <v>6.2</v>
      </c>
      <c r="J2469" s="3">
        <v>39778599</v>
      </c>
      <c r="K2469">
        <f t="shared" si="84"/>
        <v>1.3775047412552699E-3</v>
      </c>
      <c r="R2469" s="12" t="str">
        <f ca="1">IFERROR(__xludf.DUMMYFUNCTION("""COMPUTED_VALUE"""),"Kiss Kiss Bang Bang ")</f>
        <v>Kiss Kiss Bang Bang </v>
      </c>
      <c r="S2469" s="12">
        <f t="shared" si="85"/>
        <v>-131312165</v>
      </c>
    </row>
    <row r="2470" spans="1:19" x14ac:dyDescent="0.3">
      <c r="A2470" s="2" t="s">
        <v>4518</v>
      </c>
      <c r="B2470" s="2">
        <v>94</v>
      </c>
      <c r="C2470" s="3">
        <v>70327868</v>
      </c>
      <c r="D2470" s="3" t="s">
        <v>5876</v>
      </c>
      <c r="E2470" s="2" t="s">
        <v>4519</v>
      </c>
      <c r="F2470" s="2" t="s">
        <v>10</v>
      </c>
      <c r="G2470" s="2" t="s">
        <v>11</v>
      </c>
      <c r="H2470" s="2">
        <v>6500000</v>
      </c>
      <c r="I2470" s="2">
        <v>4.5999999999999996</v>
      </c>
      <c r="J2470" s="3">
        <v>39800000</v>
      </c>
      <c r="K2470">
        <f t="shared" si="84"/>
        <v>1.3775047412552699E-3</v>
      </c>
      <c r="R2470" s="12" t="str">
        <f ca="1">IFERROR(__xludf.DUMMYFUNCTION("""COMPUTED_VALUE"""),"Idle Hands ")</f>
        <v>Idle Hands </v>
      </c>
      <c r="S2470" s="12">
        <f t="shared" si="85"/>
        <v>-1730189</v>
      </c>
    </row>
    <row r="2471" spans="1:19" x14ac:dyDescent="0.3">
      <c r="A2471" s="2" t="s">
        <v>2604</v>
      </c>
      <c r="B2471" s="2">
        <v>97</v>
      </c>
      <c r="C2471" s="3">
        <v>35266619</v>
      </c>
      <c r="D2471" s="3" t="s">
        <v>885</v>
      </c>
      <c r="E2471" s="2" t="s">
        <v>2605</v>
      </c>
      <c r="F2471" s="2" t="s">
        <v>10</v>
      </c>
      <c r="G2471" s="2" t="s">
        <v>11</v>
      </c>
      <c r="H2471" s="2">
        <v>25000000</v>
      </c>
      <c r="I2471" s="2">
        <v>6.8</v>
      </c>
      <c r="J2471" s="3">
        <v>39825798</v>
      </c>
      <c r="K2471">
        <f t="shared" si="84"/>
        <v>1.3775047412552699E-3</v>
      </c>
      <c r="R2471" s="12" t="str">
        <f ca="1">IFERROR(__xludf.DUMMYFUNCTION("""COMPUTED_VALUE"""),"Mulholland Drive ")</f>
        <v>Mulholland Drive </v>
      </c>
      <c r="S2471" s="12">
        <f t="shared" si="85"/>
        <v>-73834571</v>
      </c>
    </row>
    <row r="2472" spans="1:19" x14ac:dyDescent="0.3">
      <c r="A2472" s="2" t="s">
        <v>179</v>
      </c>
      <c r="B2472" s="2">
        <v>123</v>
      </c>
      <c r="C2472" s="3">
        <v>22531698</v>
      </c>
      <c r="D2472" s="3" t="s">
        <v>5767</v>
      </c>
      <c r="E2472" s="2" t="s">
        <v>335</v>
      </c>
      <c r="F2472" s="2" t="s">
        <v>10</v>
      </c>
      <c r="G2472" s="2" t="s">
        <v>11</v>
      </c>
      <c r="H2472" s="2">
        <v>125000000</v>
      </c>
      <c r="I2472" s="2">
        <v>6.7</v>
      </c>
      <c r="J2472" s="3">
        <v>39880476</v>
      </c>
      <c r="K2472">
        <f t="shared" si="84"/>
        <v>1.3775047412552699E-3</v>
      </c>
      <c r="R2472" s="12" t="str">
        <f ca="1">IFERROR(__xludf.DUMMYFUNCTION("""COMPUTED_VALUE"""),"You Will Meet a Tall Dark Stranger ")</f>
        <v>You Will Meet a Tall Dark Stranger </v>
      </c>
      <c r="S2472" s="12">
        <f t="shared" si="85"/>
        <v>-5700000</v>
      </c>
    </row>
    <row r="2473" spans="1:19" x14ac:dyDescent="0.3">
      <c r="A2473" s="2" t="s">
        <v>1677</v>
      </c>
      <c r="B2473" s="2">
        <v>99</v>
      </c>
      <c r="C2473" s="2">
        <v>19294901</v>
      </c>
      <c r="D2473" s="3" t="s">
        <v>6242</v>
      </c>
      <c r="E2473" s="2" t="s">
        <v>2025</v>
      </c>
      <c r="F2473" s="2" t="s">
        <v>10</v>
      </c>
      <c r="G2473" s="2" t="s">
        <v>11</v>
      </c>
      <c r="H2473" s="2">
        <v>35000000</v>
      </c>
      <c r="I2473" s="2">
        <v>5</v>
      </c>
      <c r="J2473" s="3">
        <v>39989008</v>
      </c>
      <c r="K2473">
        <f t="shared" si="84"/>
        <v>1.3775047412552699E-3</v>
      </c>
      <c r="R2473" s="12" t="str">
        <f ca="1">IFERROR(__xludf.DUMMYFUNCTION("""COMPUTED_VALUE"""),"Never Let Me Go ")</f>
        <v>Never Let Me Go </v>
      </c>
      <c r="S2473" s="12">
        <f t="shared" si="85"/>
        <v>-89409881</v>
      </c>
    </row>
    <row r="2474" spans="1:19" x14ac:dyDescent="0.3">
      <c r="A2474" s="2" t="s">
        <v>295</v>
      </c>
      <c r="B2474" s="2">
        <v>106</v>
      </c>
      <c r="C2474" s="3">
        <v>103001286</v>
      </c>
      <c r="D2474" s="3" t="s">
        <v>5869</v>
      </c>
      <c r="E2474" s="2" t="s">
        <v>343</v>
      </c>
      <c r="F2474" s="2" t="s">
        <v>10</v>
      </c>
      <c r="G2474" s="2" t="s">
        <v>11</v>
      </c>
      <c r="H2474" s="2">
        <v>125000000</v>
      </c>
      <c r="I2474" s="2">
        <v>5.8</v>
      </c>
      <c r="J2474" s="3">
        <v>40041683</v>
      </c>
      <c r="K2474">
        <f t="shared" si="84"/>
        <v>1.3775047412552699E-3</v>
      </c>
      <c r="R2474" s="12" t="str">
        <f ca="1">IFERROR(__xludf.DUMMYFUNCTION("""COMPUTED_VALUE"""),"Transsiberian ")</f>
        <v>Transsiberian </v>
      </c>
      <c r="S2474" s="12">
        <f t="shared" si="85"/>
        <v>-8695163</v>
      </c>
    </row>
    <row r="2475" spans="1:19" x14ac:dyDescent="0.3">
      <c r="A2475" s="2" t="s">
        <v>341</v>
      </c>
      <c r="B2475" s="2">
        <v>116</v>
      </c>
      <c r="C2475" s="3">
        <v>626809</v>
      </c>
      <c r="D2475" s="3" t="s">
        <v>5864</v>
      </c>
      <c r="E2475" s="2" t="s">
        <v>806</v>
      </c>
      <c r="F2475" s="2" t="s">
        <v>10</v>
      </c>
      <c r="G2475" s="2" t="s">
        <v>11</v>
      </c>
      <c r="H2475" s="2">
        <v>75000000</v>
      </c>
      <c r="I2475" s="2">
        <v>7.3</v>
      </c>
      <c r="J2475" s="3">
        <v>40048332</v>
      </c>
      <c r="K2475">
        <f t="shared" si="84"/>
        <v>1.3775047412552699E-3</v>
      </c>
      <c r="R2475" s="12" t="str">
        <f ca="1">IFERROR(__xludf.DUMMYFUNCTION("""COMPUTED_VALUE"""),"The Clan of the Cave Bear ")</f>
        <v>The Clan of the Cave Bear </v>
      </c>
      <c r="S2475" s="12">
        <f t="shared" si="85"/>
        <v>6644770</v>
      </c>
    </row>
    <row r="2476" spans="1:19" x14ac:dyDescent="0.3">
      <c r="A2476" s="2" t="s">
        <v>4310</v>
      </c>
      <c r="B2476" s="2">
        <v>97</v>
      </c>
      <c r="C2476" s="3">
        <v>37760080</v>
      </c>
      <c r="D2476" s="3" t="s">
        <v>6190</v>
      </c>
      <c r="E2476" s="2" t="s">
        <v>4311</v>
      </c>
      <c r="F2476" s="2" t="s">
        <v>10</v>
      </c>
      <c r="G2476" s="2" t="s">
        <v>932</v>
      </c>
      <c r="H2476" s="2">
        <v>8000000</v>
      </c>
      <c r="I2476" s="2">
        <v>5.3</v>
      </c>
      <c r="J2476" s="3">
        <v>40064955</v>
      </c>
      <c r="K2476">
        <f t="shared" si="84"/>
        <v>1.3775047412552699E-3</v>
      </c>
      <c r="R2476" s="12" t="str">
        <f ca="1">IFERROR(__xludf.DUMMYFUNCTION("""COMPUTED_VALUE"""),"Crazy in Alabama ")</f>
        <v>Crazy in Alabama </v>
      </c>
      <c r="S2476" s="12">
        <f t="shared" si="85"/>
        <v>-7696561</v>
      </c>
    </row>
    <row r="2477" spans="1:19" x14ac:dyDescent="0.3">
      <c r="A2477" s="2" t="s">
        <v>1160</v>
      </c>
      <c r="B2477" s="2">
        <v>102</v>
      </c>
      <c r="C2477" s="3">
        <v>60128566</v>
      </c>
      <c r="D2477" s="3" t="s">
        <v>6210</v>
      </c>
      <c r="E2477" s="2" t="s">
        <v>3008</v>
      </c>
      <c r="F2477" s="2" t="s">
        <v>10</v>
      </c>
      <c r="G2477" s="2" t="s">
        <v>11</v>
      </c>
      <c r="H2477" s="3">
        <v>32741596</v>
      </c>
      <c r="I2477" s="2">
        <v>6.7</v>
      </c>
      <c r="J2477" s="3">
        <v>40066497</v>
      </c>
      <c r="K2477">
        <f t="shared" si="84"/>
        <v>1.3775047412552699E-3</v>
      </c>
      <c r="R2477" s="12" t="str">
        <f ca="1">IFERROR(__xludf.DUMMYFUNCTION("""COMPUTED_VALUE"""),"Funny Games ")</f>
        <v>Funny Games </v>
      </c>
      <c r="S2477" s="12">
        <f t="shared" si="85"/>
        <v>-2851788</v>
      </c>
    </row>
    <row r="2478" spans="1:19" x14ac:dyDescent="0.3">
      <c r="A2478" s="2" t="s">
        <v>2923</v>
      </c>
      <c r="B2478" s="2">
        <v>91</v>
      </c>
      <c r="C2478" s="3">
        <v>3590010</v>
      </c>
      <c r="D2478" s="3" t="s">
        <v>6163</v>
      </c>
      <c r="E2478" s="2" t="s">
        <v>3097</v>
      </c>
      <c r="F2478" s="2" t="s">
        <v>10</v>
      </c>
      <c r="G2478" s="2" t="s">
        <v>11</v>
      </c>
      <c r="H2478" s="2">
        <v>20000000</v>
      </c>
      <c r="I2478" s="2">
        <v>5.5</v>
      </c>
      <c r="J2478" s="3">
        <v>40076438</v>
      </c>
      <c r="K2478">
        <f t="shared" si="84"/>
        <v>1.3775047412552699E-3</v>
      </c>
      <c r="R2478" s="12" t="str">
        <f ca="1">IFERROR(__xludf.DUMMYFUNCTION("""COMPUTED_VALUE"""),"Metropolis ")</f>
        <v>Metropolis </v>
      </c>
      <c r="S2478" s="12">
        <f t="shared" si="85"/>
        <v>-2449000</v>
      </c>
    </row>
    <row r="2479" spans="1:19" x14ac:dyDescent="0.3">
      <c r="A2479" s="2" t="s">
        <v>2290</v>
      </c>
      <c r="B2479" s="2">
        <v>94</v>
      </c>
      <c r="C2479" s="3">
        <v>17518220</v>
      </c>
      <c r="D2479" s="3" t="s">
        <v>6207</v>
      </c>
      <c r="E2479" s="2" t="s">
        <v>2291</v>
      </c>
      <c r="F2479" s="2" t="s">
        <v>10</v>
      </c>
      <c r="G2479" s="2" t="s">
        <v>11</v>
      </c>
      <c r="H2479" s="2">
        <v>30000000</v>
      </c>
      <c r="I2479" s="2">
        <v>4.4000000000000004</v>
      </c>
      <c r="J2479" s="3">
        <v>40118420</v>
      </c>
      <c r="K2479">
        <f t="shared" si="84"/>
        <v>1.3775047412552699E-3</v>
      </c>
      <c r="R2479" s="12" t="str">
        <f ca="1">IFERROR(__xludf.DUMMYFUNCTION("""COMPUTED_VALUE"""),"District B13 ")</f>
        <v>District B13 </v>
      </c>
      <c r="S2479" s="12">
        <f t="shared" si="85"/>
        <v>-87160617</v>
      </c>
    </row>
    <row r="2480" spans="1:19" x14ac:dyDescent="0.3">
      <c r="A2480" s="2" t="s">
        <v>5482</v>
      </c>
      <c r="B2480" s="2">
        <v>102</v>
      </c>
      <c r="C2480" s="3">
        <v>17529157</v>
      </c>
      <c r="D2480" s="3" t="s">
        <v>5768</v>
      </c>
      <c r="E2480" s="2" t="s">
        <v>5483</v>
      </c>
      <c r="F2480" s="2" t="s">
        <v>10</v>
      </c>
      <c r="G2480" s="2" t="s">
        <v>11</v>
      </c>
      <c r="H2480" s="2">
        <v>500000</v>
      </c>
      <c r="I2480" s="2">
        <v>6.4</v>
      </c>
      <c r="J2480" s="3">
        <v>40137776</v>
      </c>
      <c r="K2480">
        <f t="shared" si="84"/>
        <v>1.3775047412552699E-3</v>
      </c>
      <c r="R2480" s="12" t="str">
        <f ca="1">IFERROR(__xludf.DUMMYFUNCTION("""COMPUTED_VALUE"""),"Things to Do in Denver When You're Dead ")</f>
        <v>Things to Do in Denver When You're Dead </v>
      </c>
      <c r="S2480" s="12">
        <f t="shared" si="85"/>
        <v>251437</v>
      </c>
    </row>
    <row r="2481" spans="1:19" x14ac:dyDescent="0.3">
      <c r="A2481" s="2" t="s">
        <v>2148</v>
      </c>
      <c r="B2481" s="2">
        <v>106</v>
      </c>
      <c r="C2481" s="3">
        <v>64736114</v>
      </c>
      <c r="D2481" s="3" t="s">
        <v>5973</v>
      </c>
      <c r="E2481" s="2" t="s">
        <v>4104</v>
      </c>
      <c r="F2481" s="2" t="s">
        <v>10</v>
      </c>
      <c r="G2481" s="2" t="s">
        <v>11</v>
      </c>
      <c r="H2481" s="2">
        <v>10000000</v>
      </c>
      <c r="I2481" s="2">
        <v>6.9</v>
      </c>
      <c r="J2481" s="3">
        <v>40158000</v>
      </c>
      <c r="K2481">
        <f t="shared" si="84"/>
        <v>1.3775047412552699E-3</v>
      </c>
      <c r="R2481" s="12" t="str">
        <f ca="1">IFERROR(__xludf.DUMMYFUNCTION("""COMPUTED_VALUE"""),"The Assassin ")</f>
        <v>The Assassin </v>
      </c>
      <c r="S2481" s="12">
        <f t="shared" si="85"/>
        <v>57068786</v>
      </c>
    </row>
    <row r="2482" spans="1:19" x14ac:dyDescent="0.3">
      <c r="A2482" s="2" t="s">
        <v>12</v>
      </c>
      <c r="B2482" s="2">
        <v>150</v>
      </c>
      <c r="C2482" s="3">
        <v>21176322</v>
      </c>
      <c r="D2482" s="3" t="s">
        <v>6181</v>
      </c>
      <c r="E2482" s="2" t="s">
        <v>36</v>
      </c>
      <c r="F2482" s="2" t="s">
        <v>10</v>
      </c>
      <c r="G2482" s="2" t="s">
        <v>11</v>
      </c>
      <c r="H2482" s="2">
        <v>215000000</v>
      </c>
      <c r="I2482" s="2">
        <v>6.5</v>
      </c>
      <c r="J2482" s="3">
        <v>40168080</v>
      </c>
      <c r="K2482">
        <f t="shared" si="84"/>
        <v>1.3775047412552699E-3</v>
      </c>
      <c r="R2482" s="12" t="str">
        <f ca="1">IFERROR(__xludf.DUMMYFUNCTION("""COMPUTED_VALUE"""),"Buffalo Soldiers ")</f>
        <v>Buffalo Soldiers </v>
      </c>
      <c r="S2482" s="12">
        <f t="shared" si="85"/>
        <v>21990505</v>
      </c>
    </row>
    <row r="2483" spans="1:19" x14ac:dyDescent="0.3">
      <c r="A2483" s="2" t="s">
        <v>1453</v>
      </c>
      <c r="B2483" s="2">
        <v>100</v>
      </c>
      <c r="C2483" s="3">
        <v>298110</v>
      </c>
      <c r="D2483" s="3" t="s">
        <v>5869</v>
      </c>
      <c r="E2483" s="2" t="s">
        <v>3819</v>
      </c>
      <c r="F2483" s="2" t="s">
        <v>10</v>
      </c>
      <c r="G2483" s="2" t="s">
        <v>11</v>
      </c>
      <c r="H2483" s="2">
        <v>12000000</v>
      </c>
      <c r="I2483" s="2">
        <v>6.6</v>
      </c>
      <c r="J2483" s="3">
        <v>40198710</v>
      </c>
      <c r="K2483">
        <f t="shared" si="84"/>
        <v>1.3775047412552699E-3</v>
      </c>
      <c r="R2483" s="12" t="str">
        <f ca="1">IFERROR(__xludf.DUMMYFUNCTION("""COMPUTED_VALUE"""),"Ong-bak 2 ")</f>
        <v>Ong-bak 2 </v>
      </c>
      <c r="S2483" s="12">
        <f t="shared" si="85"/>
        <v>-10406260</v>
      </c>
    </row>
    <row r="2484" spans="1:19" x14ac:dyDescent="0.3">
      <c r="A2484" s="2" t="s">
        <v>2581</v>
      </c>
      <c r="B2484" s="2">
        <v>144</v>
      </c>
      <c r="C2484" s="3">
        <v>6114237</v>
      </c>
      <c r="D2484" s="3" t="s">
        <v>6134</v>
      </c>
      <c r="E2484" s="2" t="s">
        <v>2582</v>
      </c>
      <c r="F2484" s="2" t="s">
        <v>10</v>
      </c>
      <c r="G2484" s="2" t="s">
        <v>504</v>
      </c>
      <c r="H2484" s="2">
        <v>25500000</v>
      </c>
      <c r="I2484" s="2">
        <v>6.5</v>
      </c>
      <c r="J2484" s="3">
        <v>40203020</v>
      </c>
      <c r="K2484">
        <f t="shared" si="84"/>
        <v>1.3775047412552699E-3</v>
      </c>
      <c r="R2484" s="12" t="str">
        <f ca="1">IFERROR(__xludf.DUMMYFUNCTION("""COMPUTED_VALUE"""),"The Midnight Meat Train ")</f>
        <v>The Midnight Meat Train </v>
      </c>
      <c r="S2484" s="12">
        <f t="shared" si="85"/>
        <v>10973532</v>
      </c>
    </row>
    <row r="2485" spans="1:19" x14ac:dyDescent="0.3">
      <c r="A2485" s="2" t="s">
        <v>1206</v>
      </c>
      <c r="B2485" s="2">
        <v>93</v>
      </c>
      <c r="C2485" s="3">
        <v>22526144</v>
      </c>
      <c r="D2485" s="3" t="s">
        <v>6240</v>
      </c>
      <c r="E2485" s="2" t="s">
        <v>3797</v>
      </c>
      <c r="F2485" s="2" t="s">
        <v>10</v>
      </c>
      <c r="G2485" s="2" t="s">
        <v>11</v>
      </c>
      <c r="H2485" s="2">
        <v>12000000</v>
      </c>
      <c r="I2485" s="2">
        <v>6.2</v>
      </c>
      <c r="J2485" s="3">
        <v>40218903</v>
      </c>
      <c r="K2485">
        <f t="shared" si="84"/>
        <v>1.3775047412552699E-3</v>
      </c>
      <c r="R2485" s="12" t="str">
        <f ca="1">IFERROR(__xludf.DUMMYFUNCTION("""COMPUTED_VALUE"""),"The Son of No One ")</f>
        <v>The Son of No One </v>
      </c>
      <c r="S2485" s="12">
        <f t="shared" si="85"/>
        <v>68313048</v>
      </c>
    </row>
    <row r="2486" spans="1:19" x14ac:dyDescent="0.3">
      <c r="A2486" s="2" t="s">
        <v>526</v>
      </c>
      <c r="B2486" s="2">
        <v>89</v>
      </c>
      <c r="C2486" s="3">
        <v>27098580</v>
      </c>
      <c r="D2486" s="3" t="s">
        <v>5767</v>
      </c>
      <c r="E2486" s="2" t="s">
        <v>527</v>
      </c>
      <c r="F2486" s="2" t="s">
        <v>10</v>
      </c>
      <c r="G2486" s="2" t="s">
        <v>11</v>
      </c>
      <c r="H2486" s="2">
        <v>95000000</v>
      </c>
      <c r="I2486" s="2">
        <v>6.9</v>
      </c>
      <c r="J2486" s="3">
        <v>40219708</v>
      </c>
      <c r="K2486">
        <f t="shared" si="84"/>
        <v>1.3775047412552699E-3</v>
      </c>
      <c r="R2486" s="12" t="str">
        <f ca="1">IFERROR(__xludf.DUMMYFUNCTION("""COMPUTED_VALUE"""),"All the Queen's Men ")</f>
        <v>All the Queen's Men </v>
      </c>
      <c r="S2486" s="12">
        <f t="shared" si="85"/>
        <v>-32463212</v>
      </c>
    </row>
    <row r="2487" spans="1:19" x14ac:dyDescent="0.3">
      <c r="A2487" s="2" t="s">
        <v>8</v>
      </c>
      <c r="B2487" s="2">
        <v>153</v>
      </c>
      <c r="C2487" s="3">
        <v>17609982</v>
      </c>
      <c r="D2487" s="3" t="s">
        <v>5776</v>
      </c>
      <c r="E2487" s="2" t="s">
        <v>450</v>
      </c>
      <c r="F2487" s="2" t="s">
        <v>10</v>
      </c>
      <c r="G2487" s="2" t="s">
        <v>11</v>
      </c>
      <c r="H2487" s="2">
        <v>102000000</v>
      </c>
      <c r="I2487" s="2">
        <v>8.5</v>
      </c>
      <c r="J2487" s="3">
        <v>40247512</v>
      </c>
      <c r="K2487">
        <f t="shared" si="84"/>
        <v>1.3775047412552699E-3</v>
      </c>
      <c r="R2487" s="12" t="str">
        <f ca="1">IFERROR(__xludf.DUMMYFUNCTION("""COMPUTED_VALUE"""),"The Good Night ")</f>
        <v>The Good Night </v>
      </c>
      <c r="S2487" s="12">
        <f t="shared" si="85"/>
        <v>-54143268</v>
      </c>
    </row>
    <row r="2488" spans="1:19" x14ac:dyDescent="0.3">
      <c r="A2488" s="2" t="s">
        <v>4862</v>
      </c>
      <c r="B2488" s="2">
        <v>95</v>
      </c>
      <c r="C2488" s="3">
        <v>26199517</v>
      </c>
      <c r="D2488" s="3" t="s">
        <v>6267</v>
      </c>
      <c r="E2488" s="2" t="s">
        <v>5733</v>
      </c>
      <c r="F2488" s="2" t="s">
        <v>10</v>
      </c>
      <c r="G2488" s="2" t="s">
        <v>11</v>
      </c>
      <c r="H2488" s="3">
        <v>474544677</v>
      </c>
      <c r="I2488" s="2">
        <v>6.4</v>
      </c>
      <c r="J2488" s="3">
        <v>40270895</v>
      </c>
      <c r="K2488">
        <f t="shared" si="84"/>
        <v>1.3775047412552699E-3</v>
      </c>
      <c r="R2488" s="12" t="str">
        <f ca="1">IFERROR(__xludf.DUMMYFUNCTION("""COMPUTED_VALUE"""),"Groundhog Day ")</f>
        <v>Groundhog Day </v>
      </c>
      <c r="S2488" s="12">
        <f t="shared" si="85"/>
        <v>-140477779</v>
      </c>
    </row>
    <row r="2489" spans="1:19" x14ac:dyDescent="0.3">
      <c r="A2489" s="2" t="s">
        <v>45</v>
      </c>
      <c r="B2489" s="2">
        <v>201</v>
      </c>
      <c r="C2489" s="3">
        <v>12514138</v>
      </c>
      <c r="D2489" s="3" t="s">
        <v>5973</v>
      </c>
      <c r="E2489" s="2" t="s">
        <v>55</v>
      </c>
      <c r="F2489" s="2" t="s">
        <v>10</v>
      </c>
      <c r="G2489" s="2" t="s">
        <v>47</v>
      </c>
      <c r="H2489" s="2">
        <v>207000000</v>
      </c>
      <c r="I2489" s="2">
        <v>7.2</v>
      </c>
      <c r="J2489" s="3">
        <v>40334024</v>
      </c>
      <c r="K2489">
        <f t="shared" si="84"/>
        <v>1.3775047412552699E-3</v>
      </c>
      <c r="R2489" s="12" t="str">
        <f ca="1">IFERROR(__xludf.DUMMYFUNCTION("""COMPUTED_VALUE"""),"Magic Mike XXL ")</f>
        <v>Magic Mike XXL </v>
      </c>
      <c r="S2489" s="12">
        <f t="shared" si="85"/>
        <v>-56001718</v>
      </c>
    </row>
    <row r="2490" spans="1:19" x14ac:dyDescent="0.3">
      <c r="A2490" s="2" t="s">
        <v>21</v>
      </c>
      <c r="B2490" s="2">
        <v>88</v>
      </c>
      <c r="C2490" s="3">
        <v>36000000</v>
      </c>
      <c r="D2490" s="3" t="s">
        <v>5869</v>
      </c>
      <c r="E2490" s="2" t="s">
        <v>3922</v>
      </c>
      <c r="F2490" s="2" t="s">
        <v>10</v>
      </c>
      <c r="G2490" s="2" t="s">
        <v>11</v>
      </c>
      <c r="H2490" s="2">
        <v>13000000</v>
      </c>
      <c r="I2490" s="2">
        <v>7.6</v>
      </c>
      <c r="J2490" s="3">
        <v>40363530</v>
      </c>
      <c r="K2490">
        <f t="shared" si="84"/>
        <v>1.3775047412552699E-3</v>
      </c>
      <c r="R2490" s="12" t="str">
        <f ca="1">IFERROR(__xludf.DUMMYFUNCTION("""COMPUTED_VALUE"""),"Romeo + Juliet ")</f>
        <v>Romeo + Juliet </v>
      </c>
      <c r="S2490" s="12">
        <f t="shared" si="85"/>
        <v>12563926</v>
      </c>
    </row>
    <row r="2491" spans="1:19" x14ac:dyDescent="0.3">
      <c r="A2491" s="2" t="s">
        <v>522</v>
      </c>
      <c r="B2491" s="2">
        <v>158</v>
      </c>
      <c r="C2491" s="3">
        <v>51697449</v>
      </c>
      <c r="D2491" s="3" t="s">
        <v>6371</v>
      </c>
      <c r="E2491" s="2" t="s">
        <v>1438</v>
      </c>
      <c r="F2491" s="2" t="s">
        <v>10</v>
      </c>
      <c r="G2491" s="2" t="s">
        <v>504</v>
      </c>
      <c r="H2491" s="2">
        <v>390000000</v>
      </c>
      <c r="I2491" s="2">
        <v>6.4</v>
      </c>
      <c r="J2491" s="3">
        <v>40485039</v>
      </c>
      <c r="K2491">
        <f t="shared" si="84"/>
        <v>1.3775047412552699E-3</v>
      </c>
      <c r="R2491" s="12" t="str">
        <f ca="1">IFERROR(__xludf.DUMMYFUNCTION("""COMPUTED_VALUE"""),"Sarah's Key ")</f>
        <v>Sarah's Key </v>
      </c>
      <c r="S2491" s="12">
        <f t="shared" si="85"/>
        <v>-2832183</v>
      </c>
    </row>
    <row r="2492" spans="1:19" x14ac:dyDescent="0.3">
      <c r="A2492" s="2" t="s">
        <v>701</v>
      </c>
      <c r="B2492" s="2">
        <v>122</v>
      </c>
      <c r="C2492" s="3">
        <v>3468572</v>
      </c>
      <c r="D2492" s="3" t="s">
        <v>5869</v>
      </c>
      <c r="E2492" s="2" t="s">
        <v>3134</v>
      </c>
      <c r="F2492" s="2" t="s">
        <v>10</v>
      </c>
      <c r="G2492" s="2" t="s">
        <v>11</v>
      </c>
      <c r="H2492" s="2">
        <v>20000000</v>
      </c>
      <c r="I2492" s="2">
        <v>6.7</v>
      </c>
      <c r="J2492" s="3">
        <v>40559930</v>
      </c>
      <c r="K2492">
        <f t="shared" si="84"/>
        <v>1.3775047412552699E-3</v>
      </c>
      <c r="R2492" s="12" t="str">
        <f ca="1">IFERROR(__xludf.DUMMYFUNCTION("""COMPUTED_VALUE"""),"Unforgiven ")</f>
        <v>Unforgiven </v>
      </c>
      <c r="S2492" s="12">
        <f t="shared" si="85"/>
        <v>63827868</v>
      </c>
    </row>
    <row r="2493" spans="1:19" x14ac:dyDescent="0.3">
      <c r="A2493" s="2" t="s">
        <v>5664</v>
      </c>
      <c r="B2493" s="2">
        <v>90</v>
      </c>
      <c r="C2493" s="3">
        <v>20433940</v>
      </c>
      <c r="D2493" s="3" t="s">
        <v>520</v>
      </c>
      <c r="E2493" s="2" t="s">
        <v>5665</v>
      </c>
      <c r="F2493" s="2" t="s">
        <v>10</v>
      </c>
      <c r="G2493" s="2" t="s">
        <v>11</v>
      </c>
      <c r="H2493" s="3">
        <v>474544677</v>
      </c>
      <c r="I2493" s="2">
        <v>6.7</v>
      </c>
      <c r="J2493" s="3">
        <v>40566655</v>
      </c>
      <c r="K2493">
        <f t="shared" si="84"/>
        <v>1.3775047412552699E-3</v>
      </c>
      <c r="R2493" s="12" t="str">
        <f ca="1">IFERROR(__xludf.DUMMYFUNCTION("""COMPUTED_VALUE"""),"Manderlay ")</f>
        <v>Manderlay </v>
      </c>
      <c r="S2493" s="12">
        <f t="shared" si="85"/>
        <v>10266619</v>
      </c>
    </row>
    <row r="2494" spans="1:19" x14ac:dyDescent="0.3">
      <c r="A2494" s="2" t="s">
        <v>3136</v>
      </c>
      <c r="B2494" s="2">
        <v>110</v>
      </c>
      <c r="C2494" s="2">
        <v>13998282</v>
      </c>
      <c r="D2494" s="3" t="s">
        <v>6372</v>
      </c>
      <c r="E2494" s="2" t="s">
        <v>3137</v>
      </c>
      <c r="F2494" s="2" t="s">
        <v>10</v>
      </c>
      <c r="G2494" s="2" t="s">
        <v>11</v>
      </c>
      <c r="H2494" s="2">
        <v>16000000</v>
      </c>
      <c r="I2494" s="2">
        <v>3.1</v>
      </c>
      <c r="J2494" s="3">
        <v>40687294</v>
      </c>
      <c r="K2494">
        <f t="shared" si="84"/>
        <v>1.3775047412552699E-3</v>
      </c>
      <c r="R2494" s="12" t="str">
        <f ca="1">IFERROR(__xludf.DUMMYFUNCTION("""COMPUTED_VALUE"""),"Slumdog Millionaire ")</f>
        <v>Slumdog Millionaire </v>
      </c>
      <c r="S2494" s="12">
        <f t="shared" si="85"/>
        <v>-102468302</v>
      </c>
    </row>
    <row r="2495" spans="1:19" x14ac:dyDescent="0.3">
      <c r="A2495" s="2" t="s">
        <v>4124</v>
      </c>
      <c r="B2495" s="2">
        <v>111</v>
      </c>
      <c r="C2495" s="3">
        <v>32178777</v>
      </c>
      <c r="D2495" s="3" t="s">
        <v>6195</v>
      </c>
      <c r="E2495" s="2" t="s">
        <v>4125</v>
      </c>
      <c r="F2495" s="2" t="s">
        <v>10</v>
      </c>
      <c r="G2495" s="2" t="s">
        <v>11</v>
      </c>
      <c r="H2495" s="2">
        <v>4000000</v>
      </c>
      <c r="I2495" s="2">
        <v>7.3</v>
      </c>
      <c r="J2495" s="3">
        <v>40846082</v>
      </c>
      <c r="K2495">
        <f t="shared" si="84"/>
        <v>1.3775047412552699E-3</v>
      </c>
      <c r="R2495" s="12" t="str">
        <f ca="1">IFERROR(__xludf.DUMMYFUNCTION("""COMPUTED_VALUE"""),"Fatal Attraction ")</f>
        <v>Fatal Attraction </v>
      </c>
      <c r="S2495" s="12">
        <f t="shared" si="85"/>
        <v>-15705099</v>
      </c>
    </row>
    <row r="2496" spans="1:19" x14ac:dyDescent="0.3">
      <c r="A2496" s="2" t="s">
        <v>4820</v>
      </c>
      <c r="B2496" s="2">
        <v>120</v>
      </c>
      <c r="C2496" s="3">
        <v>6144806</v>
      </c>
      <c r="D2496" s="3" t="s">
        <v>5940</v>
      </c>
      <c r="E2496" s="2" t="s">
        <v>4821</v>
      </c>
      <c r="F2496" s="2" t="s">
        <v>3090</v>
      </c>
      <c r="G2496" s="2" t="s">
        <v>3044</v>
      </c>
      <c r="H2496" s="2">
        <v>4000000</v>
      </c>
      <c r="I2496" s="2">
        <v>7.7</v>
      </c>
      <c r="J2496" s="3">
        <v>40905277</v>
      </c>
      <c r="K2496">
        <f t="shared" si="84"/>
        <v>1.3775047412552699E-3</v>
      </c>
      <c r="R2496" s="12" t="str">
        <f ca="1">IFERROR(__xludf.DUMMYFUNCTION("""COMPUTED_VALUE"""),"Pretty Woman ")</f>
        <v>Pretty Woman </v>
      </c>
      <c r="S2496" s="12">
        <f t="shared" si="85"/>
        <v>-21998714</v>
      </c>
    </row>
    <row r="2497" spans="1:19" x14ac:dyDescent="0.3">
      <c r="A2497" s="2" t="s">
        <v>781</v>
      </c>
      <c r="B2497" s="2">
        <v>110</v>
      </c>
      <c r="C2497" s="3">
        <v>154077</v>
      </c>
      <c r="D2497" s="3" t="s">
        <v>5920</v>
      </c>
      <c r="E2497" s="2" t="s">
        <v>782</v>
      </c>
      <c r="F2497" s="2" t="s">
        <v>10</v>
      </c>
      <c r="G2497" s="2" t="s">
        <v>11</v>
      </c>
      <c r="H2497" s="2">
        <v>75000000</v>
      </c>
      <c r="I2497" s="2">
        <v>6.7</v>
      </c>
      <c r="J2497" s="3">
        <v>40911830</v>
      </c>
      <c r="K2497">
        <f t="shared" si="84"/>
        <v>1.3775047412552699E-3</v>
      </c>
      <c r="R2497" s="12" t="str">
        <f ca="1">IFERROR(__xludf.DUMMYFUNCTION("""COMPUTED_VALUE"""),"Crocodile Dundee II ")</f>
        <v>Crocodile Dundee II </v>
      </c>
      <c r="S2497" s="12">
        <f t="shared" si="85"/>
        <v>-74373191</v>
      </c>
    </row>
    <row r="2498" spans="1:19" x14ac:dyDescent="0.3">
      <c r="A2498" s="2" t="s">
        <v>124</v>
      </c>
      <c r="B2498" s="2">
        <v>103</v>
      </c>
      <c r="C2498" s="3">
        <v>1889522</v>
      </c>
      <c r="D2498" s="3" t="s">
        <v>6157</v>
      </c>
      <c r="E2498" s="2" t="s">
        <v>1173</v>
      </c>
      <c r="F2498" s="2" t="s">
        <v>10</v>
      </c>
      <c r="G2498" s="2" t="s">
        <v>11</v>
      </c>
      <c r="H2498" s="2">
        <v>58000000</v>
      </c>
      <c r="I2498" s="2">
        <v>6.4</v>
      </c>
      <c r="J2498" s="3">
        <v>40932372</v>
      </c>
      <c r="K2498">
        <f t="shared" ref="K2498:K2561" si="86">CORREL(H$2:H$3941,J$2:J$3941)</f>
        <v>1.3775047412552699E-3</v>
      </c>
      <c r="R2498" s="12" t="str">
        <f ca="1">IFERROR(__xludf.DUMMYFUNCTION("""COMPUTED_VALUE"""),"Born on the Fourth of July ")</f>
        <v>Born on the Fourth of July </v>
      </c>
      <c r="S2498" s="12">
        <f t="shared" si="85"/>
        <v>29760080</v>
      </c>
    </row>
    <row r="2499" spans="1:19" x14ac:dyDescent="0.3">
      <c r="A2499" s="2" t="s">
        <v>5147</v>
      </c>
      <c r="B2499" s="2">
        <v>108</v>
      </c>
      <c r="C2499" s="3">
        <v>25584685</v>
      </c>
      <c r="D2499" s="3" t="s">
        <v>6373</v>
      </c>
      <c r="E2499" s="2" t="s">
        <v>5148</v>
      </c>
      <c r="F2499" s="2" t="s">
        <v>5149</v>
      </c>
      <c r="G2499" s="2" t="s">
        <v>98</v>
      </c>
      <c r="H2499" s="2">
        <v>1800000</v>
      </c>
      <c r="I2499" s="2">
        <v>7.5</v>
      </c>
      <c r="J2499" s="3">
        <v>40962534</v>
      </c>
      <c r="K2499">
        <f t="shared" si="86"/>
        <v>1.3775047412552699E-3</v>
      </c>
      <c r="R2499" s="12" t="str">
        <f ca="1">IFERROR(__xludf.DUMMYFUNCTION("""COMPUTED_VALUE"""),"Cool Runnings ")</f>
        <v>Cool Runnings </v>
      </c>
      <c r="S2499" s="12">
        <f t="shared" si="85"/>
        <v>27386970</v>
      </c>
    </row>
    <row r="2500" spans="1:19" x14ac:dyDescent="0.3">
      <c r="A2500" s="2" t="s">
        <v>2216</v>
      </c>
      <c r="B2500" s="2">
        <v>98</v>
      </c>
      <c r="C2500" s="2">
        <v>3247816</v>
      </c>
      <c r="D2500" s="3" t="s">
        <v>6046</v>
      </c>
      <c r="E2500" s="2" t="s">
        <v>3542</v>
      </c>
      <c r="F2500" s="2" t="s">
        <v>10</v>
      </c>
      <c r="G2500" s="2" t="s">
        <v>11</v>
      </c>
      <c r="H2500" s="2">
        <v>22000000</v>
      </c>
      <c r="I2500" s="2">
        <v>6.3</v>
      </c>
      <c r="J2500" s="3">
        <v>40983001</v>
      </c>
      <c r="K2500">
        <f t="shared" si="86"/>
        <v>1.3775047412552699E-3</v>
      </c>
      <c r="R2500" s="12" t="str">
        <f ca="1">IFERROR(__xludf.DUMMYFUNCTION("""COMPUTED_VALUE"""),"My Bloody Valentine ")</f>
        <v>My Bloody Valentine </v>
      </c>
      <c r="S2500" s="12">
        <f t="shared" si="85"/>
        <v>-16409990</v>
      </c>
    </row>
    <row r="2501" spans="1:19" x14ac:dyDescent="0.3">
      <c r="A2501" s="2" t="s">
        <v>4075</v>
      </c>
      <c r="B2501" s="2">
        <v>85</v>
      </c>
      <c r="C2501" s="3">
        <v>115646235</v>
      </c>
      <c r="D2501" s="3" t="s">
        <v>5767</v>
      </c>
      <c r="E2501" s="2" t="s">
        <v>5717</v>
      </c>
      <c r="F2501" s="2" t="s">
        <v>10</v>
      </c>
      <c r="G2501" s="2" t="s">
        <v>11</v>
      </c>
      <c r="H2501" s="3">
        <v>474544677</v>
      </c>
      <c r="I2501" s="2">
        <v>6.6</v>
      </c>
      <c r="J2501" s="3">
        <v>40990055</v>
      </c>
      <c r="K2501">
        <f t="shared" si="86"/>
        <v>1.3775047412552699E-3</v>
      </c>
      <c r="R2501" s="12" t="str">
        <f ca="1">IFERROR(__xludf.DUMMYFUNCTION("""COMPUTED_VALUE"""),"Stomp the Yard ")</f>
        <v>Stomp the Yard </v>
      </c>
      <c r="S2501" s="12">
        <f t="shared" si="85"/>
        <v>-12481780</v>
      </c>
    </row>
    <row r="2502" spans="1:19" x14ac:dyDescent="0.3">
      <c r="A2502" s="2" t="s">
        <v>4179</v>
      </c>
      <c r="B2502" s="2">
        <v>123</v>
      </c>
      <c r="C2502" s="3">
        <v>20801344</v>
      </c>
      <c r="D2502" s="3" t="s">
        <v>5892</v>
      </c>
      <c r="E2502" s="2" t="s">
        <v>4180</v>
      </c>
      <c r="F2502" s="2" t="s">
        <v>10</v>
      </c>
      <c r="G2502" s="2" t="s">
        <v>11</v>
      </c>
      <c r="H2502" s="2">
        <v>9000000</v>
      </c>
      <c r="I2502" s="2">
        <v>8</v>
      </c>
      <c r="J2502" s="3">
        <v>41008532</v>
      </c>
      <c r="K2502">
        <f t="shared" si="86"/>
        <v>1.3775047412552699E-3</v>
      </c>
      <c r="R2502" s="12" t="str">
        <f ca="1">IFERROR(__xludf.DUMMYFUNCTION("""COMPUTED_VALUE"""),"The Spy Who Loved Me ")</f>
        <v>The Spy Who Loved Me </v>
      </c>
      <c r="S2502" s="12">
        <f t="shared" si="85"/>
        <v>17029157</v>
      </c>
    </row>
    <row r="2503" spans="1:19" x14ac:dyDescent="0.3">
      <c r="A2503" s="2" t="s">
        <v>2109</v>
      </c>
      <c r="B2503" s="2">
        <v>92</v>
      </c>
      <c r="C2503" s="3">
        <v>22525921</v>
      </c>
      <c r="D2503" s="3" t="s">
        <v>885</v>
      </c>
      <c r="E2503" s="2" t="s">
        <v>2110</v>
      </c>
      <c r="F2503" s="2" t="s">
        <v>10</v>
      </c>
      <c r="G2503" s="2" t="s">
        <v>199</v>
      </c>
      <c r="H2503" s="2">
        <v>32000000</v>
      </c>
      <c r="I2503" s="2">
        <v>5.7</v>
      </c>
      <c r="J2503" s="3">
        <v>41067398</v>
      </c>
      <c r="K2503">
        <f t="shared" si="86"/>
        <v>1.3775047412552699E-3</v>
      </c>
      <c r="R2503" s="12" t="str">
        <f ca="1">IFERROR(__xludf.DUMMYFUNCTION("""COMPUTED_VALUE"""),"Urban Legend ")</f>
        <v>Urban Legend </v>
      </c>
      <c r="S2503" s="12">
        <f t="shared" si="85"/>
        <v>54736114</v>
      </c>
    </row>
    <row r="2504" spans="1:19" x14ac:dyDescent="0.3">
      <c r="A2504" s="2" t="s">
        <v>1494</v>
      </c>
      <c r="B2504" s="2">
        <v>105</v>
      </c>
      <c r="C2504" s="3">
        <v>12902790</v>
      </c>
      <c r="D2504" s="3" t="s">
        <v>6134</v>
      </c>
      <c r="E2504" s="2" t="s">
        <v>1495</v>
      </c>
      <c r="F2504" s="2" t="s">
        <v>10</v>
      </c>
      <c r="G2504" s="2" t="s">
        <v>11</v>
      </c>
      <c r="H2504" s="2">
        <v>46000000</v>
      </c>
      <c r="I2504" s="2">
        <v>6.3</v>
      </c>
      <c r="J2504" s="3">
        <v>41102171</v>
      </c>
      <c r="K2504">
        <f t="shared" si="86"/>
        <v>1.3775047412552699E-3</v>
      </c>
      <c r="R2504" s="12" t="str">
        <f ca="1">IFERROR(__xludf.DUMMYFUNCTION("""COMPUTED_VALUE"""),"White Fang ")</f>
        <v>White Fang </v>
      </c>
      <c r="S2504" s="12">
        <f t="shared" si="85"/>
        <v>-193823678</v>
      </c>
    </row>
    <row r="2505" spans="1:19" x14ac:dyDescent="0.3">
      <c r="A2505" s="2" t="s">
        <v>350</v>
      </c>
      <c r="B2505" s="2">
        <v>143</v>
      </c>
      <c r="C2505" s="3">
        <v>49968653</v>
      </c>
      <c r="D2505" s="3" t="s">
        <v>6142</v>
      </c>
      <c r="E2505" s="2" t="s">
        <v>1253</v>
      </c>
      <c r="F2505" s="2" t="s">
        <v>10</v>
      </c>
      <c r="G2505" s="2" t="s">
        <v>16</v>
      </c>
      <c r="H2505" s="2">
        <v>70000000</v>
      </c>
      <c r="I2505" s="2">
        <v>7.4</v>
      </c>
      <c r="J2505" s="3">
        <v>41227069</v>
      </c>
      <c r="K2505">
        <f t="shared" si="86"/>
        <v>1.3775047412552699E-3</v>
      </c>
      <c r="R2505" s="12" t="str">
        <f ca="1">IFERROR(__xludf.DUMMYFUNCTION("""COMPUTED_VALUE"""),"Superstar ")</f>
        <v>Superstar </v>
      </c>
      <c r="S2505" s="12">
        <f t="shared" si="85"/>
        <v>-11701890</v>
      </c>
    </row>
    <row r="2506" spans="1:19" x14ac:dyDescent="0.3">
      <c r="A2506" s="2" t="s">
        <v>1791</v>
      </c>
      <c r="B2506" s="2">
        <v>89</v>
      </c>
      <c r="C2506" s="3">
        <v>9003011</v>
      </c>
      <c r="D2506" s="3" t="s">
        <v>6141</v>
      </c>
      <c r="E2506" s="2" t="s">
        <v>2893</v>
      </c>
      <c r="F2506" s="2" t="s">
        <v>10</v>
      </c>
      <c r="G2506" s="2" t="s">
        <v>11</v>
      </c>
      <c r="H2506" s="2">
        <v>20000000</v>
      </c>
      <c r="I2506" s="2">
        <v>4.0999999999999996</v>
      </c>
      <c r="J2506" s="3">
        <v>41252428</v>
      </c>
      <c r="K2506">
        <f t="shared" si="86"/>
        <v>1.3775047412552699E-3</v>
      </c>
      <c r="R2506" s="12" t="str">
        <f ca="1">IFERROR(__xludf.DUMMYFUNCTION("""COMPUTED_VALUE"""),"The Iron Lady ")</f>
        <v>The Iron Lady </v>
      </c>
      <c r="S2506" s="12">
        <f t="shared" si="85"/>
        <v>-19385763</v>
      </c>
    </row>
    <row r="2507" spans="1:19" x14ac:dyDescent="0.3">
      <c r="A2507" s="2" t="s">
        <v>857</v>
      </c>
      <c r="B2507" s="2">
        <v>119</v>
      </c>
      <c r="C2507" s="3">
        <v>6105175</v>
      </c>
      <c r="D2507" s="3" t="s">
        <v>5841</v>
      </c>
      <c r="E2507" s="2" t="s">
        <v>1407</v>
      </c>
      <c r="F2507" s="2" t="s">
        <v>10</v>
      </c>
      <c r="G2507" s="2" t="s">
        <v>11</v>
      </c>
      <c r="H2507" s="2">
        <v>50000000</v>
      </c>
      <c r="I2507" s="2">
        <v>6</v>
      </c>
      <c r="J2507" s="3">
        <v>41256277</v>
      </c>
      <c r="K2507">
        <f t="shared" si="86"/>
        <v>1.3775047412552699E-3</v>
      </c>
      <c r="R2507" s="12" t="str">
        <f ca="1">IFERROR(__xludf.DUMMYFUNCTION("""COMPUTED_VALUE"""),"Jonah: A VeggieTales Movie ")</f>
        <v>Jonah: A VeggieTales Movie </v>
      </c>
      <c r="S2507" s="12">
        <f t="shared" si="85"/>
        <v>10526144</v>
      </c>
    </row>
    <row r="2508" spans="1:19" x14ac:dyDescent="0.3">
      <c r="A2508" s="2" t="s">
        <v>1742</v>
      </c>
      <c r="B2508" s="2">
        <v>109</v>
      </c>
      <c r="C2508" s="3">
        <v>33201661</v>
      </c>
      <c r="D2508" s="3" t="s">
        <v>6134</v>
      </c>
      <c r="E2508" s="2" t="s">
        <v>1743</v>
      </c>
      <c r="F2508" s="2" t="s">
        <v>10</v>
      </c>
      <c r="G2508" s="2" t="s">
        <v>11</v>
      </c>
      <c r="H2508" s="2">
        <v>40000000</v>
      </c>
      <c r="I2508" s="2">
        <v>7</v>
      </c>
      <c r="J2508" s="3">
        <v>41300105</v>
      </c>
      <c r="K2508">
        <f t="shared" si="86"/>
        <v>1.3775047412552699E-3</v>
      </c>
      <c r="R2508" s="12" t="str">
        <f ca="1">IFERROR(__xludf.DUMMYFUNCTION("""COMPUTED_VALUE"""),"Poetic Justice ")</f>
        <v>Poetic Justice </v>
      </c>
      <c r="S2508" s="12">
        <f t="shared" si="85"/>
        <v>-67901420</v>
      </c>
    </row>
    <row r="2509" spans="1:19" x14ac:dyDescent="0.3">
      <c r="A2509" s="2" t="s">
        <v>414</v>
      </c>
      <c r="B2509" s="2">
        <v>93</v>
      </c>
      <c r="C2509" s="3">
        <v>33244684</v>
      </c>
      <c r="D2509" s="3" t="s">
        <v>6374</v>
      </c>
      <c r="E2509" s="2" t="s">
        <v>2517</v>
      </c>
      <c r="F2509" s="2" t="s">
        <v>10</v>
      </c>
      <c r="G2509" s="2" t="s">
        <v>11</v>
      </c>
      <c r="H2509" s="2">
        <v>80000000</v>
      </c>
      <c r="I2509" s="2">
        <v>4.9000000000000004</v>
      </c>
      <c r="J2509" s="3">
        <v>41382841</v>
      </c>
      <c r="K2509">
        <f t="shared" si="86"/>
        <v>1.3775047412552699E-3</v>
      </c>
      <c r="R2509" s="12" t="str">
        <f ca="1">IFERROR(__xludf.DUMMYFUNCTION("""COMPUTED_VALUE"""),"All About the Benjamins ")</f>
        <v>All About the Benjamins </v>
      </c>
      <c r="S2509" s="12">
        <f t="shared" si="85"/>
        <v>-84390018</v>
      </c>
    </row>
    <row r="2510" spans="1:19" x14ac:dyDescent="0.3">
      <c r="A2510" s="2" t="s">
        <v>1067</v>
      </c>
      <c r="B2510" s="2">
        <v>111</v>
      </c>
      <c r="C2510" s="3">
        <v>67325559</v>
      </c>
      <c r="D2510" s="3" t="s">
        <v>6372</v>
      </c>
      <c r="E2510" s="2" t="s">
        <v>1068</v>
      </c>
      <c r="F2510" s="2" t="s">
        <v>10</v>
      </c>
      <c r="G2510" s="2" t="s">
        <v>11</v>
      </c>
      <c r="H2510" s="2">
        <v>60000000</v>
      </c>
      <c r="I2510" s="2">
        <v>7.3</v>
      </c>
      <c r="J2510" s="3">
        <v>41400000</v>
      </c>
      <c r="K2510">
        <f t="shared" si="86"/>
        <v>1.3775047412552699E-3</v>
      </c>
      <c r="R2510" s="12" t="str">
        <f ca="1">IFERROR(__xludf.DUMMYFUNCTION("""COMPUTED_VALUE"""),"Vampire in Brooklyn ")</f>
        <v>Vampire in Brooklyn </v>
      </c>
      <c r="S2510" s="12">
        <f t="shared" si="85"/>
        <v>-448345160</v>
      </c>
    </row>
    <row r="2511" spans="1:19" x14ac:dyDescent="0.3">
      <c r="A2511" s="2" t="s">
        <v>2632</v>
      </c>
      <c r="B2511" s="2">
        <v>101</v>
      </c>
      <c r="C2511" s="3">
        <v>17474107</v>
      </c>
      <c r="D2511" s="3" t="s">
        <v>885</v>
      </c>
      <c r="E2511" s="2" t="s">
        <v>2633</v>
      </c>
      <c r="F2511" s="2" t="s">
        <v>10</v>
      </c>
      <c r="G2511" s="2" t="s">
        <v>11</v>
      </c>
      <c r="H2511" s="2">
        <v>25000000</v>
      </c>
      <c r="I2511" s="2">
        <v>5.4</v>
      </c>
      <c r="J2511" s="3">
        <v>41407470</v>
      </c>
      <c r="K2511">
        <f t="shared" si="86"/>
        <v>1.3775047412552699E-3</v>
      </c>
      <c r="R2511" s="12" t="str">
        <f ca="1">IFERROR(__xludf.DUMMYFUNCTION("""COMPUTED_VALUE"""),"An American Haunting ")</f>
        <v>An American Haunting </v>
      </c>
      <c r="S2511" s="12">
        <f t="shared" si="85"/>
        <v>-194485862</v>
      </c>
    </row>
    <row r="2512" spans="1:19" x14ac:dyDescent="0.3">
      <c r="A2512" s="2" t="s">
        <v>3058</v>
      </c>
      <c r="B2512" s="2">
        <v>93</v>
      </c>
      <c r="C2512" s="3">
        <v>6061759</v>
      </c>
      <c r="D2512" s="3" t="s">
        <v>5849</v>
      </c>
      <c r="E2512" s="2" t="s">
        <v>3059</v>
      </c>
      <c r="F2512" s="2" t="s">
        <v>10</v>
      </c>
      <c r="G2512" s="2" t="s">
        <v>11</v>
      </c>
      <c r="H2512" s="2">
        <v>20000000</v>
      </c>
      <c r="I2512" s="2">
        <v>4.9000000000000004</v>
      </c>
      <c r="J2512" s="3">
        <v>41482207</v>
      </c>
      <c r="K2512">
        <f t="shared" si="86"/>
        <v>1.3775047412552699E-3</v>
      </c>
      <c r="R2512" s="12" t="str">
        <f ca="1">IFERROR(__xludf.DUMMYFUNCTION("""COMPUTED_VALUE"""),"My Boss's Daughter ")</f>
        <v>My Boss's Daughter </v>
      </c>
      <c r="S2512" s="12">
        <f t="shared" si="85"/>
        <v>23000000</v>
      </c>
    </row>
    <row r="2513" spans="1:19" x14ac:dyDescent="0.3">
      <c r="A2513" s="2" t="s">
        <v>1986</v>
      </c>
      <c r="B2513" s="2">
        <v>110</v>
      </c>
      <c r="C2513" s="3">
        <v>1292527</v>
      </c>
      <c r="D2513" s="3" t="s">
        <v>5767</v>
      </c>
      <c r="E2513" s="2" t="s">
        <v>2631</v>
      </c>
      <c r="F2513" s="2" t="s">
        <v>10</v>
      </c>
      <c r="G2513" s="2" t="s">
        <v>11</v>
      </c>
      <c r="H2513" s="2">
        <v>25000000</v>
      </c>
      <c r="I2513" s="2">
        <v>6.8</v>
      </c>
      <c r="J2513" s="3">
        <v>41523271</v>
      </c>
      <c r="K2513">
        <f t="shared" si="86"/>
        <v>1.3775047412552699E-3</v>
      </c>
      <c r="R2513" s="12" t="str">
        <f ca="1">IFERROR(__xludf.DUMMYFUNCTION("""COMPUTED_VALUE"""),"A Perfect Getaway ")</f>
        <v>A Perfect Getaway </v>
      </c>
      <c r="S2513" s="12">
        <f t="shared" si="85"/>
        <v>-338302551</v>
      </c>
    </row>
    <row r="2514" spans="1:19" x14ac:dyDescent="0.3">
      <c r="A2514" s="2" t="s">
        <v>3786</v>
      </c>
      <c r="B2514" s="2">
        <v>82</v>
      </c>
      <c r="C2514" s="3">
        <v>9000000</v>
      </c>
      <c r="D2514" s="3" t="s">
        <v>5869</v>
      </c>
      <c r="E2514" s="2" t="s">
        <v>4260</v>
      </c>
      <c r="F2514" s="2" t="s">
        <v>10</v>
      </c>
      <c r="G2514" s="2" t="s">
        <v>11</v>
      </c>
      <c r="H2514" s="2">
        <v>8000000</v>
      </c>
      <c r="I2514" s="2">
        <v>6.7</v>
      </c>
      <c r="J2514" s="3">
        <v>41543207</v>
      </c>
      <c r="K2514">
        <f t="shared" si="86"/>
        <v>1.3775047412552699E-3</v>
      </c>
      <c r="R2514" s="12" t="str">
        <f ca="1">IFERROR(__xludf.DUMMYFUNCTION("""COMPUTED_VALUE"""),"Our Family Wedding ")</f>
        <v>Our Family Wedding </v>
      </c>
      <c r="S2514" s="12">
        <f t="shared" si="85"/>
        <v>-16531428</v>
      </c>
    </row>
    <row r="2515" spans="1:19" x14ac:dyDescent="0.3">
      <c r="A2515" s="2" t="s">
        <v>1428</v>
      </c>
      <c r="B2515" s="2">
        <v>99</v>
      </c>
      <c r="C2515" s="2">
        <v>59073773</v>
      </c>
      <c r="D2515" s="3" t="s">
        <v>5767</v>
      </c>
      <c r="E2515" s="2" t="s">
        <v>2154</v>
      </c>
      <c r="F2515" s="2" t="s">
        <v>10</v>
      </c>
      <c r="G2515" s="2" t="s">
        <v>11</v>
      </c>
      <c r="H2515" s="2">
        <v>25000000</v>
      </c>
      <c r="I2515" s="2">
        <v>8.1</v>
      </c>
      <c r="J2515" s="3">
        <v>41597830</v>
      </c>
      <c r="K2515">
        <f t="shared" si="86"/>
        <v>1.3775047412552699E-3</v>
      </c>
      <c r="R2515" s="12" t="str">
        <f ca="1">IFERROR(__xludf.DUMMYFUNCTION("""COMPUTED_VALUE"""),"Dead Man on Campus ")</f>
        <v>Dead Man on Campus </v>
      </c>
      <c r="S2515" s="12">
        <f t="shared" si="85"/>
        <v>-454110737</v>
      </c>
    </row>
    <row r="2516" spans="1:19" x14ac:dyDescent="0.3">
      <c r="A2516" s="2" t="s">
        <v>332</v>
      </c>
      <c r="B2516" s="2">
        <v>120</v>
      </c>
      <c r="C2516" s="3">
        <v>4542775</v>
      </c>
      <c r="D2516" s="3" t="s">
        <v>6108</v>
      </c>
      <c r="E2516" s="2" t="s">
        <v>418</v>
      </c>
      <c r="F2516" s="2" t="s">
        <v>10</v>
      </c>
      <c r="G2516" s="2" t="s">
        <v>11</v>
      </c>
      <c r="H2516" s="2">
        <v>110000000</v>
      </c>
      <c r="I2516" s="2">
        <v>5.8</v>
      </c>
      <c r="J2516" s="3">
        <v>41609593</v>
      </c>
      <c r="K2516">
        <f t="shared" si="86"/>
        <v>1.3775047412552699E-3</v>
      </c>
      <c r="R2516" s="12" t="str">
        <f ca="1">IFERROR(__xludf.DUMMYFUNCTION("""COMPUTED_VALUE"""),"Tea with Mussolini ")</f>
        <v>Tea with Mussolini </v>
      </c>
      <c r="S2516" s="12">
        <f t="shared" si="85"/>
        <v>-2001718</v>
      </c>
    </row>
    <row r="2517" spans="1:19" x14ac:dyDescent="0.3">
      <c r="A2517" s="2" t="s">
        <v>3734</v>
      </c>
      <c r="B2517" s="2">
        <v>90</v>
      </c>
      <c r="C2517" s="3">
        <v>35000629</v>
      </c>
      <c r="D2517" s="3" t="s">
        <v>5857</v>
      </c>
      <c r="E2517" s="2" t="s">
        <v>3735</v>
      </c>
      <c r="F2517" s="2" t="s">
        <v>10</v>
      </c>
      <c r="G2517" s="2" t="s">
        <v>98</v>
      </c>
      <c r="H2517" s="2">
        <v>13000000</v>
      </c>
      <c r="I2517" s="2">
        <v>5.4</v>
      </c>
      <c r="J2517" s="3">
        <v>41777564</v>
      </c>
      <c r="K2517">
        <f t="shared" si="86"/>
        <v>1.3775047412552699E-3</v>
      </c>
      <c r="R2517" s="12" t="str">
        <f ca="1">IFERROR(__xludf.DUMMYFUNCTION("""COMPUTED_VALUE"""),"Thinner ")</f>
        <v>Thinner </v>
      </c>
      <c r="S2517" s="12">
        <f t="shared" si="85"/>
        <v>28178777</v>
      </c>
    </row>
    <row r="2518" spans="1:19" x14ac:dyDescent="0.3">
      <c r="A2518" s="2" t="s">
        <v>4601</v>
      </c>
      <c r="B2518" s="2">
        <v>115</v>
      </c>
      <c r="C2518" s="3">
        <v>10539414</v>
      </c>
      <c r="D2518" s="3" t="s">
        <v>5818</v>
      </c>
      <c r="E2518" s="2" t="s">
        <v>4602</v>
      </c>
      <c r="F2518" s="2" t="s">
        <v>723</v>
      </c>
      <c r="G2518" s="2" t="s">
        <v>3044</v>
      </c>
      <c r="H2518" s="2">
        <v>5000000</v>
      </c>
      <c r="I2518" s="2">
        <v>7.6</v>
      </c>
      <c r="J2518" s="3">
        <v>41797066</v>
      </c>
      <c r="K2518">
        <f t="shared" si="86"/>
        <v>1.3775047412552699E-3</v>
      </c>
      <c r="R2518" s="12" t="str">
        <f ca="1">IFERROR(__xludf.DUMMYFUNCTION("""COMPUTED_VALUE"""),"Crooklyn ")</f>
        <v>Crooklyn </v>
      </c>
      <c r="S2518" s="12">
        <f t="shared" si="85"/>
        <v>2144806</v>
      </c>
    </row>
    <row r="2519" spans="1:19" x14ac:dyDescent="0.3">
      <c r="A2519" s="2" t="s">
        <v>392</v>
      </c>
      <c r="B2519" s="2">
        <v>145</v>
      </c>
      <c r="C2519" s="3">
        <v>1196752</v>
      </c>
      <c r="D2519" s="3" t="s">
        <v>5992</v>
      </c>
      <c r="E2519" s="2" t="s">
        <v>732</v>
      </c>
      <c r="F2519" s="2" t="s">
        <v>10</v>
      </c>
      <c r="G2519" s="2" t="s">
        <v>11</v>
      </c>
      <c r="H2519" s="2">
        <v>80000000</v>
      </c>
      <c r="I2519" s="2">
        <v>7.3</v>
      </c>
      <c r="J2519" s="3">
        <v>41814863</v>
      </c>
      <c r="K2519">
        <f t="shared" si="86"/>
        <v>1.3775047412552699E-3</v>
      </c>
      <c r="R2519" s="12" t="str">
        <f ca="1">IFERROR(__xludf.DUMMYFUNCTION("""COMPUTED_VALUE"""),"Jason X ")</f>
        <v>Jason X </v>
      </c>
      <c r="S2519" s="12">
        <f t="shared" si="85"/>
        <v>-74845923</v>
      </c>
    </row>
    <row r="2520" spans="1:19" x14ac:dyDescent="0.3">
      <c r="A2520" s="2" t="s">
        <v>280</v>
      </c>
      <c r="B2520" s="2">
        <v>148</v>
      </c>
      <c r="C2520" s="3">
        <v>32131830</v>
      </c>
      <c r="D2520" s="3" t="s">
        <v>6151</v>
      </c>
      <c r="E2520" s="2" t="s">
        <v>2060</v>
      </c>
      <c r="F2520" s="2" t="s">
        <v>10</v>
      </c>
      <c r="G2520" s="2" t="s">
        <v>11</v>
      </c>
      <c r="H2520" s="2">
        <v>35000000</v>
      </c>
      <c r="I2520" s="2">
        <v>6.8</v>
      </c>
      <c r="J2520" s="3">
        <v>41867960</v>
      </c>
      <c r="K2520">
        <f t="shared" si="86"/>
        <v>1.3775047412552699E-3</v>
      </c>
      <c r="R2520" s="12" t="str">
        <f ca="1">IFERROR(__xludf.DUMMYFUNCTION("""COMPUTED_VALUE"""),"Bobby ")</f>
        <v>Bobby </v>
      </c>
      <c r="S2520" s="12">
        <f t="shared" si="85"/>
        <v>-56110478</v>
      </c>
    </row>
    <row r="2521" spans="1:19" x14ac:dyDescent="0.3">
      <c r="A2521" s="2" t="s">
        <v>833</v>
      </c>
      <c r="B2521" s="2">
        <v>97</v>
      </c>
      <c r="C2521" s="3">
        <v>25121291</v>
      </c>
      <c r="D2521" s="3" t="s">
        <v>6375</v>
      </c>
      <c r="E2521" s="2" t="s">
        <v>834</v>
      </c>
      <c r="F2521" s="2" t="s">
        <v>10</v>
      </c>
      <c r="G2521" s="2" t="s">
        <v>11</v>
      </c>
      <c r="H2521" s="2">
        <v>73000000</v>
      </c>
      <c r="I2521" s="2">
        <v>6.3</v>
      </c>
      <c r="J2521" s="3">
        <v>41895491</v>
      </c>
      <c r="K2521">
        <f t="shared" si="86"/>
        <v>1.3775047412552699E-3</v>
      </c>
      <c r="R2521" s="12" t="str">
        <f ca="1">IFERROR(__xludf.DUMMYFUNCTION("""COMPUTED_VALUE"""),"Head Over Heels ")</f>
        <v>Head Over Heels </v>
      </c>
      <c r="S2521" s="12">
        <f t="shared" ref="S2521:S2584" si="87">C2499-H2499</f>
        <v>23784685</v>
      </c>
    </row>
    <row r="2522" spans="1:19" x14ac:dyDescent="0.3">
      <c r="A2522" s="2" t="s">
        <v>842</v>
      </c>
      <c r="B2522" s="2">
        <v>178</v>
      </c>
      <c r="C2522" s="3">
        <v>13922211</v>
      </c>
      <c r="D2522" s="3" t="s">
        <v>520</v>
      </c>
      <c r="E2522" s="2" t="s">
        <v>843</v>
      </c>
      <c r="F2522" s="2" t="s">
        <v>10</v>
      </c>
      <c r="G2522" s="2" t="s">
        <v>11</v>
      </c>
      <c r="H2522" s="2">
        <v>72000000</v>
      </c>
      <c r="I2522" s="2">
        <v>8.4</v>
      </c>
      <c r="J2522" s="3">
        <v>41954997</v>
      </c>
      <c r="K2522">
        <f t="shared" si="86"/>
        <v>1.3775047412552699E-3</v>
      </c>
      <c r="R2522" s="12" t="str">
        <f ca="1">IFERROR(__xludf.DUMMYFUNCTION("""COMPUTED_VALUE"""),"Fun Size ")</f>
        <v>Fun Size </v>
      </c>
      <c r="S2522" s="12">
        <f t="shared" si="87"/>
        <v>-18752184</v>
      </c>
    </row>
    <row r="2523" spans="1:19" x14ac:dyDescent="0.3">
      <c r="A2523" s="2" t="s">
        <v>5580</v>
      </c>
      <c r="B2523" s="2">
        <v>95</v>
      </c>
      <c r="C2523" s="3">
        <v>12701880</v>
      </c>
      <c r="D2523" s="3" t="s">
        <v>6040</v>
      </c>
      <c r="E2523" s="2" t="s">
        <v>5581</v>
      </c>
      <c r="F2523" s="2" t="s">
        <v>10</v>
      </c>
      <c r="G2523" s="2" t="s">
        <v>11</v>
      </c>
      <c r="H2523" s="3">
        <v>474544677</v>
      </c>
      <c r="I2523" s="2">
        <v>8.1</v>
      </c>
      <c r="J2523" s="3">
        <v>41997790</v>
      </c>
      <c r="K2523">
        <f t="shared" si="86"/>
        <v>1.3775047412552699E-3</v>
      </c>
      <c r="R2523" s="12" t="str">
        <f ca="1">IFERROR(__xludf.DUMMYFUNCTION("""COMPUTED_VALUE"""),"Little Children ")</f>
        <v>Little Children </v>
      </c>
      <c r="S2523" s="12">
        <f t="shared" si="87"/>
        <v>-358898442</v>
      </c>
    </row>
    <row r="2524" spans="1:19" x14ac:dyDescent="0.3">
      <c r="A2524" s="2" t="s">
        <v>209</v>
      </c>
      <c r="B2524" s="2">
        <v>101</v>
      </c>
      <c r="C2524" s="3">
        <v>13092000</v>
      </c>
      <c r="D2524" s="3" t="s">
        <v>6041</v>
      </c>
      <c r="E2524" s="2" t="s">
        <v>1209</v>
      </c>
      <c r="F2524" s="2" t="s">
        <v>10</v>
      </c>
      <c r="G2524" s="2" t="s">
        <v>11</v>
      </c>
      <c r="H2524" s="2">
        <v>55000000</v>
      </c>
      <c r="I2524" s="2">
        <v>6.3</v>
      </c>
      <c r="J2524" s="3">
        <v>42019483</v>
      </c>
      <c r="K2524">
        <f t="shared" si="86"/>
        <v>1.3775047412552699E-3</v>
      </c>
      <c r="R2524" s="12" t="str">
        <f ca="1">IFERROR(__xludf.DUMMYFUNCTION("""COMPUTED_VALUE"""),"Gossip ")</f>
        <v>Gossip </v>
      </c>
      <c r="S2524" s="12">
        <f t="shared" si="87"/>
        <v>11801344</v>
      </c>
    </row>
    <row r="2525" spans="1:19" x14ac:dyDescent="0.3">
      <c r="A2525" s="2" t="s">
        <v>2451</v>
      </c>
      <c r="B2525" s="2">
        <v>100</v>
      </c>
      <c r="C2525" s="3">
        <v>17544812</v>
      </c>
      <c r="D2525" s="3" t="s">
        <v>5894</v>
      </c>
      <c r="E2525" s="2" t="s">
        <v>5714</v>
      </c>
      <c r="F2525" s="2" t="s">
        <v>10</v>
      </c>
      <c r="G2525" s="2" t="s">
        <v>11</v>
      </c>
      <c r="H2525" s="3">
        <v>474544677</v>
      </c>
      <c r="I2525" s="2">
        <v>7.1</v>
      </c>
      <c r="J2525" s="3">
        <v>42043633</v>
      </c>
      <c r="K2525">
        <f t="shared" si="86"/>
        <v>1.3775047412552699E-3</v>
      </c>
      <c r="R2525" s="12" t="str">
        <f ca="1">IFERROR(__xludf.DUMMYFUNCTION("""COMPUTED_VALUE"""),"A Walk on the Moon ")</f>
        <v>A Walk on the Moon </v>
      </c>
      <c r="S2525" s="12">
        <f t="shared" si="87"/>
        <v>-9474079</v>
      </c>
    </row>
    <row r="2526" spans="1:19" x14ac:dyDescent="0.3">
      <c r="A2526" s="2" t="s">
        <v>1760</v>
      </c>
      <c r="B2526" s="2">
        <v>114</v>
      </c>
      <c r="C2526" s="3">
        <v>1282084</v>
      </c>
      <c r="D2526" s="3" t="s">
        <v>6207</v>
      </c>
      <c r="E2526" s="2" t="s">
        <v>2575</v>
      </c>
      <c r="F2526" s="2" t="s">
        <v>10</v>
      </c>
      <c r="G2526" s="2" t="s">
        <v>11</v>
      </c>
      <c r="H2526" s="2">
        <v>25000000</v>
      </c>
      <c r="I2526" s="2">
        <v>7.6</v>
      </c>
      <c r="J2526" s="3">
        <v>42044321</v>
      </c>
      <c r="K2526">
        <f t="shared" si="86"/>
        <v>1.3775047412552699E-3</v>
      </c>
      <c r="R2526" s="12" t="str">
        <f ca="1">IFERROR(__xludf.DUMMYFUNCTION("""COMPUTED_VALUE"""),"Catch a Fire ")</f>
        <v>Catch a Fire </v>
      </c>
      <c r="S2526" s="12">
        <f t="shared" si="87"/>
        <v>-33097210</v>
      </c>
    </row>
    <row r="2527" spans="1:19" x14ac:dyDescent="0.3">
      <c r="A2527" s="2" t="s">
        <v>3514</v>
      </c>
      <c r="B2527" s="2">
        <v>115</v>
      </c>
      <c r="C2527" s="3">
        <v>17439163</v>
      </c>
      <c r="D2527" s="3" t="s">
        <v>6272</v>
      </c>
      <c r="E2527" s="2" t="s">
        <v>3725</v>
      </c>
      <c r="F2527" s="2" t="s">
        <v>10</v>
      </c>
      <c r="G2527" s="2" t="s">
        <v>16</v>
      </c>
      <c r="H2527" s="2">
        <v>20000000</v>
      </c>
      <c r="I2527" s="2">
        <v>6.5</v>
      </c>
      <c r="J2527" s="3">
        <v>42057340</v>
      </c>
      <c r="K2527">
        <f t="shared" si="86"/>
        <v>1.3775047412552699E-3</v>
      </c>
      <c r="R2527" s="12" t="str">
        <f ca="1">IFERROR(__xludf.DUMMYFUNCTION("""COMPUTED_VALUE"""),"Soul Survivors ")</f>
        <v>Soul Survivors </v>
      </c>
      <c r="S2527" s="12">
        <f t="shared" si="87"/>
        <v>-20031347</v>
      </c>
    </row>
    <row r="2528" spans="1:19" x14ac:dyDescent="0.3">
      <c r="A2528" s="2" t="s">
        <v>5625</v>
      </c>
      <c r="B2528" s="2">
        <v>106</v>
      </c>
      <c r="C2528" s="3">
        <v>10719367</v>
      </c>
      <c r="D2528" s="3" t="s">
        <v>885</v>
      </c>
      <c r="E2528" s="2" t="s">
        <v>5626</v>
      </c>
      <c r="F2528" s="2" t="s">
        <v>10</v>
      </c>
      <c r="G2528" s="2" t="s">
        <v>11</v>
      </c>
      <c r="H2528" s="2">
        <v>225000</v>
      </c>
      <c r="I2528" s="2">
        <v>7</v>
      </c>
      <c r="J2528" s="3">
        <v>42071069</v>
      </c>
      <c r="K2528">
        <f t="shared" si="86"/>
        <v>1.3775047412552699E-3</v>
      </c>
      <c r="R2528" s="12" t="str">
        <f ca="1">IFERROR(__xludf.DUMMYFUNCTION("""COMPUTED_VALUE"""),"Jefferson in Paris ")</f>
        <v>Jefferson in Paris </v>
      </c>
      <c r="S2528" s="12">
        <f t="shared" si="87"/>
        <v>-10996989</v>
      </c>
    </row>
    <row r="2529" spans="1:19" x14ac:dyDescent="0.3">
      <c r="A2529" s="2" t="s">
        <v>12</v>
      </c>
      <c r="B2529" s="2">
        <v>143</v>
      </c>
      <c r="C2529" s="3">
        <v>20302961</v>
      </c>
      <c r="D2529" s="3" t="s">
        <v>6292</v>
      </c>
      <c r="E2529" s="2" t="s">
        <v>334</v>
      </c>
      <c r="F2529" s="2" t="s">
        <v>10</v>
      </c>
      <c r="G2529" s="2" t="s">
        <v>11</v>
      </c>
      <c r="H2529" s="2">
        <v>140000000</v>
      </c>
      <c r="I2529" s="2">
        <v>8.1</v>
      </c>
      <c r="J2529" s="3">
        <v>42168445</v>
      </c>
      <c r="K2529">
        <f t="shared" si="86"/>
        <v>1.3775047412552699E-3</v>
      </c>
      <c r="R2529" s="12" t="str">
        <f ca="1">IFERROR(__xludf.DUMMYFUNCTION("""COMPUTED_VALUE"""),"Caravans ")</f>
        <v>Caravans </v>
      </c>
      <c r="S2529" s="12">
        <f t="shared" si="87"/>
        <v>-43894825</v>
      </c>
    </row>
    <row r="2530" spans="1:19" x14ac:dyDescent="0.3">
      <c r="A2530" s="2" t="s">
        <v>738</v>
      </c>
      <c r="B2530" s="2">
        <v>106</v>
      </c>
      <c r="C2530" s="3">
        <v>3517797</v>
      </c>
      <c r="D2530" s="3" t="s">
        <v>6290</v>
      </c>
      <c r="E2530" s="2" t="s">
        <v>1393</v>
      </c>
      <c r="F2530" s="2" t="s">
        <v>10</v>
      </c>
      <c r="G2530" s="2" t="s">
        <v>11</v>
      </c>
      <c r="H2530" s="2">
        <v>50000000</v>
      </c>
      <c r="I2530" s="2">
        <v>6.3</v>
      </c>
      <c r="J2530" s="3">
        <v>42194060</v>
      </c>
      <c r="K2530">
        <f t="shared" si="86"/>
        <v>1.3775047412552699E-3</v>
      </c>
      <c r="R2530" s="12" t="str">
        <f ca="1">IFERROR(__xludf.DUMMYFUNCTION("""COMPUTED_VALUE"""),"Mr. Turner ")</f>
        <v>Mr. Turner </v>
      </c>
      <c r="S2530" s="12">
        <f t="shared" si="87"/>
        <v>-6798339</v>
      </c>
    </row>
    <row r="2531" spans="1:19" x14ac:dyDescent="0.3">
      <c r="A2531" s="2" t="s">
        <v>1054</v>
      </c>
      <c r="B2531" s="2">
        <v>122</v>
      </c>
      <c r="C2531" s="3">
        <v>1705139</v>
      </c>
      <c r="D2531" s="3" t="s">
        <v>5940</v>
      </c>
      <c r="E2531" s="2" t="s">
        <v>3839</v>
      </c>
      <c r="F2531" s="2" t="s">
        <v>10</v>
      </c>
      <c r="G2531" s="2" t="s">
        <v>11</v>
      </c>
      <c r="H2531" s="2">
        <v>12000000</v>
      </c>
      <c r="I2531" s="2">
        <v>6.2</v>
      </c>
      <c r="J2531" s="3">
        <v>42272747</v>
      </c>
      <c r="K2531">
        <f t="shared" si="86"/>
        <v>1.3775047412552699E-3</v>
      </c>
      <c r="R2531" s="12" t="str">
        <f ca="1">IFERROR(__xludf.DUMMYFUNCTION("""COMPUTED_VALUE"""),"Amen. ")</f>
        <v>Amen. </v>
      </c>
      <c r="S2531" s="12">
        <f t="shared" si="87"/>
        <v>-46755316</v>
      </c>
    </row>
    <row r="2532" spans="1:19" x14ac:dyDescent="0.3">
      <c r="A2532" s="2" t="s">
        <v>344</v>
      </c>
      <c r="B2532" s="2">
        <v>129</v>
      </c>
      <c r="C2532" s="3">
        <v>33305037</v>
      </c>
      <c r="D2532" s="3" t="s">
        <v>5869</v>
      </c>
      <c r="E2532" s="2" t="s">
        <v>484</v>
      </c>
      <c r="F2532" s="2" t="s">
        <v>10</v>
      </c>
      <c r="G2532" s="2" t="s">
        <v>11</v>
      </c>
      <c r="H2532" s="2">
        <v>105000000</v>
      </c>
      <c r="I2532" s="2">
        <v>7.2</v>
      </c>
      <c r="J2532" s="3">
        <v>42335698</v>
      </c>
      <c r="K2532">
        <f t="shared" si="86"/>
        <v>1.3775047412552699E-3</v>
      </c>
      <c r="R2532" s="12" t="str">
        <f ca="1">IFERROR(__xludf.DUMMYFUNCTION("""COMPUTED_VALUE"""),"The Lucky Ones ")</f>
        <v>The Lucky Ones </v>
      </c>
      <c r="S2532" s="12">
        <f t="shared" si="87"/>
        <v>7325559</v>
      </c>
    </row>
    <row r="2533" spans="1:19" x14ac:dyDescent="0.3">
      <c r="A2533" s="2" t="s">
        <v>3366</v>
      </c>
      <c r="B2533" s="2">
        <v>107</v>
      </c>
      <c r="C2533" s="3">
        <v>2428241</v>
      </c>
      <c r="D2533" s="3" t="s">
        <v>5849</v>
      </c>
      <c r="E2533" s="2" t="s">
        <v>3535</v>
      </c>
      <c r="F2533" s="2" t="s">
        <v>10</v>
      </c>
      <c r="G2533" s="2" t="s">
        <v>504</v>
      </c>
      <c r="H2533" s="2">
        <v>15000000</v>
      </c>
      <c r="I2533" s="2">
        <v>7.5</v>
      </c>
      <c r="J2533" s="3">
        <v>42345531</v>
      </c>
      <c r="K2533">
        <f t="shared" si="86"/>
        <v>1.3775047412552699E-3</v>
      </c>
      <c r="R2533" s="12" t="str">
        <f ca="1">IFERROR(__xludf.DUMMYFUNCTION("""COMPUTED_VALUE"""),"Margaret ")</f>
        <v>Margaret </v>
      </c>
      <c r="S2533" s="12">
        <f t="shared" si="87"/>
        <v>-7525893</v>
      </c>
    </row>
    <row r="2534" spans="1:19" x14ac:dyDescent="0.3">
      <c r="A2534" s="2" t="s">
        <v>218</v>
      </c>
      <c r="B2534" s="2">
        <v>120</v>
      </c>
      <c r="C2534" s="3">
        <v>46012734</v>
      </c>
      <c r="D2534" s="3" t="s">
        <v>520</v>
      </c>
      <c r="E2534" s="2" t="s">
        <v>219</v>
      </c>
      <c r="F2534" s="2" t="s">
        <v>10</v>
      </c>
      <c r="G2534" s="2" t="s">
        <v>98</v>
      </c>
      <c r="H2534" s="2">
        <v>150000000</v>
      </c>
      <c r="I2534" s="2">
        <v>8.1</v>
      </c>
      <c r="J2534" s="3">
        <v>42365600</v>
      </c>
      <c r="K2534">
        <f t="shared" si="86"/>
        <v>1.3775047412552699E-3</v>
      </c>
      <c r="R2534" s="12" t="str">
        <f ca="1">IFERROR(__xludf.DUMMYFUNCTION("""COMPUTED_VALUE"""),"Flipped ")</f>
        <v>Flipped </v>
      </c>
      <c r="S2534" s="12">
        <f t="shared" si="87"/>
        <v>-13938241</v>
      </c>
    </row>
    <row r="2535" spans="1:19" x14ac:dyDescent="0.3">
      <c r="A2535" s="2" t="s">
        <v>1425</v>
      </c>
      <c r="B2535" s="2">
        <v>106</v>
      </c>
      <c r="C2535" s="3">
        <v>17508670</v>
      </c>
      <c r="D2535" s="3" t="s">
        <v>5874</v>
      </c>
      <c r="E2535" s="2" t="s">
        <v>4491</v>
      </c>
      <c r="F2535" s="2" t="s">
        <v>10</v>
      </c>
      <c r="G2535" s="2" t="s">
        <v>16</v>
      </c>
      <c r="H2535" s="2">
        <v>6000000</v>
      </c>
      <c r="I2535" s="2">
        <v>7.2</v>
      </c>
      <c r="J2535" s="3">
        <v>42385520</v>
      </c>
      <c r="K2535">
        <f t="shared" si="86"/>
        <v>1.3775047412552699E-3</v>
      </c>
      <c r="R2535" s="12" t="str">
        <f ca="1">IFERROR(__xludf.DUMMYFUNCTION("""COMPUTED_VALUE"""),"Brokeback Mountain ")</f>
        <v>Brokeback Mountain </v>
      </c>
      <c r="S2535" s="12">
        <f t="shared" si="87"/>
        <v>-23707473</v>
      </c>
    </row>
    <row r="2536" spans="1:19" x14ac:dyDescent="0.3">
      <c r="A2536" s="2" t="s">
        <v>454</v>
      </c>
      <c r="B2536" s="2">
        <v>114</v>
      </c>
      <c r="C2536" s="3">
        <v>5228617</v>
      </c>
      <c r="D2536" s="3" t="s">
        <v>6062</v>
      </c>
      <c r="E2536" s="2" t="s">
        <v>589</v>
      </c>
      <c r="F2536" s="2" t="s">
        <v>10</v>
      </c>
      <c r="G2536" s="2" t="s">
        <v>199</v>
      </c>
      <c r="H2536" s="2">
        <v>92000000</v>
      </c>
      <c r="I2536" s="2">
        <v>7</v>
      </c>
      <c r="J2536" s="3">
        <v>42438300</v>
      </c>
      <c r="K2536">
        <f t="shared" si="86"/>
        <v>1.3775047412552699E-3</v>
      </c>
      <c r="R2536" s="12" t="str">
        <f ca="1">IFERROR(__xludf.DUMMYFUNCTION("""COMPUTED_VALUE"""),"Clueless ")</f>
        <v>Clueless </v>
      </c>
      <c r="S2536" s="12">
        <f t="shared" si="87"/>
        <v>1000000</v>
      </c>
    </row>
    <row r="2537" spans="1:19" x14ac:dyDescent="0.3">
      <c r="A2537" s="2" t="s">
        <v>1633</v>
      </c>
      <c r="B2537" s="2">
        <v>122</v>
      </c>
      <c r="C2537" s="3">
        <v>17473245</v>
      </c>
      <c r="D2537" s="3" t="s">
        <v>5969</v>
      </c>
      <c r="E2537" s="2" t="s">
        <v>1908</v>
      </c>
      <c r="F2537" s="2" t="s">
        <v>10</v>
      </c>
      <c r="G2537" s="2" t="s">
        <v>11</v>
      </c>
      <c r="H2537" s="2">
        <v>37000000</v>
      </c>
      <c r="I2537" s="2">
        <v>5.2</v>
      </c>
      <c r="J2537" s="3">
        <v>42478175</v>
      </c>
      <c r="K2537">
        <f t="shared" si="86"/>
        <v>1.3775047412552699E-3</v>
      </c>
      <c r="R2537" s="12" t="str">
        <f ca="1">IFERROR(__xludf.DUMMYFUNCTION("""COMPUTED_VALUE"""),"Far from Heaven ")</f>
        <v>Far from Heaven </v>
      </c>
      <c r="S2537" s="12">
        <f t="shared" si="87"/>
        <v>34073773</v>
      </c>
    </row>
    <row r="2538" spans="1:19" x14ac:dyDescent="0.3">
      <c r="A2538" s="2" t="s">
        <v>4898</v>
      </c>
      <c r="B2538" s="2">
        <v>101</v>
      </c>
      <c r="C2538" s="3">
        <v>10660147</v>
      </c>
      <c r="D2538" s="3" t="s">
        <v>5929</v>
      </c>
      <c r="E2538" s="2" t="s">
        <v>4899</v>
      </c>
      <c r="F2538" s="2" t="s">
        <v>723</v>
      </c>
      <c r="G2538" s="2" t="s">
        <v>4900</v>
      </c>
      <c r="H2538" s="2">
        <v>3000000</v>
      </c>
      <c r="I2538" s="2">
        <v>7.5</v>
      </c>
      <c r="J2538" s="3">
        <v>42575718</v>
      </c>
      <c r="K2538">
        <f t="shared" si="86"/>
        <v>1.3775047412552699E-3</v>
      </c>
      <c r="R2538" s="12" t="str">
        <f ca="1">IFERROR(__xludf.DUMMYFUNCTION("""COMPUTED_VALUE"""),"Hot Tub Time Machine 2 ")</f>
        <v>Hot Tub Time Machine 2 </v>
      </c>
      <c r="S2538" s="12">
        <f t="shared" si="87"/>
        <v>-105457225</v>
      </c>
    </row>
    <row r="2539" spans="1:19" x14ac:dyDescent="0.3">
      <c r="A2539" s="2" t="s">
        <v>337</v>
      </c>
      <c r="B2539" s="2">
        <v>101</v>
      </c>
      <c r="C2539" s="3">
        <v>37754208</v>
      </c>
      <c r="D2539" s="3" t="s">
        <v>5849</v>
      </c>
      <c r="E2539" s="2" t="s">
        <v>338</v>
      </c>
      <c r="F2539" s="2" t="s">
        <v>10</v>
      </c>
      <c r="G2539" s="2" t="s">
        <v>11</v>
      </c>
      <c r="H2539" s="2">
        <v>103000000</v>
      </c>
      <c r="I2539" s="2">
        <v>6.4</v>
      </c>
      <c r="J2539" s="3">
        <v>42592530</v>
      </c>
      <c r="K2539">
        <f t="shared" si="86"/>
        <v>1.3775047412552699E-3</v>
      </c>
      <c r="R2539" s="12" t="str">
        <f ca="1">IFERROR(__xludf.DUMMYFUNCTION("""COMPUTED_VALUE"""),"Quills ")</f>
        <v>Quills </v>
      </c>
      <c r="S2539" s="12">
        <f t="shared" si="87"/>
        <v>22000629</v>
      </c>
    </row>
    <row r="2540" spans="1:19" x14ac:dyDescent="0.3">
      <c r="A2540" s="2" t="s">
        <v>4683</v>
      </c>
      <c r="B2540" s="2">
        <v>34</v>
      </c>
      <c r="C2540" s="3">
        <v>6047856</v>
      </c>
      <c r="D2540" s="3" t="s">
        <v>6376</v>
      </c>
      <c r="E2540" s="2" t="s">
        <v>5019</v>
      </c>
      <c r="F2540" s="2" t="s">
        <v>10</v>
      </c>
      <c r="G2540" s="2" t="s">
        <v>11</v>
      </c>
      <c r="H2540" s="3">
        <v>474544677</v>
      </c>
      <c r="I2540" s="2">
        <v>7.1</v>
      </c>
      <c r="J2540" s="3">
        <v>42610000</v>
      </c>
      <c r="K2540">
        <f t="shared" si="86"/>
        <v>1.3775047412552699E-3</v>
      </c>
      <c r="R2540" s="12" t="str">
        <f ca="1">IFERROR(__xludf.DUMMYFUNCTION("""COMPUTED_VALUE"""),"Seven Psychopaths ")</f>
        <v>Seven Psychopaths </v>
      </c>
      <c r="S2540" s="12">
        <f t="shared" si="87"/>
        <v>5539414</v>
      </c>
    </row>
    <row r="2541" spans="1:19" x14ac:dyDescent="0.3">
      <c r="A2541" s="2" t="s">
        <v>3186</v>
      </c>
      <c r="B2541" s="2">
        <v>109</v>
      </c>
      <c r="C2541" s="3">
        <v>10762178</v>
      </c>
      <c r="D2541" s="3" t="s">
        <v>5776</v>
      </c>
      <c r="E2541" s="2" t="s">
        <v>3187</v>
      </c>
      <c r="F2541" s="2" t="s">
        <v>10</v>
      </c>
      <c r="G2541" s="2" t="s">
        <v>11</v>
      </c>
      <c r="H2541" s="2">
        <v>18000000</v>
      </c>
      <c r="I2541" s="2">
        <v>6.1</v>
      </c>
      <c r="J2541" s="3">
        <v>42615685</v>
      </c>
      <c r="K2541">
        <f t="shared" si="86"/>
        <v>1.3775047412552699E-3</v>
      </c>
      <c r="R2541" s="12" t="str">
        <f ca="1">IFERROR(__xludf.DUMMYFUNCTION("""COMPUTED_VALUE"""),"Downfall ")</f>
        <v>Downfall </v>
      </c>
      <c r="S2541" s="12">
        <f t="shared" si="87"/>
        <v>-78803248</v>
      </c>
    </row>
    <row r="2542" spans="1:19" x14ac:dyDescent="0.3">
      <c r="A2542" s="2" t="s">
        <v>726</v>
      </c>
      <c r="B2542" s="2">
        <v>102</v>
      </c>
      <c r="C2542" s="3">
        <v>35918429</v>
      </c>
      <c r="D2542" s="3" t="s">
        <v>6036</v>
      </c>
      <c r="E2542" s="2" t="s">
        <v>1757</v>
      </c>
      <c r="F2542" s="2" t="s">
        <v>10</v>
      </c>
      <c r="G2542" s="2" t="s">
        <v>11</v>
      </c>
      <c r="H2542" s="2">
        <v>40000000</v>
      </c>
      <c r="I2542" s="2">
        <v>5.7</v>
      </c>
      <c r="J2542" s="3">
        <v>42638165</v>
      </c>
      <c r="K2542">
        <f t="shared" si="86"/>
        <v>1.3775047412552699E-3</v>
      </c>
      <c r="R2542" s="12" t="str">
        <f ca="1">IFERROR(__xludf.DUMMYFUNCTION("""COMPUTED_VALUE"""),"The Sea Inside ")</f>
        <v>The Sea Inside </v>
      </c>
      <c r="S2542" s="12">
        <f t="shared" si="87"/>
        <v>-2868170</v>
      </c>
    </row>
    <row r="2543" spans="1:19" x14ac:dyDescent="0.3">
      <c r="A2543" s="2" t="s">
        <v>3773</v>
      </c>
      <c r="B2543" s="2">
        <v>114</v>
      </c>
      <c r="C2543" s="3">
        <v>28563179</v>
      </c>
      <c r="D2543" s="3" t="s">
        <v>6195</v>
      </c>
      <c r="E2543" s="2" t="s">
        <v>3774</v>
      </c>
      <c r="F2543" s="2" t="s">
        <v>10</v>
      </c>
      <c r="G2543" s="2" t="s">
        <v>11</v>
      </c>
      <c r="H2543" s="2">
        <v>12000000</v>
      </c>
      <c r="I2543" s="2">
        <v>7.1</v>
      </c>
      <c r="J2543" s="3">
        <v>42652003</v>
      </c>
      <c r="K2543">
        <f t="shared" si="86"/>
        <v>1.3775047412552699E-3</v>
      </c>
      <c r="R2543" s="12" t="str">
        <f ca="1">IFERROR(__xludf.DUMMYFUNCTION("""COMPUTED_VALUE"""),"Good Morning, Vietnam ")</f>
        <v>Good Morning, Vietnam </v>
      </c>
      <c r="S2543" s="12">
        <f t="shared" si="87"/>
        <v>-47878709</v>
      </c>
    </row>
    <row r="2544" spans="1:19" x14ac:dyDescent="0.3">
      <c r="A2544" s="2" t="s">
        <v>150</v>
      </c>
      <c r="B2544" s="2">
        <v>116</v>
      </c>
      <c r="C2544" s="3">
        <v>27087695</v>
      </c>
      <c r="D2544" s="3" t="s">
        <v>5855</v>
      </c>
      <c r="E2544" s="2" t="s">
        <v>3010</v>
      </c>
      <c r="F2544" s="2" t="s">
        <v>10</v>
      </c>
      <c r="G2544" s="2" t="s">
        <v>16</v>
      </c>
      <c r="H2544" s="2">
        <v>20000000</v>
      </c>
      <c r="I2544" s="2">
        <v>7.2</v>
      </c>
      <c r="J2544" s="3">
        <v>42660000</v>
      </c>
      <c r="K2544">
        <f t="shared" si="86"/>
        <v>1.3775047412552699E-3</v>
      </c>
      <c r="R2544" s="12" t="str">
        <f ca="1">IFERROR(__xludf.DUMMYFUNCTION("""COMPUTED_VALUE"""),"The Last Godfather ")</f>
        <v>The Last Godfather </v>
      </c>
      <c r="S2544" s="12">
        <f t="shared" si="87"/>
        <v>-58077789</v>
      </c>
    </row>
    <row r="2545" spans="1:19" x14ac:dyDescent="0.3">
      <c r="A2545" s="2" t="s">
        <v>355</v>
      </c>
      <c r="B2545" s="2">
        <v>119</v>
      </c>
      <c r="C2545" s="3">
        <v>37738400</v>
      </c>
      <c r="D2545" s="3" t="s">
        <v>1703</v>
      </c>
      <c r="E2545" s="2" t="s">
        <v>1086</v>
      </c>
      <c r="F2545" s="2" t="s">
        <v>10</v>
      </c>
      <c r="G2545" s="2" t="s">
        <v>11</v>
      </c>
      <c r="H2545" s="2">
        <v>60000000</v>
      </c>
      <c r="I2545" s="2">
        <v>6.3</v>
      </c>
      <c r="J2545" s="3">
        <v>42672630</v>
      </c>
      <c r="K2545">
        <f t="shared" si="86"/>
        <v>1.3775047412552699E-3</v>
      </c>
      <c r="R2545" s="12" t="str">
        <f ca="1">IFERROR(__xludf.DUMMYFUNCTION("""COMPUTED_VALUE"""),"Justin Bieber: Never Say Never ")</f>
        <v>Justin Bieber: Never Say Never </v>
      </c>
      <c r="S2545" s="12">
        <f t="shared" si="87"/>
        <v>-461842797</v>
      </c>
    </row>
    <row r="2546" spans="1:19" x14ac:dyDescent="0.3">
      <c r="A2546" s="2" t="s">
        <v>2083</v>
      </c>
      <c r="B2546" s="2">
        <v>85</v>
      </c>
      <c r="C2546" s="3">
        <v>35565975</v>
      </c>
      <c r="D2546" s="3" t="s">
        <v>5919</v>
      </c>
      <c r="E2546" s="2" t="s">
        <v>2084</v>
      </c>
      <c r="F2546" s="2" t="s">
        <v>10</v>
      </c>
      <c r="G2546" s="2" t="s">
        <v>2085</v>
      </c>
      <c r="H2546" s="2">
        <v>34000000</v>
      </c>
      <c r="I2546" s="2">
        <v>6.3</v>
      </c>
      <c r="J2546" s="3">
        <v>42700000</v>
      </c>
      <c r="K2546">
        <f t="shared" si="86"/>
        <v>1.3775047412552699E-3</v>
      </c>
      <c r="R2546" s="12" t="str">
        <f ca="1">IFERROR(__xludf.DUMMYFUNCTION("""COMPUTED_VALUE"""),"Black Swan ")</f>
        <v>Black Swan </v>
      </c>
      <c r="S2546" s="12">
        <f t="shared" si="87"/>
        <v>-41908000</v>
      </c>
    </row>
    <row r="2547" spans="1:19" x14ac:dyDescent="0.3">
      <c r="A2547" s="2" t="s">
        <v>374</v>
      </c>
      <c r="B2547" s="2">
        <v>131</v>
      </c>
      <c r="C2547" s="3">
        <v>183125</v>
      </c>
      <c r="D2547" s="3" t="s">
        <v>6211</v>
      </c>
      <c r="E2547" s="2" t="s">
        <v>807</v>
      </c>
      <c r="F2547" s="2" t="s">
        <v>10</v>
      </c>
      <c r="G2547" s="2" t="s">
        <v>11</v>
      </c>
      <c r="H2547" s="2">
        <v>80000000</v>
      </c>
      <c r="I2547" s="2">
        <v>6.5</v>
      </c>
      <c r="J2547" s="3">
        <v>42776259</v>
      </c>
      <c r="K2547">
        <f t="shared" si="86"/>
        <v>1.3775047412552699E-3</v>
      </c>
      <c r="R2547" s="12" t="str">
        <f ca="1">IFERROR(__xludf.DUMMYFUNCTION("""COMPUTED_VALUE"""),"The Godfather: Part II ")</f>
        <v>The Godfather: Part II </v>
      </c>
      <c r="S2547" s="12">
        <f t="shared" si="87"/>
        <v>-456999865</v>
      </c>
    </row>
    <row r="2548" spans="1:19" x14ac:dyDescent="0.3">
      <c r="A2548" s="2" t="s">
        <v>2891</v>
      </c>
      <c r="B2548" s="2">
        <v>72</v>
      </c>
      <c r="C2548" s="3">
        <v>505295</v>
      </c>
      <c r="D2548" s="3" t="s">
        <v>5869</v>
      </c>
      <c r="E2548" s="2" t="s">
        <v>2892</v>
      </c>
      <c r="F2548" s="2" t="s">
        <v>10</v>
      </c>
      <c r="G2548" s="2" t="s">
        <v>11</v>
      </c>
      <c r="H2548" s="2">
        <v>20000000</v>
      </c>
      <c r="I2548" s="2">
        <v>5.4</v>
      </c>
      <c r="J2548" s="3">
        <v>42877165</v>
      </c>
      <c r="K2548">
        <f t="shared" si="86"/>
        <v>1.3775047412552699E-3</v>
      </c>
      <c r="R2548" s="12" t="str">
        <f ca="1">IFERROR(__xludf.DUMMYFUNCTION("""COMPUTED_VALUE"""),"Save the Last Dance ")</f>
        <v>Save the Last Dance </v>
      </c>
      <c r="S2548" s="12">
        <f t="shared" si="87"/>
        <v>-23717916</v>
      </c>
    </row>
    <row r="2549" spans="1:19" x14ac:dyDescent="0.3">
      <c r="A2549" s="2" t="s">
        <v>1585</v>
      </c>
      <c r="B2549" s="2">
        <v>96</v>
      </c>
      <c r="C2549" s="3">
        <v>37752931</v>
      </c>
      <c r="D2549" s="3" t="s">
        <v>6377</v>
      </c>
      <c r="E2549" s="2" t="s">
        <v>1594</v>
      </c>
      <c r="F2549" s="2" t="s">
        <v>10</v>
      </c>
      <c r="G2549" s="2" t="s">
        <v>11</v>
      </c>
      <c r="H2549" s="2">
        <v>44000000</v>
      </c>
      <c r="I2549" s="2">
        <v>6.4</v>
      </c>
      <c r="J2549" s="3">
        <v>42919096</v>
      </c>
      <c r="K2549">
        <f t="shared" si="86"/>
        <v>1.3775047412552699E-3</v>
      </c>
      <c r="R2549" s="12" t="str">
        <f ca="1">IFERROR(__xludf.DUMMYFUNCTION("""COMPUTED_VALUE"""),"A Nightmare on Elm Street 4: The Dream Master ")</f>
        <v>A Nightmare on Elm Street 4: The Dream Master </v>
      </c>
      <c r="S2549" s="12">
        <f t="shared" si="87"/>
        <v>-2560837</v>
      </c>
    </row>
    <row r="2550" spans="1:19" x14ac:dyDescent="0.3">
      <c r="A2550" s="2" t="s">
        <v>197</v>
      </c>
      <c r="B2550" s="2">
        <v>110</v>
      </c>
      <c r="C2550" s="3">
        <v>37707719</v>
      </c>
      <c r="D2550" s="3" t="s">
        <v>5767</v>
      </c>
      <c r="E2550" s="2" t="s">
        <v>4796</v>
      </c>
      <c r="F2550" s="2" t="s">
        <v>10</v>
      </c>
      <c r="G2550" s="2" t="s">
        <v>11</v>
      </c>
      <c r="H2550" s="2">
        <v>4000000</v>
      </c>
      <c r="I2550" s="2">
        <v>7.3</v>
      </c>
      <c r="J2550" s="3">
        <v>43022524</v>
      </c>
      <c r="K2550">
        <f t="shared" si="86"/>
        <v>1.3775047412552699E-3</v>
      </c>
      <c r="R2550" s="12" t="str">
        <f ca="1">IFERROR(__xludf.DUMMYFUNCTION("""COMPUTED_VALUE"""),"Miracles from Heaven ")</f>
        <v>Miracles from Heaven </v>
      </c>
      <c r="S2550" s="12">
        <f t="shared" si="87"/>
        <v>10494367</v>
      </c>
    </row>
    <row r="2551" spans="1:19" x14ac:dyDescent="0.3">
      <c r="A2551" s="2" t="s">
        <v>135</v>
      </c>
      <c r="B2551" s="2">
        <v>78</v>
      </c>
      <c r="C2551" s="3">
        <v>3388210</v>
      </c>
      <c r="D2551" s="3" t="s">
        <v>5898</v>
      </c>
      <c r="E2551" s="2" t="s">
        <v>3772</v>
      </c>
      <c r="F2551" s="2" t="s">
        <v>10</v>
      </c>
      <c r="G2551" s="2" t="s">
        <v>11</v>
      </c>
      <c r="H2551" s="2">
        <v>12000000</v>
      </c>
      <c r="I2551" s="2">
        <v>6.9</v>
      </c>
      <c r="J2551" s="3">
        <v>43060566</v>
      </c>
      <c r="K2551">
        <f t="shared" si="86"/>
        <v>1.3775047412552699E-3</v>
      </c>
      <c r="R2551" s="12" t="str">
        <f ca="1">IFERROR(__xludf.DUMMYFUNCTION("""COMPUTED_VALUE"""),"Dude, Where's My Car? ")</f>
        <v>Dude, Where's My Car? </v>
      </c>
      <c r="S2551" s="12">
        <f t="shared" si="87"/>
        <v>-119697039</v>
      </c>
    </row>
    <row r="2552" spans="1:19" x14ac:dyDescent="0.3">
      <c r="A2552" s="2" t="s">
        <v>81</v>
      </c>
      <c r="B2552" s="2">
        <v>117</v>
      </c>
      <c r="C2552" s="3">
        <v>16005978</v>
      </c>
      <c r="D2552" s="3" t="s">
        <v>5796</v>
      </c>
      <c r="E2552" s="2" t="s">
        <v>856</v>
      </c>
      <c r="F2552" s="2" t="s">
        <v>10</v>
      </c>
      <c r="G2552" s="2" t="s">
        <v>11</v>
      </c>
      <c r="H2552" s="2">
        <v>120000000</v>
      </c>
      <c r="I2552" s="2">
        <v>7.2</v>
      </c>
      <c r="J2552" s="3">
        <v>43095600</v>
      </c>
      <c r="K2552">
        <f t="shared" si="86"/>
        <v>1.3775047412552699E-3</v>
      </c>
      <c r="R2552" s="12" t="str">
        <f ca="1">IFERROR(__xludf.DUMMYFUNCTION("""COMPUTED_VALUE"""),"Young Guns ")</f>
        <v>Young Guns </v>
      </c>
      <c r="S2552" s="12">
        <f t="shared" si="87"/>
        <v>-46482203</v>
      </c>
    </row>
    <row r="2553" spans="1:19" x14ac:dyDescent="0.3">
      <c r="A2553" s="2" t="s">
        <v>4709</v>
      </c>
      <c r="B2553" s="2">
        <v>103</v>
      </c>
      <c r="C2553" s="3">
        <v>19661987</v>
      </c>
      <c r="D2553" s="3" t="s">
        <v>5869</v>
      </c>
      <c r="E2553" s="2" t="s">
        <v>4710</v>
      </c>
      <c r="F2553" s="2" t="s">
        <v>10</v>
      </c>
      <c r="G2553" s="2" t="s">
        <v>199</v>
      </c>
      <c r="H2553" s="2">
        <v>5000000</v>
      </c>
      <c r="I2553" s="2">
        <v>3.3</v>
      </c>
      <c r="J2553" s="3">
        <v>43097652</v>
      </c>
      <c r="K2553">
        <f t="shared" si="86"/>
        <v>1.3775047412552699E-3</v>
      </c>
      <c r="R2553" s="12" t="str">
        <f ca="1">IFERROR(__xludf.DUMMYFUNCTION("""COMPUTED_VALUE"""),"St. Vincent ")</f>
        <v>St. Vincent </v>
      </c>
      <c r="S2553" s="12">
        <f t="shared" si="87"/>
        <v>-10294861</v>
      </c>
    </row>
    <row r="2554" spans="1:19" x14ac:dyDescent="0.3">
      <c r="A2554" s="2" t="s">
        <v>1100</v>
      </c>
      <c r="B2554" s="2">
        <v>116</v>
      </c>
      <c r="C2554" s="3">
        <v>56816662</v>
      </c>
      <c r="D2554" s="3" t="s">
        <v>885</v>
      </c>
      <c r="E2554" s="2" t="s">
        <v>1101</v>
      </c>
      <c r="F2554" s="2" t="s">
        <v>10</v>
      </c>
      <c r="G2554" s="2" t="s">
        <v>11</v>
      </c>
      <c r="H2554" s="2">
        <v>75000000</v>
      </c>
      <c r="I2554" s="2">
        <v>6.3</v>
      </c>
      <c r="J2554" s="3">
        <v>43100000</v>
      </c>
      <c r="K2554">
        <f t="shared" si="86"/>
        <v>1.3775047412552699E-3</v>
      </c>
      <c r="R2554" s="12" t="str">
        <f ca="1">IFERROR(__xludf.DUMMYFUNCTION("""COMPUTED_VALUE"""),"About Last Night ")</f>
        <v>About Last Night </v>
      </c>
      <c r="S2554" s="12">
        <f t="shared" si="87"/>
        <v>-71694963</v>
      </c>
    </row>
    <row r="2555" spans="1:19" x14ac:dyDescent="0.3">
      <c r="A2555" s="2" t="s">
        <v>695</v>
      </c>
      <c r="B2555" s="2">
        <v>93</v>
      </c>
      <c r="C2555" s="3">
        <v>3519627</v>
      </c>
      <c r="D2555" s="3" t="s">
        <v>520</v>
      </c>
      <c r="E2555" s="2" t="s">
        <v>1910</v>
      </c>
      <c r="F2555" s="2" t="s">
        <v>10</v>
      </c>
      <c r="G2555" s="2" t="s">
        <v>11</v>
      </c>
      <c r="H2555" s="2">
        <v>65000000</v>
      </c>
      <c r="I2555" s="2">
        <v>6.3</v>
      </c>
      <c r="J2555" s="3">
        <v>43119879</v>
      </c>
      <c r="K2555">
        <f t="shared" si="86"/>
        <v>1.3775047412552699E-3</v>
      </c>
      <c r="R2555" s="12" t="str">
        <f ca="1">IFERROR(__xludf.DUMMYFUNCTION("""COMPUTED_VALUE"""),"10 Things I Hate About You ")</f>
        <v>10 Things I Hate About You </v>
      </c>
      <c r="S2555" s="12">
        <f t="shared" si="87"/>
        <v>-12571759</v>
      </c>
    </row>
    <row r="2556" spans="1:19" x14ac:dyDescent="0.3">
      <c r="A2556" s="2" t="s">
        <v>3620</v>
      </c>
      <c r="B2556" s="2">
        <v>138</v>
      </c>
      <c r="C2556" s="3">
        <v>2712293</v>
      </c>
      <c r="D2556" s="3" t="s">
        <v>6136</v>
      </c>
      <c r="E2556" s="2" t="s">
        <v>5159</v>
      </c>
      <c r="F2556" s="2" t="s">
        <v>10</v>
      </c>
      <c r="G2556" s="2" t="s">
        <v>11</v>
      </c>
      <c r="H2556" s="2">
        <v>1700000</v>
      </c>
      <c r="I2556" s="2">
        <v>7.5</v>
      </c>
      <c r="J2556" s="3">
        <v>43247140</v>
      </c>
      <c r="K2556">
        <f t="shared" si="86"/>
        <v>1.3775047412552699E-3</v>
      </c>
      <c r="R2556" s="12" t="str">
        <f ca="1">IFERROR(__xludf.DUMMYFUNCTION("""COMPUTED_VALUE"""),"The New Guy ")</f>
        <v>The New Guy </v>
      </c>
      <c r="S2556" s="12">
        <f t="shared" si="87"/>
        <v>-103987266</v>
      </c>
    </row>
    <row r="2557" spans="1:19" x14ac:dyDescent="0.3">
      <c r="A2557" s="2" t="s">
        <v>2109</v>
      </c>
      <c r="B2557" s="2">
        <v>92</v>
      </c>
      <c r="C2557" s="3">
        <v>3562749</v>
      </c>
      <c r="D2557" s="3" t="s">
        <v>520</v>
      </c>
      <c r="E2557" s="2" t="s">
        <v>5543</v>
      </c>
      <c r="F2557" s="2" t="s">
        <v>10</v>
      </c>
      <c r="G2557" s="2" t="s">
        <v>11</v>
      </c>
      <c r="H2557" s="2">
        <v>400000</v>
      </c>
      <c r="I2557" s="2">
        <v>6.9</v>
      </c>
      <c r="J2557" s="3">
        <v>43290977</v>
      </c>
      <c r="K2557">
        <f t="shared" si="86"/>
        <v>1.3775047412552699E-3</v>
      </c>
      <c r="R2557" s="12" t="str">
        <f ca="1">IFERROR(__xludf.DUMMYFUNCTION("""COMPUTED_VALUE"""),"Loaded Weapon 1 ")</f>
        <v>Loaded Weapon 1 </v>
      </c>
      <c r="S2557" s="12">
        <f t="shared" si="87"/>
        <v>11508670</v>
      </c>
    </row>
    <row r="2558" spans="1:19" x14ac:dyDescent="0.3">
      <c r="A2558" s="2" t="s">
        <v>4422</v>
      </c>
      <c r="B2558" s="2">
        <v>97</v>
      </c>
      <c r="C2558" s="3">
        <v>3442820</v>
      </c>
      <c r="D2558" s="3" t="s">
        <v>6041</v>
      </c>
      <c r="E2558" s="2" t="s">
        <v>4423</v>
      </c>
      <c r="F2558" s="2" t="s">
        <v>10</v>
      </c>
      <c r="G2558" s="2" t="s">
        <v>16</v>
      </c>
      <c r="H2558" s="2">
        <v>7000000</v>
      </c>
      <c r="I2558" s="2">
        <v>6.9</v>
      </c>
      <c r="J2558" s="3">
        <v>43337279</v>
      </c>
      <c r="K2558">
        <f t="shared" si="86"/>
        <v>1.3775047412552699E-3</v>
      </c>
      <c r="R2558" s="12" t="str">
        <f ca="1">IFERROR(__xludf.DUMMYFUNCTION("""COMPUTED_VALUE"""),"The Shallows ")</f>
        <v>The Shallows </v>
      </c>
      <c r="S2558" s="12">
        <f t="shared" si="87"/>
        <v>-86771383</v>
      </c>
    </row>
    <row r="2559" spans="1:19" x14ac:dyDescent="0.3">
      <c r="A2559" s="2" t="s">
        <v>2445</v>
      </c>
      <c r="B2559" s="2">
        <v>193</v>
      </c>
      <c r="C2559" s="3">
        <v>1276984</v>
      </c>
      <c r="D2559" s="3" t="s">
        <v>6144</v>
      </c>
      <c r="E2559" s="2" t="s">
        <v>2446</v>
      </c>
      <c r="F2559" s="2" t="s">
        <v>10</v>
      </c>
      <c r="G2559" s="2" t="s">
        <v>11</v>
      </c>
      <c r="H2559" s="2">
        <v>27000000</v>
      </c>
      <c r="I2559" s="2">
        <v>7.9</v>
      </c>
      <c r="J2559" s="3">
        <v>43426961</v>
      </c>
      <c r="K2559">
        <f t="shared" si="86"/>
        <v>1.3775047412552699E-3</v>
      </c>
      <c r="R2559" s="12" t="str">
        <f ca="1">IFERROR(__xludf.DUMMYFUNCTION("""COMPUTED_VALUE"""),"The Butterfly Effect ")</f>
        <v>The Butterfly Effect </v>
      </c>
      <c r="S2559" s="12">
        <f t="shared" si="87"/>
        <v>-19526755</v>
      </c>
    </row>
    <row r="2560" spans="1:19" x14ac:dyDescent="0.3">
      <c r="A2560" s="2" t="s">
        <v>122</v>
      </c>
      <c r="B2560" s="2">
        <v>96</v>
      </c>
      <c r="C2560" s="3">
        <v>63319509</v>
      </c>
      <c r="D2560" s="3" t="s">
        <v>6378</v>
      </c>
      <c r="E2560" s="2" t="s">
        <v>123</v>
      </c>
      <c r="F2560" s="2" t="s">
        <v>10</v>
      </c>
      <c r="G2560" s="2" t="s">
        <v>11</v>
      </c>
      <c r="H2560" s="2">
        <v>175000000</v>
      </c>
      <c r="I2560" s="2">
        <v>8.3000000000000007</v>
      </c>
      <c r="J2560" s="3">
        <v>43490057</v>
      </c>
      <c r="K2560">
        <f t="shared" si="86"/>
        <v>1.3775047412552699E-3</v>
      </c>
      <c r="R2560" s="12" t="str">
        <f ca="1">IFERROR(__xludf.DUMMYFUNCTION("""COMPUTED_VALUE"""),"Snow Day ")</f>
        <v>Snow Day </v>
      </c>
      <c r="S2560" s="12">
        <f t="shared" si="87"/>
        <v>7660147</v>
      </c>
    </row>
    <row r="2561" spans="1:19" x14ac:dyDescent="0.3">
      <c r="A2561" s="2" t="s">
        <v>644</v>
      </c>
      <c r="B2561" s="2">
        <v>109</v>
      </c>
      <c r="C2561" s="3">
        <v>2508841</v>
      </c>
      <c r="D2561" s="3" t="s">
        <v>6136</v>
      </c>
      <c r="E2561" s="2" t="s">
        <v>1957</v>
      </c>
      <c r="F2561" s="2" t="s">
        <v>10</v>
      </c>
      <c r="G2561" s="2" t="s">
        <v>11</v>
      </c>
      <c r="H2561" s="2">
        <v>33000000</v>
      </c>
      <c r="I2561" s="2">
        <v>6.3</v>
      </c>
      <c r="J2561" s="3">
        <v>43532294</v>
      </c>
      <c r="K2561">
        <f t="shared" si="86"/>
        <v>1.3775047412552699E-3</v>
      </c>
      <c r="R2561" s="12" t="str">
        <f ca="1">IFERROR(__xludf.DUMMYFUNCTION("""COMPUTED_VALUE"""),"This Christmas ")</f>
        <v>This Christmas </v>
      </c>
      <c r="S2561" s="12">
        <f t="shared" si="87"/>
        <v>-65245792</v>
      </c>
    </row>
    <row r="2562" spans="1:19" x14ac:dyDescent="0.3">
      <c r="A2562" s="2" t="s">
        <v>1445</v>
      </c>
      <c r="B2562" s="2">
        <v>99</v>
      </c>
      <c r="C2562" s="3">
        <v>2201412</v>
      </c>
      <c r="D2562" s="3" t="s">
        <v>520</v>
      </c>
      <c r="E2562" s="2" t="s">
        <v>1446</v>
      </c>
      <c r="F2562" s="2" t="s">
        <v>10</v>
      </c>
      <c r="G2562" s="2" t="s">
        <v>11</v>
      </c>
      <c r="H2562" s="2">
        <v>50000000</v>
      </c>
      <c r="I2562" s="2">
        <v>5.9</v>
      </c>
      <c r="J2562" s="3">
        <v>43568507</v>
      </c>
      <c r="K2562">
        <f t="shared" ref="K2562:K2625" si="88">CORREL(H$2:H$3941,J$2:J$3941)</f>
        <v>1.3775047412552699E-3</v>
      </c>
      <c r="R2562" s="12" t="str">
        <f ca="1">IFERROR(__xludf.DUMMYFUNCTION("""COMPUTED_VALUE"""),"Baby Geniuses ")</f>
        <v>Baby Geniuses </v>
      </c>
      <c r="S2562" s="12">
        <f t="shared" si="87"/>
        <v>-468496821</v>
      </c>
    </row>
    <row r="2563" spans="1:19" x14ac:dyDescent="0.3">
      <c r="A2563" s="2" t="s">
        <v>738</v>
      </c>
      <c r="B2563" s="2">
        <v>106</v>
      </c>
      <c r="C2563" s="3">
        <v>668171</v>
      </c>
      <c r="D2563" s="3" t="s">
        <v>5849</v>
      </c>
      <c r="E2563" s="2" t="s">
        <v>3886</v>
      </c>
      <c r="F2563" s="2" t="s">
        <v>10</v>
      </c>
      <c r="G2563" s="2" t="s">
        <v>11</v>
      </c>
      <c r="H2563" s="2">
        <v>11000000</v>
      </c>
      <c r="I2563" s="2">
        <v>7.2</v>
      </c>
      <c r="J2563" s="3">
        <v>43575716</v>
      </c>
      <c r="K2563">
        <f t="shared" si="88"/>
        <v>1.3775047412552699E-3</v>
      </c>
      <c r="R2563" s="12" t="str">
        <f ca="1">IFERROR(__xludf.DUMMYFUNCTION("""COMPUTED_VALUE"""),"The Big Hit ")</f>
        <v>The Big Hit </v>
      </c>
      <c r="S2563" s="12">
        <f t="shared" si="87"/>
        <v>-7237822</v>
      </c>
    </row>
    <row r="2564" spans="1:19" x14ac:dyDescent="0.3">
      <c r="A2564" s="2" t="s">
        <v>1391</v>
      </c>
      <c r="B2564" s="2">
        <v>104</v>
      </c>
      <c r="C2564" s="3">
        <v>33200000</v>
      </c>
      <c r="D2564" s="3" t="s">
        <v>6026</v>
      </c>
      <c r="E2564" s="2" t="s">
        <v>1392</v>
      </c>
      <c r="F2564" s="2" t="s">
        <v>10</v>
      </c>
      <c r="G2564" s="2" t="s">
        <v>11</v>
      </c>
      <c r="H2564" s="2">
        <v>55000000</v>
      </c>
      <c r="I2564" s="2">
        <v>5.5</v>
      </c>
      <c r="J2564" s="3">
        <v>43601508</v>
      </c>
      <c r="K2564">
        <f t="shared" si="88"/>
        <v>1.3775047412552699E-3</v>
      </c>
      <c r="R2564" s="12" t="str">
        <f ca="1">IFERROR(__xludf.DUMMYFUNCTION("""COMPUTED_VALUE"""),"Harriet the Spy ")</f>
        <v>Harriet the Spy </v>
      </c>
      <c r="S2564" s="12">
        <f t="shared" si="87"/>
        <v>-4081571</v>
      </c>
    </row>
    <row r="2565" spans="1:19" x14ac:dyDescent="0.3">
      <c r="A2565" s="2" t="s">
        <v>2198</v>
      </c>
      <c r="B2565" s="2">
        <v>99</v>
      </c>
      <c r="C2565" s="3">
        <v>70269171</v>
      </c>
      <c r="D2565" s="3" t="s">
        <v>5849</v>
      </c>
      <c r="E2565" s="2" t="s">
        <v>4534</v>
      </c>
      <c r="F2565" s="2" t="s">
        <v>10</v>
      </c>
      <c r="G2565" s="2" t="s">
        <v>11</v>
      </c>
      <c r="H2565" s="2">
        <v>6000000</v>
      </c>
      <c r="I2565" s="2">
        <v>7</v>
      </c>
      <c r="J2565" s="3">
        <v>43650000</v>
      </c>
      <c r="K2565">
        <f t="shared" si="88"/>
        <v>1.3775047412552699E-3</v>
      </c>
      <c r="R2565" s="12" t="str">
        <f ca="1">IFERROR(__xludf.DUMMYFUNCTION("""COMPUTED_VALUE"""),"Child's Play 2 ")</f>
        <v>Child's Play 2 </v>
      </c>
      <c r="S2565" s="12">
        <f t="shared" si="87"/>
        <v>16563179</v>
      </c>
    </row>
    <row r="2566" spans="1:19" x14ac:dyDescent="0.3">
      <c r="A2566" s="2" t="s">
        <v>2021</v>
      </c>
      <c r="B2566" s="2">
        <v>82</v>
      </c>
      <c r="C2566" s="3">
        <v>53846915</v>
      </c>
      <c r="D2566" s="3" t="s">
        <v>5767</v>
      </c>
      <c r="E2566" s="2" t="s">
        <v>2022</v>
      </c>
      <c r="F2566" s="2" t="s">
        <v>10</v>
      </c>
      <c r="G2566" s="2" t="s">
        <v>11</v>
      </c>
      <c r="H2566" s="2">
        <v>35000000</v>
      </c>
      <c r="I2566" s="2">
        <v>4.5</v>
      </c>
      <c r="J2566" s="3">
        <v>43771291</v>
      </c>
      <c r="K2566">
        <f t="shared" si="88"/>
        <v>1.3775047412552699E-3</v>
      </c>
      <c r="R2566" s="12" t="str">
        <f ca="1">IFERROR(__xludf.DUMMYFUNCTION("""COMPUTED_VALUE"""),"No Good Deed ")</f>
        <v>No Good Deed </v>
      </c>
      <c r="S2566" s="12">
        <f t="shared" si="87"/>
        <v>7087695</v>
      </c>
    </row>
    <row r="2567" spans="1:19" x14ac:dyDescent="0.3">
      <c r="A2567" s="2" t="s">
        <v>4426</v>
      </c>
      <c r="B2567" s="2">
        <v>125</v>
      </c>
      <c r="C2567" s="3">
        <v>13854000</v>
      </c>
      <c r="D2567" s="3" t="s">
        <v>5996</v>
      </c>
      <c r="E2567" s="2" t="s">
        <v>4427</v>
      </c>
      <c r="F2567" s="2" t="s">
        <v>3090</v>
      </c>
      <c r="G2567" s="2" t="s">
        <v>199</v>
      </c>
      <c r="H2567" s="2">
        <v>15000000</v>
      </c>
      <c r="I2567" s="2">
        <v>7.3</v>
      </c>
      <c r="J2567" s="3">
        <v>43792641</v>
      </c>
      <c r="K2567">
        <f t="shared" si="88"/>
        <v>1.3775047412552699E-3</v>
      </c>
      <c r="R2567" s="12" t="str">
        <f ca="1">IFERROR(__xludf.DUMMYFUNCTION("""COMPUTED_VALUE"""),"The Mist ")</f>
        <v>The Mist </v>
      </c>
      <c r="S2567" s="12">
        <f t="shared" si="87"/>
        <v>-22261600</v>
      </c>
    </row>
    <row r="2568" spans="1:19" x14ac:dyDescent="0.3">
      <c r="A2568" s="2" t="s">
        <v>4561</v>
      </c>
      <c r="B2568" s="2">
        <v>116</v>
      </c>
      <c r="C2568" s="3">
        <v>64505912</v>
      </c>
      <c r="D2568" s="3" t="s">
        <v>6251</v>
      </c>
      <c r="E2568" s="2" t="s">
        <v>4562</v>
      </c>
      <c r="F2568" s="2" t="s">
        <v>10</v>
      </c>
      <c r="G2568" s="2" t="s">
        <v>11</v>
      </c>
      <c r="H2568" s="2">
        <v>5500000</v>
      </c>
      <c r="I2568" s="2">
        <v>5.6</v>
      </c>
      <c r="J2568" s="3">
        <v>43800000</v>
      </c>
      <c r="K2568">
        <f t="shared" si="88"/>
        <v>1.3775047412552699E-3</v>
      </c>
      <c r="R2568" s="12" t="str">
        <f ca="1">IFERROR(__xludf.DUMMYFUNCTION("""COMPUTED_VALUE"""),"Ex Machina ")</f>
        <v>Ex Machina </v>
      </c>
      <c r="S2568" s="12">
        <f t="shared" si="87"/>
        <v>1565975</v>
      </c>
    </row>
    <row r="2569" spans="1:19" x14ac:dyDescent="0.3">
      <c r="A2569" s="2" t="s">
        <v>460</v>
      </c>
      <c r="B2569" s="2">
        <v>114</v>
      </c>
      <c r="C2569" s="3">
        <v>33105600</v>
      </c>
      <c r="D2569" s="3" t="s">
        <v>5882</v>
      </c>
      <c r="E2569" s="2" t="s">
        <v>3129</v>
      </c>
      <c r="F2569" s="2" t="s">
        <v>10</v>
      </c>
      <c r="G2569" s="2" t="s">
        <v>11</v>
      </c>
      <c r="H2569" s="2">
        <v>18000000</v>
      </c>
      <c r="I2569" s="2">
        <v>6.9</v>
      </c>
      <c r="J2569" s="3">
        <v>43818159</v>
      </c>
      <c r="K2569">
        <f t="shared" si="88"/>
        <v>1.3775047412552699E-3</v>
      </c>
      <c r="R2569" s="12" t="str">
        <f ca="1">IFERROR(__xludf.DUMMYFUNCTION("""COMPUTED_VALUE"""),"Being John Malkovich ")</f>
        <v>Being John Malkovich </v>
      </c>
      <c r="S2569" s="12">
        <f t="shared" si="87"/>
        <v>-79816875</v>
      </c>
    </row>
    <row r="2570" spans="1:19" x14ac:dyDescent="0.3">
      <c r="A2570" s="2" t="s">
        <v>1310</v>
      </c>
      <c r="B2570" s="2">
        <v>104</v>
      </c>
      <c r="C2570" s="3">
        <v>35537564</v>
      </c>
      <c r="D2570" s="3" t="s">
        <v>5767</v>
      </c>
      <c r="E2570" s="2" t="s">
        <v>1311</v>
      </c>
      <c r="F2570" s="2" t="s">
        <v>10</v>
      </c>
      <c r="G2570" s="2" t="s">
        <v>11</v>
      </c>
      <c r="H2570" s="2">
        <v>52000000</v>
      </c>
      <c r="I2570" s="2">
        <v>5.5</v>
      </c>
      <c r="J2570" s="3">
        <v>43848100</v>
      </c>
      <c r="K2570">
        <f t="shared" si="88"/>
        <v>1.3775047412552699E-3</v>
      </c>
      <c r="R2570" s="12" t="str">
        <f ca="1">IFERROR(__xludf.DUMMYFUNCTION("""COMPUTED_VALUE"""),"Two Can Play That Game ")</f>
        <v>Two Can Play That Game </v>
      </c>
      <c r="S2570" s="12">
        <f t="shared" si="87"/>
        <v>-19494705</v>
      </c>
    </row>
    <row r="2571" spans="1:19" x14ac:dyDescent="0.3">
      <c r="A2571" s="2" t="s">
        <v>183</v>
      </c>
      <c r="B2571" s="2">
        <v>196</v>
      </c>
      <c r="C2571" s="2">
        <v>133228348</v>
      </c>
      <c r="D2571" s="3" t="s">
        <v>351</v>
      </c>
      <c r="E2571" s="2" t="s">
        <v>252</v>
      </c>
      <c r="F2571" s="2" t="s">
        <v>10</v>
      </c>
      <c r="G2571" s="2" t="s">
        <v>11</v>
      </c>
      <c r="H2571" s="2">
        <v>175000000</v>
      </c>
      <c r="I2571" s="2">
        <v>7.2</v>
      </c>
      <c r="J2571" s="3">
        <v>43853424</v>
      </c>
      <c r="K2571">
        <f t="shared" si="88"/>
        <v>1.3775047412552699E-3</v>
      </c>
      <c r="R2571" s="12" t="str">
        <f ca="1">IFERROR(__xludf.DUMMYFUNCTION("""COMPUTED_VALUE"""),"Earth to Echo ")</f>
        <v>Earth to Echo </v>
      </c>
      <c r="S2571" s="12">
        <f t="shared" si="87"/>
        <v>-6247069</v>
      </c>
    </row>
    <row r="2572" spans="1:19" x14ac:dyDescent="0.3">
      <c r="A2572" s="2" t="s">
        <v>1886</v>
      </c>
      <c r="B2572" s="2">
        <v>95</v>
      </c>
      <c r="C2572" s="3">
        <v>13903262</v>
      </c>
      <c r="D2572" s="3" t="s">
        <v>5872</v>
      </c>
      <c r="E2572" s="2" t="s">
        <v>2613</v>
      </c>
      <c r="F2572" s="2" t="s">
        <v>10</v>
      </c>
      <c r="G2572" s="2" t="s">
        <v>11</v>
      </c>
      <c r="H2572" s="2">
        <v>25000000</v>
      </c>
      <c r="I2572" s="2">
        <v>7.3</v>
      </c>
      <c r="J2572" s="3">
        <v>43894863</v>
      </c>
      <c r="K2572">
        <f t="shared" si="88"/>
        <v>1.3775047412552699E-3</v>
      </c>
      <c r="R2572" s="12" t="str">
        <f ca="1">IFERROR(__xludf.DUMMYFUNCTION("""COMPUTED_VALUE"""),"Crazy/Beautiful ")</f>
        <v>Crazy/Beautiful </v>
      </c>
      <c r="S2572" s="12">
        <f t="shared" si="87"/>
        <v>33707719</v>
      </c>
    </row>
    <row r="2573" spans="1:19" x14ac:dyDescent="0.3">
      <c r="A2573" s="2" t="s">
        <v>1138</v>
      </c>
      <c r="B2573" s="2">
        <v>85</v>
      </c>
      <c r="C2573" s="3">
        <v>6754898</v>
      </c>
      <c r="D2573" s="3" t="s">
        <v>6039</v>
      </c>
      <c r="E2573" s="2" t="s">
        <v>1139</v>
      </c>
      <c r="F2573" s="2" t="s">
        <v>10</v>
      </c>
      <c r="G2573" s="2" t="s">
        <v>11</v>
      </c>
      <c r="H2573" s="2">
        <v>60000000</v>
      </c>
      <c r="I2573" s="2">
        <v>6.7</v>
      </c>
      <c r="J2573" s="3">
        <v>43905746</v>
      </c>
      <c r="K2573">
        <f t="shared" si="88"/>
        <v>1.3775047412552699E-3</v>
      </c>
      <c r="R2573" s="12" t="str">
        <f ca="1">IFERROR(__xludf.DUMMYFUNCTION("""COMPUTED_VALUE"""),"Letters from Iwo Jima ")</f>
        <v>Letters from Iwo Jima </v>
      </c>
      <c r="S2573" s="12">
        <f t="shared" si="87"/>
        <v>-8611790</v>
      </c>
    </row>
    <row r="2574" spans="1:19" x14ac:dyDescent="0.3">
      <c r="A2574" s="2" t="s">
        <v>256</v>
      </c>
      <c r="B2574" s="2">
        <v>131</v>
      </c>
      <c r="C2574" s="3">
        <v>141853</v>
      </c>
      <c r="D2574" s="3" t="s">
        <v>6163</v>
      </c>
      <c r="E2574" s="2" t="s">
        <v>2111</v>
      </c>
      <c r="F2574" s="2" t="s">
        <v>10</v>
      </c>
      <c r="G2574" s="2" t="s">
        <v>11</v>
      </c>
      <c r="H2574" s="2">
        <v>32500000</v>
      </c>
      <c r="I2574" s="2">
        <v>6.8</v>
      </c>
      <c r="J2574" s="3">
        <v>43929341</v>
      </c>
      <c r="K2574">
        <f t="shared" si="88"/>
        <v>1.3775047412552699E-3</v>
      </c>
      <c r="R2574" s="12" t="str">
        <f ca="1">IFERROR(__xludf.DUMMYFUNCTION("""COMPUTED_VALUE"""),"The Astronaut Farmer ")</f>
        <v>The Astronaut Farmer </v>
      </c>
      <c r="S2574" s="12">
        <f t="shared" si="87"/>
        <v>-103994022</v>
      </c>
    </row>
    <row r="2575" spans="1:19" x14ac:dyDescent="0.3">
      <c r="A2575" s="2" t="s">
        <v>1136</v>
      </c>
      <c r="B2575" s="2">
        <v>87</v>
      </c>
      <c r="C2575" s="3">
        <v>354704</v>
      </c>
      <c r="D2575" s="3" t="s">
        <v>6198</v>
      </c>
      <c r="E2575" s="2" t="s">
        <v>1137</v>
      </c>
      <c r="F2575" s="2" t="s">
        <v>10</v>
      </c>
      <c r="G2575" s="2" t="s">
        <v>11</v>
      </c>
      <c r="H2575" s="2">
        <v>60000000</v>
      </c>
      <c r="I2575" s="2">
        <v>5.7</v>
      </c>
      <c r="J2575" s="3">
        <v>43982842</v>
      </c>
      <c r="K2575">
        <f t="shared" si="88"/>
        <v>1.3775047412552699E-3</v>
      </c>
      <c r="R2575" s="12" t="str">
        <f ca="1">IFERROR(__xludf.DUMMYFUNCTION("""COMPUTED_VALUE"""),"Woo ")</f>
        <v>Woo </v>
      </c>
      <c r="S2575" s="12">
        <f t="shared" si="87"/>
        <v>14661987</v>
      </c>
    </row>
    <row r="2576" spans="1:19" x14ac:dyDescent="0.3">
      <c r="A2576" s="2" t="s">
        <v>1165</v>
      </c>
      <c r="B2576" s="2">
        <v>97</v>
      </c>
      <c r="C2576" s="3">
        <v>22494487</v>
      </c>
      <c r="D2576" s="3" t="s">
        <v>6191</v>
      </c>
      <c r="E2576" s="2" t="s">
        <v>2741</v>
      </c>
      <c r="F2576" s="2" t="s">
        <v>10</v>
      </c>
      <c r="G2576" s="2" t="s">
        <v>11</v>
      </c>
      <c r="H2576" s="2">
        <v>23000000</v>
      </c>
      <c r="I2576" s="2">
        <v>6.6</v>
      </c>
      <c r="J2576" s="3">
        <v>43984230</v>
      </c>
      <c r="K2576">
        <f t="shared" si="88"/>
        <v>1.3775047412552699E-3</v>
      </c>
      <c r="R2576" s="12" t="str">
        <f ca="1">IFERROR(__xludf.DUMMYFUNCTION("""COMPUTED_VALUE"""),"Room ")</f>
        <v>Room </v>
      </c>
      <c r="S2576" s="12">
        <f t="shared" si="87"/>
        <v>-18183338</v>
      </c>
    </row>
    <row r="2577" spans="1:19" x14ac:dyDescent="0.3">
      <c r="A2577" s="2" t="s">
        <v>5379</v>
      </c>
      <c r="B2577" s="2">
        <v>89</v>
      </c>
      <c r="C2577" s="3">
        <v>42652003</v>
      </c>
      <c r="D2577" s="3" t="s">
        <v>5855</v>
      </c>
      <c r="E2577" s="2" t="s">
        <v>5380</v>
      </c>
      <c r="F2577" s="2" t="s">
        <v>10</v>
      </c>
      <c r="G2577" s="2" t="s">
        <v>11</v>
      </c>
      <c r="H2577" s="2">
        <v>500000</v>
      </c>
      <c r="I2577" s="2">
        <v>5.0999999999999996</v>
      </c>
      <c r="J2577" s="3">
        <v>44134898</v>
      </c>
      <c r="K2577">
        <f t="shared" si="88"/>
        <v>1.3775047412552699E-3</v>
      </c>
      <c r="R2577" s="12" t="str">
        <f ca="1">IFERROR(__xludf.DUMMYFUNCTION("""COMPUTED_VALUE"""),"Dirty Work ")</f>
        <v>Dirty Work </v>
      </c>
      <c r="S2577" s="12">
        <f t="shared" si="87"/>
        <v>-61480373</v>
      </c>
    </row>
    <row r="2578" spans="1:19" x14ac:dyDescent="0.3">
      <c r="A2578" s="2" t="s">
        <v>3495</v>
      </c>
      <c r="B2578" s="2">
        <v>97</v>
      </c>
      <c r="C2578" s="3">
        <v>10499968</v>
      </c>
      <c r="D2578" s="3" t="s">
        <v>5819</v>
      </c>
      <c r="E2578" s="2" t="s">
        <v>3496</v>
      </c>
      <c r="F2578" s="2" t="s">
        <v>10</v>
      </c>
      <c r="G2578" s="2" t="s">
        <v>11</v>
      </c>
      <c r="H2578" s="2">
        <v>15000000</v>
      </c>
      <c r="I2578" s="2">
        <v>6.7</v>
      </c>
      <c r="J2578" s="3">
        <v>44175394</v>
      </c>
      <c r="K2578">
        <f t="shared" si="88"/>
        <v>1.3775047412552699E-3</v>
      </c>
      <c r="R2578" s="12" t="str">
        <f ca="1">IFERROR(__xludf.DUMMYFUNCTION("""COMPUTED_VALUE"""),"Serial Mom ")</f>
        <v>Serial Mom </v>
      </c>
      <c r="S2578" s="12">
        <f t="shared" si="87"/>
        <v>1012293</v>
      </c>
    </row>
    <row r="2579" spans="1:19" x14ac:dyDescent="0.3">
      <c r="A2579" s="2" t="s">
        <v>3860</v>
      </c>
      <c r="B2579" s="2">
        <v>100</v>
      </c>
      <c r="C2579" s="3">
        <v>19480739</v>
      </c>
      <c r="D2579" s="3" t="s">
        <v>6379</v>
      </c>
      <c r="E2579" s="2" t="s">
        <v>3861</v>
      </c>
      <c r="F2579" s="2" t="s">
        <v>10</v>
      </c>
      <c r="G2579" s="2" t="s">
        <v>11</v>
      </c>
      <c r="H2579" s="2">
        <v>12000000</v>
      </c>
      <c r="I2579" s="2">
        <v>7.3</v>
      </c>
      <c r="J2579" s="3">
        <v>44450000</v>
      </c>
      <c r="K2579">
        <f t="shared" si="88"/>
        <v>1.3775047412552699E-3</v>
      </c>
      <c r="R2579" s="12" t="str">
        <f ca="1">IFERROR(__xludf.DUMMYFUNCTION("""COMPUTED_VALUE"""),"Dick ")</f>
        <v>Dick </v>
      </c>
      <c r="S2579" s="12">
        <f t="shared" si="87"/>
        <v>3162749</v>
      </c>
    </row>
    <row r="2580" spans="1:19" x14ac:dyDescent="0.3">
      <c r="A2580" s="2" t="s">
        <v>1087</v>
      </c>
      <c r="B2580" s="2">
        <v>124</v>
      </c>
      <c r="C2580" s="3">
        <v>22466994</v>
      </c>
      <c r="D2580" s="3" t="s">
        <v>6380</v>
      </c>
      <c r="E2580" s="2" t="s">
        <v>1088</v>
      </c>
      <c r="F2580" s="2" t="s">
        <v>10</v>
      </c>
      <c r="G2580" s="2" t="s">
        <v>11</v>
      </c>
      <c r="H2580" s="2">
        <v>60000000</v>
      </c>
      <c r="I2580" s="2">
        <v>6.1</v>
      </c>
      <c r="J2580" s="3">
        <v>44455658</v>
      </c>
      <c r="K2580">
        <f t="shared" si="88"/>
        <v>1.3775047412552699E-3</v>
      </c>
      <c r="R2580" s="12" t="str">
        <f ca="1">IFERROR(__xludf.DUMMYFUNCTION("""COMPUTED_VALUE"""),"Light It Up ")</f>
        <v>Light It Up </v>
      </c>
      <c r="S2580" s="12">
        <f t="shared" si="87"/>
        <v>-3557180</v>
      </c>
    </row>
    <row r="2581" spans="1:19" x14ac:dyDescent="0.3">
      <c r="A2581" s="2" t="s">
        <v>1075</v>
      </c>
      <c r="B2581" s="2">
        <v>107</v>
      </c>
      <c r="C2581" s="3">
        <v>75754670</v>
      </c>
      <c r="D2581" s="3" t="s">
        <v>5857</v>
      </c>
      <c r="E2581" s="2" t="s">
        <v>2715</v>
      </c>
      <c r="F2581" s="2" t="s">
        <v>10</v>
      </c>
      <c r="G2581" s="2" t="s">
        <v>11</v>
      </c>
      <c r="H2581" s="2">
        <v>24000000</v>
      </c>
      <c r="I2581" s="2">
        <v>5.3</v>
      </c>
      <c r="J2581" s="3">
        <v>44456509</v>
      </c>
      <c r="K2581">
        <f t="shared" si="88"/>
        <v>1.3775047412552699E-3</v>
      </c>
      <c r="R2581" s="12" t="str">
        <f ca="1">IFERROR(__xludf.DUMMYFUNCTION("""COMPUTED_VALUE"""),"54 ")</f>
        <v>54 </v>
      </c>
      <c r="S2581" s="12">
        <f t="shared" si="87"/>
        <v>-25723016</v>
      </c>
    </row>
    <row r="2582" spans="1:19" x14ac:dyDescent="0.3">
      <c r="A2582" s="2" t="s">
        <v>2056</v>
      </c>
      <c r="B2582" s="2">
        <v>121</v>
      </c>
      <c r="C2582" s="3">
        <v>35024475</v>
      </c>
      <c r="D2582" s="3" t="s">
        <v>885</v>
      </c>
      <c r="E2582" s="2" t="s">
        <v>2057</v>
      </c>
      <c r="F2582" s="2" t="s">
        <v>10</v>
      </c>
      <c r="G2582" s="2" t="s">
        <v>2058</v>
      </c>
      <c r="H2582" s="2">
        <v>35000000</v>
      </c>
      <c r="I2582" s="2">
        <v>6.4</v>
      </c>
      <c r="J2582" s="3">
        <v>44469602</v>
      </c>
      <c r="K2582">
        <f t="shared" si="88"/>
        <v>1.3775047412552699E-3</v>
      </c>
      <c r="R2582" s="12" t="str">
        <f ca="1">IFERROR(__xludf.DUMMYFUNCTION("""COMPUTED_VALUE"""),"Bubble Boy ")</f>
        <v>Bubble Boy </v>
      </c>
      <c r="S2582" s="12">
        <f t="shared" si="87"/>
        <v>-111680491</v>
      </c>
    </row>
    <row r="2583" spans="1:19" x14ac:dyDescent="0.3">
      <c r="A2583" s="2" t="s">
        <v>1402</v>
      </c>
      <c r="B2583" s="2">
        <v>101</v>
      </c>
      <c r="C2583" s="3">
        <v>6026908</v>
      </c>
      <c r="D2583" s="3" t="s">
        <v>6128</v>
      </c>
      <c r="E2583" s="2" t="s">
        <v>1403</v>
      </c>
      <c r="F2583" s="2" t="s">
        <v>10</v>
      </c>
      <c r="G2583" s="2" t="s">
        <v>11</v>
      </c>
      <c r="H2583" s="2">
        <v>50000000</v>
      </c>
      <c r="I2583" s="2">
        <v>4.4000000000000004</v>
      </c>
      <c r="J2583" s="3">
        <v>44484065</v>
      </c>
      <c r="K2583">
        <f t="shared" si="88"/>
        <v>1.3775047412552699E-3</v>
      </c>
      <c r="R2583" s="12" t="str">
        <f ca="1">IFERROR(__xludf.DUMMYFUNCTION("""COMPUTED_VALUE"""),"Birthday Girl ")</f>
        <v>Birthday Girl </v>
      </c>
      <c r="S2583" s="12">
        <f t="shared" si="87"/>
        <v>-30491159</v>
      </c>
    </row>
    <row r="2584" spans="1:19" x14ac:dyDescent="0.3">
      <c r="A2584" s="2" t="s">
        <v>5487</v>
      </c>
      <c r="B2584" s="2">
        <v>93</v>
      </c>
      <c r="C2584" s="3">
        <v>161487252</v>
      </c>
      <c r="D2584" s="3" t="s">
        <v>6332</v>
      </c>
      <c r="E2584" s="2" t="s">
        <v>5488</v>
      </c>
      <c r="F2584" s="2" t="s">
        <v>10</v>
      </c>
      <c r="G2584" s="2" t="s">
        <v>11</v>
      </c>
      <c r="H2584" s="2">
        <v>500000</v>
      </c>
      <c r="I2584" s="2">
        <v>6.8</v>
      </c>
      <c r="J2584" s="3">
        <v>44540956</v>
      </c>
      <c r="K2584">
        <f t="shared" si="88"/>
        <v>1.3775047412552699E-3</v>
      </c>
      <c r="R2584" s="12" t="str">
        <f ca="1">IFERROR(__xludf.DUMMYFUNCTION("""COMPUTED_VALUE"""),"21 &amp; Over ")</f>
        <v>21 &amp; Over </v>
      </c>
      <c r="S2584" s="12">
        <f t="shared" si="87"/>
        <v>-47798588</v>
      </c>
    </row>
    <row r="2585" spans="1:19" x14ac:dyDescent="0.3">
      <c r="A2585" s="2" t="s">
        <v>1017</v>
      </c>
      <c r="B2585" s="2">
        <v>90</v>
      </c>
      <c r="C2585" s="3">
        <v>84263837</v>
      </c>
      <c r="D2585" s="3" t="s">
        <v>5910</v>
      </c>
      <c r="E2585" s="2" t="s">
        <v>3637</v>
      </c>
      <c r="F2585" s="2" t="s">
        <v>10</v>
      </c>
      <c r="G2585" s="2" t="s">
        <v>11</v>
      </c>
      <c r="H2585" s="2">
        <v>14000000</v>
      </c>
      <c r="I2585" s="2">
        <v>7.7</v>
      </c>
      <c r="J2585" s="3">
        <v>44566004</v>
      </c>
      <c r="K2585">
        <f t="shared" si="88"/>
        <v>1.3775047412552699E-3</v>
      </c>
      <c r="R2585" s="12" t="str">
        <f ca="1">IFERROR(__xludf.DUMMYFUNCTION("""COMPUTED_VALUE"""),"Paris, je t'aime ")</f>
        <v>Paris, je t'aime </v>
      </c>
      <c r="S2585" s="12">
        <f t="shared" ref="S2585:S2648" si="89">C2563-H2563</f>
        <v>-10331829</v>
      </c>
    </row>
    <row r="2586" spans="1:19" x14ac:dyDescent="0.3">
      <c r="A2586" s="2" t="s">
        <v>1113</v>
      </c>
      <c r="B2586" s="2">
        <v>100</v>
      </c>
      <c r="C2586" s="3">
        <v>623374</v>
      </c>
      <c r="D2586" s="3" t="s">
        <v>6148</v>
      </c>
      <c r="E2586" s="2" t="s">
        <v>1114</v>
      </c>
      <c r="F2586" s="2" t="s">
        <v>10</v>
      </c>
      <c r="G2586" s="2" t="s">
        <v>11</v>
      </c>
      <c r="H2586" s="2">
        <v>60000000</v>
      </c>
      <c r="I2586" s="2">
        <v>4.9000000000000004</v>
      </c>
      <c r="J2586" s="3">
        <v>44606335</v>
      </c>
      <c r="K2586">
        <f t="shared" si="88"/>
        <v>1.3775047412552699E-3</v>
      </c>
      <c r="R2586" s="12" t="str">
        <f ca="1">IFERROR(__xludf.DUMMYFUNCTION("""COMPUTED_VALUE"""),"Resurrecting the Champ ")</f>
        <v>Resurrecting the Champ </v>
      </c>
      <c r="S2586" s="12">
        <f t="shared" si="89"/>
        <v>-21800000</v>
      </c>
    </row>
    <row r="2587" spans="1:19" x14ac:dyDescent="0.3">
      <c r="A2587" s="2" t="s">
        <v>581</v>
      </c>
      <c r="B2587" s="2">
        <v>116</v>
      </c>
      <c r="C2587" s="3">
        <v>4105123</v>
      </c>
      <c r="D2587" s="3" t="s">
        <v>5849</v>
      </c>
      <c r="E2587" s="2" t="s">
        <v>3378</v>
      </c>
      <c r="F2587" s="2" t="s">
        <v>10</v>
      </c>
      <c r="G2587" s="2" t="s">
        <v>11</v>
      </c>
      <c r="H2587" s="2">
        <v>22000000</v>
      </c>
      <c r="I2587" s="2">
        <v>7.4</v>
      </c>
      <c r="J2587" s="3">
        <v>44665963</v>
      </c>
      <c r="K2587">
        <f t="shared" si="88"/>
        <v>1.3775047412552699E-3</v>
      </c>
      <c r="R2587" s="12" t="str">
        <f ca="1">IFERROR(__xludf.DUMMYFUNCTION("""COMPUTED_VALUE"""),"Admission ")</f>
        <v>Admission </v>
      </c>
      <c r="S2587" s="12">
        <f t="shared" si="89"/>
        <v>64269171</v>
      </c>
    </row>
    <row r="2588" spans="1:19" x14ac:dyDescent="0.3">
      <c r="A2588" s="2" t="s">
        <v>3114</v>
      </c>
      <c r="B2588" s="2">
        <v>97</v>
      </c>
      <c r="C2588" s="3">
        <v>35887263</v>
      </c>
      <c r="D2588" s="3" t="s">
        <v>6004</v>
      </c>
      <c r="E2588" s="2" t="s">
        <v>3115</v>
      </c>
      <c r="F2588" s="2" t="s">
        <v>10</v>
      </c>
      <c r="G2588" s="2" t="s">
        <v>11</v>
      </c>
      <c r="H2588" s="2">
        <v>23000000</v>
      </c>
      <c r="I2588" s="2">
        <v>6.3</v>
      </c>
      <c r="J2588" s="3">
        <v>44667095</v>
      </c>
      <c r="K2588">
        <f t="shared" si="88"/>
        <v>1.3775047412552699E-3</v>
      </c>
      <c r="R2588" s="12" t="str">
        <f ca="1">IFERROR(__xludf.DUMMYFUNCTION("""COMPUTED_VALUE"""),"The Widow of Saint-Pierre ")</f>
        <v>The Widow of Saint-Pierre </v>
      </c>
      <c r="S2588" s="12">
        <f t="shared" si="89"/>
        <v>18846915</v>
      </c>
    </row>
    <row r="2589" spans="1:19" x14ac:dyDescent="0.3">
      <c r="A2589" s="2" t="s">
        <v>1428</v>
      </c>
      <c r="B2589" s="2">
        <v>119</v>
      </c>
      <c r="C2589" s="2">
        <v>24006726</v>
      </c>
      <c r="D2589" s="3" t="s">
        <v>6381</v>
      </c>
      <c r="E2589" s="2" t="s">
        <v>1429</v>
      </c>
      <c r="F2589" s="2" t="s">
        <v>10</v>
      </c>
      <c r="G2589" s="2" t="s">
        <v>11</v>
      </c>
      <c r="H2589" s="2">
        <v>50000000</v>
      </c>
      <c r="I2589" s="2">
        <v>7.3</v>
      </c>
      <c r="J2589" s="3">
        <v>44700000</v>
      </c>
      <c r="K2589">
        <f t="shared" si="88"/>
        <v>1.3775047412552699E-3</v>
      </c>
      <c r="R2589" s="12" t="str">
        <f ca="1">IFERROR(__xludf.DUMMYFUNCTION("""COMPUTED_VALUE"""),"Chloe ")</f>
        <v>Chloe </v>
      </c>
      <c r="S2589" s="12">
        <f t="shared" si="89"/>
        <v>-1146000</v>
      </c>
    </row>
    <row r="2590" spans="1:19" x14ac:dyDescent="0.3">
      <c r="A2590" s="2" t="s">
        <v>4251</v>
      </c>
      <c r="B2590" s="2">
        <v>90</v>
      </c>
      <c r="C2590" s="3">
        <v>42638165</v>
      </c>
      <c r="D2590" s="3" t="s">
        <v>5767</v>
      </c>
      <c r="E2590" s="2" t="s">
        <v>4252</v>
      </c>
      <c r="F2590" s="2" t="s">
        <v>10</v>
      </c>
      <c r="G2590" s="2" t="s">
        <v>11</v>
      </c>
      <c r="H2590" s="2">
        <v>8000000</v>
      </c>
      <c r="I2590" s="2">
        <v>5.2</v>
      </c>
      <c r="J2590" s="3">
        <v>44726644</v>
      </c>
      <c r="K2590">
        <f t="shared" si="88"/>
        <v>1.3775047412552699E-3</v>
      </c>
      <c r="R2590" s="12" t="str">
        <f ca="1">IFERROR(__xludf.DUMMYFUNCTION("""COMPUTED_VALUE"""),"Faithful ")</f>
        <v>Faithful </v>
      </c>
      <c r="S2590" s="12">
        <f t="shared" si="89"/>
        <v>59005912</v>
      </c>
    </row>
    <row r="2591" spans="1:19" x14ac:dyDescent="0.3">
      <c r="A2591" s="2" t="s">
        <v>3214</v>
      </c>
      <c r="B2591" s="2">
        <v>111</v>
      </c>
      <c r="C2591" s="3">
        <v>6000000</v>
      </c>
      <c r="D2591" s="3" t="s">
        <v>5894</v>
      </c>
      <c r="E2591" s="2" t="s">
        <v>3551</v>
      </c>
      <c r="F2591" s="2" t="s">
        <v>10</v>
      </c>
      <c r="G2591" s="2" t="s">
        <v>11</v>
      </c>
      <c r="H2591" s="2">
        <v>15000000</v>
      </c>
      <c r="I2591" s="2">
        <v>6.5</v>
      </c>
      <c r="J2591" s="3">
        <v>44737059</v>
      </c>
      <c r="K2591">
        <f t="shared" si="88"/>
        <v>1.3775047412552699E-3</v>
      </c>
      <c r="R2591" s="12" t="str">
        <f ca="1">IFERROR(__xludf.DUMMYFUNCTION("""COMPUTED_VALUE"""),"Find Me Guilty ")</f>
        <v>Find Me Guilty </v>
      </c>
      <c r="S2591" s="12">
        <f t="shared" si="89"/>
        <v>15105600</v>
      </c>
    </row>
    <row r="2592" spans="1:19" x14ac:dyDescent="0.3">
      <c r="A2592" s="2" t="s">
        <v>341</v>
      </c>
      <c r="B2592" s="2">
        <v>120</v>
      </c>
      <c r="C2592" s="3">
        <v>75668868</v>
      </c>
      <c r="D2592" s="3" t="s">
        <v>5849</v>
      </c>
      <c r="E2592" s="2" t="s">
        <v>5225</v>
      </c>
      <c r="F2592" s="2" t="s">
        <v>10</v>
      </c>
      <c r="G2592" s="2" t="s">
        <v>16</v>
      </c>
      <c r="H2592" s="2">
        <v>960000</v>
      </c>
      <c r="I2592" s="2">
        <v>8.1999999999999993</v>
      </c>
      <c r="J2592" s="3">
        <v>44793200</v>
      </c>
      <c r="K2592">
        <f t="shared" si="88"/>
        <v>1.3775047412552699E-3</v>
      </c>
      <c r="R2592" s="12" t="str">
        <f ca="1">IFERROR(__xludf.DUMMYFUNCTION("""COMPUTED_VALUE"""),"The Perks of Being a Wallflower ")</f>
        <v>The Perks of Being a Wallflower </v>
      </c>
      <c r="S2592" s="12">
        <f t="shared" si="89"/>
        <v>-16462436</v>
      </c>
    </row>
    <row r="2593" spans="1:19" x14ac:dyDescent="0.3">
      <c r="A2593" s="2" t="s">
        <v>1838</v>
      </c>
      <c r="B2593" s="2">
        <v>110</v>
      </c>
      <c r="C2593" s="3">
        <v>8427204</v>
      </c>
      <c r="D2593" s="3" t="s">
        <v>5773</v>
      </c>
      <c r="E2593" s="2" t="s">
        <v>1421</v>
      </c>
      <c r="F2593" s="2" t="s">
        <v>3760</v>
      </c>
      <c r="G2593" s="2" t="s">
        <v>1840</v>
      </c>
      <c r="H2593" s="2">
        <v>12215500000</v>
      </c>
      <c r="I2593" s="2">
        <v>7</v>
      </c>
      <c r="J2593" s="3">
        <v>44834712</v>
      </c>
      <c r="K2593">
        <f t="shared" si="88"/>
        <v>1.3775047412552699E-3</v>
      </c>
      <c r="R2593" s="12" t="str">
        <f ca="1">IFERROR(__xludf.DUMMYFUNCTION("""COMPUTED_VALUE"""),"Excessive Force ")</f>
        <v>Excessive Force </v>
      </c>
      <c r="S2593" s="12">
        <f t="shared" si="89"/>
        <v>-41771652</v>
      </c>
    </row>
    <row r="2594" spans="1:19" x14ac:dyDescent="0.3">
      <c r="A2594" s="2" t="s">
        <v>3212</v>
      </c>
      <c r="B2594" s="2">
        <v>116</v>
      </c>
      <c r="C2594" s="3">
        <v>13000000</v>
      </c>
      <c r="D2594" s="3" t="s">
        <v>5882</v>
      </c>
      <c r="E2594" s="2" t="s">
        <v>3213</v>
      </c>
      <c r="F2594" s="2" t="s">
        <v>10</v>
      </c>
      <c r="G2594" s="2" t="s">
        <v>98</v>
      </c>
      <c r="H2594" s="2">
        <v>18000000</v>
      </c>
      <c r="I2594" s="2">
        <v>7.1</v>
      </c>
      <c r="J2594" s="3">
        <v>44867349</v>
      </c>
      <c r="K2594">
        <f t="shared" si="88"/>
        <v>1.3775047412552699E-3</v>
      </c>
      <c r="R2594" s="12" t="str">
        <f ca="1">IFERROR(__xludf.DUMMYFUNCTION("""COMPUTED_VALUE"""),"Infamous ")</f>
        <v>Infamous </v>
      </c>
      <c r="S2594" s="12">
        <f t="shared" si="89"/>
        <v>-11096738</v>
      </c>
    </row>
    <row r="2595" spans="1:19" x14ac:dyDescent="0.3">
      <c r="A2595" s="2" t="s">
        <v>4398</v>
      </c>
      <c r="B2595" s="2">
        <v>103</v>
      </c>
      <c r="C2595" s="3">
        <v>37766350</v>
      </c>
      <c r="D2595" s="3" t="s">
        <v>5962</v>
      </c>
      <c r="E2595" s="2" t="s">
        <v>4691</v>
      </c>
      <c r="F2595" s="2" t="s">
        <v>10</v>
      </c>
      <c r="G2595" s="2" t="s">
        <v>11</v>
      </c>
      <c r="H2595" s="2">
        <v>5000000</v>
      </c>
      <c r="I2595" s="2">
        <v>6.8</v>
      </c>
      <c r="J2595" s="3">
        <v>44886089</v>
      </c>
      <c r="K2595">
        <f t="shared" si="88"/>
        <v>1.3775047412552699E-3</v>
      </c>
      <c r="R2595" s="12" t="str">
        <f ca="1">IFERROR(__xludf.DUMMYFUNCTION("""COMPUTED_VALUE"""),"The Claim ")</f>
        <v>The Claim </v>
      </c>
      <c r="S2595" s="12">
        <f t="shared" si="89"/>
        <v>-53245102</v>
      </c>
    </row>
    <row r="2596" spans="1:19" x14ac:dyDescent="0.3">
      <c r="A2596" s="2" t="s">
        <v>1441</v>
      </c>
      <c r="B2596" s="2">
        <v>117</v>
      </c>
      <c r="C2596" s="3">
        <v>16295774</v>
      </c>
      <c r="D2596" s="3" t="s">
        <v>5852</v>
      </c>
      <c r="E2596" s="2" t="s">
        <v>1763</v>
      </c>
      <c r="F2596" s="2" t="s">
        <v>10</v>
      </c>
      <c r="G2596" s="2" t="s">
        <v>11</v>
      </c>
      <c r="H2596" s="2">
        <v>40000000</v>
      </c>
      <c r="I2596" s="2">
        <v>5</v>
      </c>
      <c r="J2596" s="3">
        <v>44983704</v>
      </c>
      <c r="K2596">
        <f t="shared" si="88"/>
        <v>1.3775047412552699E-3</v>
      </c>
      <c r="R2596" s="12" t="str">
        <f ca="1">IFERROR(__xludf.DUMMYFUNCTION("""COMPUTED_VALUE"""),"The Vatican Tapes ")</f>
        <v>The Vatican Tapes </v>
      </c>
      <c r="S2596" s="12">
        <f t="shared" si="89"/>
        <v>-32358147</v>
      </c>
    </row>
    <row r="2597" spans="1:19" x14ac:dyDescent="0.3">
      <c r="A2597" s="2" t="s">
        <v>954</v>
      </c>
      <c r="B2597" s="2">
        <v>104</v>
      </c>
      <c r="C2597" s="3">
        <v>28637507</v>
      </c>
      <c r="D2597" s="3" t="s">
        <v>6382</v>
      </c>
      <c r="E2597" s="2" t="s">
        <v>955</v>
      </c>
      <c r="F2597" s="2" t="s">
        <v>10</v>
      </c>
      <c r="G2597" s="2" t="s">
        <v>11</v>
      </c>
      <c r="H2597" s="2">
        <v>60000000</v>
      </c>
      <c r="I2597" s="2">
        <v>5.5</v>
      </c>
      <c r="J2597" s="3">
        <v>44988180</v>
      </c>
      <c r="K2597">
        <f t="shared" si="88"/>
        <v>1.3775047412552699E-3</v>
      </c>
      <c r="R2597" s="12" t="str">
        <f ca="1">IFERROR(__xludf.DUMMYFUNCTION("""COMPUTED_VALUE"""),"Attack the Block ")</f>
        <v>Attack the Block </v>
      </c>
      <c r="S2597" s="12">
        <f t="shared" si="89"/>
        <v>-59645296</v>
      </c>
    </row>
    <row r="2598" spans="1:19" x14ac:dyDescent="0.3">
      <c r="A2598" s="2" t="s">
        <v>3263</v>
      </c>
      <c r="B2598" s="2">
        <v>89</v>
      </c>
      <c r="C2598" s="3">
        <v>2122561</v>
      </c>
      <c r="D2598" s="3" t="s">
        <v>1703</v>
      </c>
      <c r="E2598" s="2" t="s">
        <v>3264</v>
      </c>
      <c r="F2598" s="2" t="s">
        <v>10</v>
      </c>
      <c r="G2598" s="2" t="s">
        <v>11</v>
      </c>
      <c r="H2598" s="2">
        <v>17000000</v>
      </c>
      <c r="I2598" s="2">
        <v>4.8</v>
      </c>
      <c r="J2598" s="3">
        <v>45045037</v>
      </c>
      <c r="K2598">
        <f t="shared" si="88"/>
        <v>1.3775047412552699E-3</v>
      </c>
      <c r="R2598" s="12" t="str">
        <f ca="1">IFERROR(__xludf.DUMMYFUNCTION("""COMPUTED_VALUE"""),"In the Land of Blood and Honey ")</f>
        <v>In the Land of Blood and Honey </v>
      </c>
      <c r="S2598" s="12">
        <f t="shared" si="89"/>
        <v>-505513</v>
      </c>
    </row>
    <row r="2599" spans="1:19" x14ac:dyDescent="0.3">
      <c r="A2599" s="2" t="s">
        <v>913</v>
      </c>
      <c r="B2599" s="2">
        <v>106</v>
      </c>
      <c r="C2599" s="3">
        <v>60072596</v>
      </c>
      <c r="D2599" s="3" t="s">
        <v>5881</v>
      </c>
      <c r="E2599" s="2" t="s">
        <v>914</v>
      </c>
      <c r="F2599" s="2" t="s">
        <v>10</v>
      </c>
      <c r="G2599" s="2" t="s">
        <v>11</v>
      </c>
      <c r="H2599" s="2">
        <v>70000000</v>
      </c>
      <c r="I2599" s="2">
        <v>6.1</v>
      </c>
      <c r="J2599" s="3">
        <v>45063889</v>
      </c>
      <c r="K2599">
        <f t="shared" si="88"/>
        <v>1.3775047412552699E-3</v>
      </c>
      <c r="R2599" s="12" t="str">
        <f ca="1">IFERROR(__xludf.DUMMYFUNCTION("""COMPUTED_VALUE"""),"The Call ")</f>
        <v>The Call </v>
      </c>
      <c r="S2599" s="12">
        <f t="shared" si="89"/>
        <v>42152003</v>
      </c>
    </row>
    <row r="2600" spans="1:19" x14ac:dyDescent="0.3">
      <c r="A2600" s="2" t="s">
        <v>2042</v>
      </c>
      <c r="B2600" s="2">
        <v>91</v>
      </c>
      <c r="C2600" s="3">
        <v>22770864</v>
      </c>
      <c r="D2600" s="3" t="s">
        <v>520</v>
      </c>
      <c r="E2600" s="2" t="s">
        <v>2043</v>
      </c>
      <c r="F2600" s="2" t="s">
        <v>10</v>
      </c>
      <c r="G2600" s="2" t="s">
        <v>2044</v>
      </c>
      <c r="H2600" s="2">
        <v>35000000</v>
      </c>
      <c r="I2600" s="2">
        <v>4.8</v>
      </c>
      <c r="J2600" s="3">
        <v>45089048</v>
      </c>
      <c r="K2600">
        <f t="shared" si="88"/>
        <v>1.3775047412552699E-3</v>
      </c>
      <c r="R2600" s="12" t="str">
        <f ca="1">IFERROR(__xludf.DUMMYFUNCTION("""COMPUTED_VALUE"""),"Operation Chromite ")</f>
        <v>Operation Chromite </v>
      </c>
      <c r="S2600" s="12">
        <f t="shared" si="89"/>
        <v>-4500032</v>
      </c>
    </row>
    <row r="2601" spans="1:19" x14ac:dyDescent="0.3">
      <c r="A2601" s="2" t="s">
        <v>4430</v>
      </c>
      <c r="B2601" s="2">
        <v>101</v>
      </c>
      <c r="C2601" s="3">
        <v>19548064</v>
      </c>
      <c r="D2601" s="3" t="s">
        <v>6383</v>
      </c>
      <c r="E2601" s="2" t="s">
        <v>4431</v>
      </c>
      <c r="F2601" s="2" t="s">
        <v>10</v>
      </c>
      <c r="G2601" s="2" t="s">
        <v>11</v>
      </c>
      <c r="H2601" s="2">
        <v>6800000</v>
      </c>
      <c r="I2601" s="2">
        <v>6.4</v>
      </c>
      <c r="J2601" s="3">
        <v>45162741</v>
      </c>
      <c r="K2601">
        <f t="shared" si="88"/>
        <v>1.3775047412552699E-3</v>
      </c>
      <c r="R2601" s="12" t="str">
        <f ca="1">IFERROR(__xludf.DUMMYFUNCTION("""COMPUTED_VALUE"""),"The Crocodile Hunter: Collision Course ")</f>
        <v>The Crocodile Hunter: Collision Course </v>
      </c>
      <c r="S2601" s="12">
        <f t="shared" si="89"/>
        <v>7480739</v>
      </c>
    </row>
    <row r="2602" spans="1:19" x14ac:dyDescent="0.3">
      <c r="A2602" s="2" t="s">
        <v>3175</v>
      </c>
      <c r="B2602" s="2">
        <v>111</v>
      </c>
      <c r="C2602" s="3">
        <v>5002310</v>
      </c>
      <c r="D2602" s="3" t="s">
        <v>6384</v>
      </c>
      <c r="E2602" s="2" t="s">
        <v>3439</v>
      </c>
      <c r="F2602" s="2" t="s">
        <v>10</v>
      </c>
      <c r="G2602" s="2" t="s">
        <v>11</v>
      </c>
      <c r="H2602" s="2">
        <v>15000000</v>
      </c>
      <c r="I2602" s="2">
        <v>6</v>
      </c>
      <c r="J2602" s="3">
        <v>45207112</v>
      </c>
      <c r="K2602">
        <f t="shared" si="88"/>
        <v>1.3775047412552699E-3</v>
      </c>
      <c r="R2602" s="12" t="str">
        <f ca="1">IFERROR(__xludf.DUMMYFUNCTION("""COMPUTED_VALUE"""),"I Love You Phillip Morris ")</f>
        <v>I Love You Phillip Morris </v>
      </c>
      <c r="S2602" s="12">
        <f t="shared" si="89"/>
        <v>-37533006</v>
      </c>
    </row>
    <row r="2603" spans="1:19" x14ac:dyDescent="0.3">
      <c r="A2603" s="2" t="s">
        <v>254</v>
      </c>
      <c r="B2603" s="2">
        <v>133</v>
      </c>
      <c r="C2603" s="3">
        <v>8888355</v>
      </c>
      <c r="D2603" s="3" t="s">
        <v>5869</v>
      </c>
      <c r="E2603" s="2" t="s">
        <v>255</v>
      </c>
      <c r="F2603" s="2" t="s">
        <v>10</v>
      </c>
      <c r="G2603" s="2" t="s">
        <v>16</v>
      </c>
      <c r="H2603" s="2">
        <v>142000000</v>
      </c>
      <c r="I2603" s="2">
        <v>6.1</v>
      </c>
      <c r="J2603" s="3">
        <v>45290318</v>
      </c>
      <c r="K2603">
        <f t="shared" si="88"/>
        <v>1.3775047412552699E-3</v>
      </c>
      <c r="R2603" s="12" t="str">
        <f ca="1">IFERROR(__xludf.DUMMYFUNCTION("""COMPUTED_VALUE"""),"Antwone Fisher ")</f>
        <v>Antwone Fisher </v>
      </c>
      <c r="S2603" s="12">
        <f t="shared" si="89"/>
        <v>51754670</v>
      </c>
    </row>
    <row r="2604" spans="1:19" x14ac:dyDescent="0.3">
      <c r="A2604" s="2" t="s">
        <v>2759</v>
      </c>
      <c r="B2604" s="2">
        <v>114</v>
      </c>
      <c r="C2604" s="3">
        <v>1000000</v>
      </c>
      <c r="D2604" s="3" t="s">
        <v>5940</v>
      </c>
      <c r="E2604" s="2" t="s">
        <v>5249</v>
      </c>
      <c r="F2604" s="2" t="s">
        <v>3944</v>
      </c>
      <c r="G2604" s="2" t="s">
        <v>1845</v>
      </c>
      <c r="H2604" s="2">
        <v>7000000</v>
      </c>
      <c r="I2604" s="2">
        <v>7.4</v>
      </c>
      <c r="J2604" s="3">
        <v>45356386</v>
      </c>
      <c r="K2604">
        <f t="shared" si="88"/>
        <v>1.3775047412552699E-3</v>
      </c>
      <c r="R2604" s="12" t="str">
        <f ca="1">IFERROR(__xludf.DUMMYFUNCTION("""COMPUTED_VALUE"""),"The Emperor's Club ")</f>
        <v>The Emperor's Club </v>
      </c>
      <c r="S2604" s="12">
        <f t="shared" si="89"/>
        <v>24475</v>
      </c>
    </row>
    <row r="2605" spans="1:19" x14ac:dyDescent="0.3">
      <c r="A2605" s="2" t="s">
        <v>2257</v>
      </c>
      <c r="B2605" s="2">
        <v>98</v>
      </c>
      <c r="C2605" s="3">
        <v>1281176</v>
      </c>
      <c r="D2605" s="3" t="s">
        <v>5755</v>
      </c>
      <c r="E2605" s="2" t="s">
        <v>2258</v>
      </c>
      <c r="F2605" s="2" t="s">
        <v>10</v>
      </c>
      <c r="G2605" s="2" t="s">
        <v>11</v>
      </c>
      <c r="H2605" s="2">
        <v>30000000</v>
      </c>
      <c r="I2605" s="2">
        <v>6.1</v>
      </c>
      <c r="J2605" s="3">
        <v>45434443</v>
      </c>
      <c r="K2605">
        <f t="shared" si="88"/>
        <v>1.3775047412552699E-3</v>
      </c>
      <c r="R2605" s="12" t="str">
        <f ca="1">IFERROR(__xludf.DUMMYFUNCTION("""COMPUTED_VALUE"""),"True Romance ")</f>
        <v>True Romance </v>
      </c>
      <c r="S2605" s="12">
        <f t="shared" si="89"/>
        <v>-43973092</v>
      </c>
    </row>
    <row r="2606" spans="1:19" x14ac:dyDescent="0.3">
      <c r="A2606" s="2" t="s">
        <v>385</v>
      </c>
      <c r="B2606" s="2">
        <v>81</v>
      </c>
      <c r="C2606" s="3">
        <v>21200000</v>
      </c>
      <c r="D2606" s="3" t="s">
        <v>520</v>
      </c>
      <c r="E2606" s="2" t="s">
        <v>1927</v>
      </c>
      <c r="F2606" s="2" t="s">
        <v>10</v>
      </c>
      <c r="G2606" s="2" t="s">
        <v>11</v>
      </c>
      <c r="H2606" s="2">
        <v>37000000</v>
      </c>
      <c r="I2606" s="2">
        <v>4.5</v>
      </c>
      <c r="J2606" s="3">
        <v>45489752</v>
      </c>
      <c r="K2606">
        <f t="shared" si="88"/>
        <v>1.3775047412552699E-3</v>
      </c>
      <c r="R2606" s="12" t="str">
        <f ca="1">IFERROR(__xludf.DUMMYFUNCTION("""COMPUTED_VALUE"""),"Glengarry Glen Ross ")</f>
        <v>Glengarry Glen Ross </v>
      </c>
      <c r="S2606" s="12">
        <f t="shared" si="89"/>
        <v>160987252</v>
      </c>
    </row>
    <row r="2607" spans="1:19" x14ac:dyDescent="0.3">
      <c r="A2607" s="2" t="s">
        <v>5404</v>
      </c>
      <c r="B2607" s="2">
        <v>83</v>
      </c>
      <c r="C2607" s="3">
        <v>10515579</v>
      </c>
      <c r="D2607" s="3" t="s">
        <v>5969</v>
      </c>
      <c r="E2607" s="2" t="s">
        <v>5405</v>
      </c>
      <c r="F2607" s="2" t="s">
        <v>10</v>
      </c>
      <c r="G2607" s="2" t="s">
        <v>11</v>
      </c>
      <c r="H2607" s="2">
        <v>913000</v>
      </c>
      <c r="I2607" s="2">
        <v>7.1</v>
      </c>
      <c r="J2607" s="3">
        <v>45500797</v>
      </c>
      <c r="K2607">
        <f t="shared" si="88"/>
        <v>1.3775047412552699E-3</v>
      </c>
      <c r="R2607" s="12" t="str">
        <f ca="1">IFERROR(__xludf.DUMMYFUNCTION("""COMPUTED_VALUE"""),"The Killer Inside Me ")</f>
        <v>The Killer Inside Me </v>
      </c>
      <c r="S2607" s="12">
        <f t="shared" si="89"/>
        <v>70263837</v>
      </c>
    </row>
    <row r="2608" spans="1:19" x14ac:dyDescent="0.3">
      <c r="A2608" s="2" t="s">
        <v>197</v>
      </c>
      <c r="B2608" s="2">
        <v>120</v>
      </c>
      <c r="C2608" s="3">
        <v>21133087</v>
      </c>
      <c r="D2608" s="3" t="s">
        <v>6100</v>
      </c>
      <c r="E2608" s="2" t="s">
        <v>4471</v>
      </c>
      <c r="F2608" s="2" t="s">
        <v>10</v>
      </c>
      <c r="G2608" s="2" t="s">
        <v>16</v>
      </c>
      <c r="H2608" s="2">
        <v>6000000</v>
      </c>
      <c r="I2608" s="2">
        <v>8.1</v>
      </c>
      <c r="J2608" s="3">
        <v>45506619</v>
      </c>
      <c r="K2608">
        <f t="shared" si="88"/>
        <v>1.3775047412552699E-3</v>
      </c>
      <c r="R2608" s="12" t="str">
        <f ca="1">IFERROR(__xludf.DUMMYFUNCTION("""COMPUTED_VALUE"""),"Sorority Row ")</f>
        <v>Sorority Row </v>
      </c>
      <c r="S2608" s="12">
        <f t="shared" si="89"/>
        <v>-59376626</v>
      </c>
    </row>
    <row r="2609" spans="1:19" x14ac:dyDescent="0.3">
      <c r="A2609" s="2" t="s">
        <v>238</v>
      </c>
      <c r="B2609" s="2">
        <v>90</v>
      </c>
      <c r="C2609" s="3">
        <v>35927406</v>
      </c>
      <c r="D2609" s="3" t="s">
        <v>6385</v>
      </c>
      <c r="E2609" s="2" t="s">
        <v>239</v>
      </c>
      <c r="F2609" s="2" t="s">
        <v>10</v>
      </c>
      <c r="G2609" s="2" t="s">
        <v>11</v>
      </c>
      <c r="H2609" s="2">
        <v>150000000</v>
      </c>
      <c r="I2609" s="2">
        <v>7.3</v>
      </c>
      <c r="J2609" s="3">
        <v>45507053</v>
      </c>
      <c r="K2609">
        <f t="shared" si="88"/>
        <v>1.3775047412552699E-3</v>
      </c>
      <c r="R2609" s="12" t="str">
        <f ca="1">IFERROR(__xludf.DUMMYFUNCTION("""COMPUTED_VALUE"""),"Lars and the Real Girl ")</f>
        <v>Lars and the Real Girl </v>
      </c>
      <c r="S2609" s="12">
        <f t="shared" si="89"/>
        <v>-17894877</v>
      </c>
    </row>
    <row r="2610" spans="1:19" x14ac:dyDescent="0.3">
      <c r="A2610" s="2" t="s">
        <v>3444</v>
      </c>
      <c r="B2610" s="2">
        <v>116</v>
      </c>
      <c r="C2610" s="3">
        <v>28535768</v>
      </c>
      <c r="D2610" s="3" t="s">
        <v>6386</v>
      </c>
      <c r="E2610" s="2" t="s">
        <v>4380</v>
      </c>
      <c r="F2610" s="2" t="s">
        <v>10</v>
      </c>
      <c r="G2610" s="2" t="s">
        <v>11</v>
      </c>
      <c r="H2610" s="2">
        <v>7000000</v>
      </c>
      <c r="I2610" s="2">
        <v>6.9</v>
      </c>
      <c r="J2610" s="3">
        <v>45542421</v>
      </c>
      <c r="K2610">
        <f t="shared" si="88"/>
        <v>1.3775047412552699E-3</v>
      </c>
      <c r="R2610" s="12" t="str">
        <f ca="1">IFERROR(__xludf.DUMMYFUNCTION("""COMPUTED_VALUE"""),"The Boy in the Striped Pajamas ")</f>
        <v>The Boy in the Striped Pajamas </v>
      </c>
      <c r="S2610" s="12">
        <f t="shared" si="89"/>
        <v>12887263</v>
      </c>
    </row>
    <row r="2611" spans="1:19" x14ac:dyDescent="0.3">
      <c r="A2611" s="2" t="s">
        <v>5475</v>
      </c>
      <c r="B2611" s="2">
        <v>97</v>
      </c>
      <c r="C2611" s="3">
        <v>17324744</v>
      </c>
      <c r="D2611" s="3" t="s">
        <v>6387</v>
      </c>
      <c r="E2611" s="2" t="s">
        <v>5476</v>
      </c>
      <c r="F2611" s="2" t="s">
        <v>10</v>
      </c>
      <c r="G2611" s="2" t="s">
        <v>11</v>
      </c>
      <c r="H2611" s="2">
        <v>500000</v>
      </c>
      <c r="I2611" s="2">
        <v>5.9</v>
      </c>
      <c r="J2611" s="3">
        <v>45645204</v>
      </c>
      <c r="K2611">
        <f t="shared" si="88"/>
        <v>1.3775047412552699E-3</v>
      </c>
      <c r="R2611" s="12" t="str">
        <f ca="1">IFERROR(__xludf.DUMMYFUNCTION("""COMPUTED_VALUE"""),"Dancer in the Dark ")</f>
        <v>Dancer in the Dark </v>
      </c>
      <c r="S2611" s="12">
        <f t="shared" si="89"/>
        <v>-25993274</v>
      </c>
    </row>
    <row r="2612" spans="1:19" x14ac:dyDescent="0.3">
      <c r="A2612" s="2" t="s">
        <v>1113</v>
      </c>
      <c r="B2612" s="2">
        <v>103</v>
      </c>
      <c r="C2612" s="3">
        <v>34912982</v>
      </c>
      <c r="D2612" s="3" t="s">
        <v>5855</v>
      </c>
      <c r="E2612" s="2" t="s">
        <v>2186</v>
      </c>
      <c r="F2612" s="2" t="s">
        <v>10</v>
      </c>
      <c r="G2612" s="2" t="s">
        <v>11</v>
      </c>
      <c r="H2612" s="2">
        <v>30000000</v>
      </c>
      <c r="I2612" s="2">
        <v>6.7</v>
      </c>
      <c r="J2612" s="3">
        <v>45670855</v>
      </c>
      <c r="K2612">
        <f t="shared" si="88"/>
        <v>1.3775047412552699E-3</v>
      </c>
      <c r="R2612" s="12" t="str">
        <f ca="1">IFERROR(__xludf.DUMMYFUNCTION("""COMPUTED_VALUE"""),"Oscar and Lucinda ")</f>
        <v>Oscar and Lucinda </v>
      </c>
      <c r="S2612" s="12">
        <f t="shared" si="89"/>
        <v>34638165</v>
      </c>
    </row>
    <row r="2613" spans="1:19" x14ac:dyDescent="0.3">
      <c r="A2613" s="2" t="s">
        <v>3573</v>
      </c>
      <c r="B2613" s="2">
        <v>115</v>
      </c>
      <c r="C2613" s="3">
        <v>13838130</v>
      </c>
      <c r="D2613" s="3" t="s">
        <v>6046</v>
      </c>
      <c r="E2613" s="2" t="s">
        <v>3574</v>
      </c>
      <c r="F2613" s="2" t="s">
        <v>10</v>
      </c>
      <c r="G2613" s="2" t="s">
        <v>11</v>
      </c>
      <c r="H2613" s="2">
        <v>14800000</v>
      </c>
      <c r="I2613" s="2">
        <v>5.7</v>
      </c>
      <c r="J2613" s="3">
        <v>45802315</v>
      </c>
      <c r="K2613">
        <f t="shared" si="88"/>
        <v>1.3775047412552699E-3</v>
      </c>
      <c r="R2613" s="12" t="str">
        <f ca="1">IFERROR(__xludf.DUMMYFUNCTION("""COMPUTED_VALUE"""),"The Funeral ")</f>
        <v>The Funeral </v>
      </c>
      <c r="S2613" s="12">
        <f t="shared" si="89"/>
        <v>-9000000</v>
      </c>
    </row>
    <row r="2614" spans="1:19" x14ac:dyDescent="0.3">
      <c r="A2614" s="2" t="s">
        <v>5459</v>
      </c>
      <c r="B2614" s="2">
        <v>215</v>
      </c>
      <c r="C2614" s="3">
        <v>10494147</v>
      </c>
      <c r="D2614" s="3" t="s">
        <v>5950</v>
      </c>
      <c r="E2614" s="2" t="s">
        <v>5460</v>
      </c>
      <c r="F2614" s="2" t="s">
        <v>10</v>
      </c>
      <c r="G2614" s="2" t="s">
        <v>11</v>
      </c>
      <c r="H2614" s="2">
        <v>600000</v>
      </c>
      <c r="I2614" s="2">
        <v>8.1</v>
      </c>
      <c r="J2614" s="3">
        <v>45856732</v>
      </c>
      <c r="K2614">
        <f t="shared" si="88"/>
        <v>1.3775047412552699E-3</v>
      </c>
      <c r="R2614" s="12" t="str">
        <f ca="1">IFERROR(__xludf.DUMMYFUNCTION("""COMPUTED_VALUE"""),"Solitary Man ")</f>
        <v>Solitary Man </v>
      </c>
      <c r="S2614" s="12">
        <f t="shared" si="89"/>
        <v>74708868</v>
      </c>
    </row>
    <row r="2615" spans="1:19" x14ac:dyDescent="0.3">
      <c r="A2615" s="2" t="s">
        <v>623</v>
      </c>
      <c r="B2615" s="2">
        <v>128</v>
      </c>
      <c r="C2615" s="3">
        <v>91038276</v>
      </c>
      <c r="D2615" s="3" t="s">
        <v>5963</v>
      </c>
      <c r="E2615" s="2" t="s">
        <v>678</v>
      </c>
      <c r="F2615" s="2" t="s">
        <v>10</v>
      </c>
      <c r="G2615" s="2" t="s">
        <v>11</v>
      </c>
      <c r="H2615" s="2">
        <v>80000000</v>
      </c>
      <c r="I2615" s="2">
        <v>6.7</v>
      </c>
      <c r="J2615" s="3">
        <v>45857453</v>
      </c>
      <c r="K2615">
        <f t="shared" si="88"/>
        <v>1.3775047412552699E-3</v>
      </c>
      <c r="R2615" s="12" t="str">
        <f ca="1">IFERROR(__xludf.DUMMYFUNCTION("""COMPUTED_VALUE"""),"Machete ")</f>
        <v>Machete </v>
      </c>
      <c r="S2615" s="12">
        <f t="shared" si="89"/>
        <v>-12207072796</v>
      </c>
    </row>
    <row r="2616" spans="1:19" x14ac:dyDescent="0.3">
      <c r="A2616" s="2" t="s">
        <v>2689</v>
      </c>
      <c r="B2616" s="2">
        <v>105</v>
      </c>
      <c r="C2616" s="3">
        <v>4234040</v>
      </c>
      <c r="D2616" s="3" t="s">
        <v>6388</v>
      </c>
      <c r="E2616" s="2" t="s">
        <v>3133</v>
      </c>
      <c r="F2616" s="2" t="s">
        <v>10</v>
      </c>
      <c r="G2616" s="2" t="s">
        <v>11</v>
      </c>
      <c r="H2616" s="2">
        <v>17000000</v>
      </c>
      <c r="I2616" s="2">
        <v>6.6</v>
      </c>
      <c r="J2616" s="3">
        <v>45860039</v>
      </c>
      <c r="K2616">
        <f t="shared" si="88"/>
        <v>1.3775047412552699E-3</v>
      </c>
      <c r="R2616" s="12" t="str">
        <f ca="1">IFERROR(__xludf.DUMMYFUNCTION("""COMPUTED_VALUE"""),"Casino Jack ")</f>
        <v>Casino Jack </v>
      </c>
      <c r="S2616" s="12">
        <f t="shared" si="89"/>
        <v>-5000000</v>
      </c>
    </row>
    <row r="2617" spans="1:19" x14ac:dyDescent="0.3">
      <c r="A2617" s="2" t="s">
        <v>821</v>
      </c>
      <c r="B2617" s="2">
        <v>118</v>
      </c>
      <c r="C2617" s="3">
        <v>3432342</v>
      </c>
      <c r="D2617" s="3" t="s">
        <v>5940</v>
      </c>
      <c r="E2617" s="2" t="s">
        <v>3513</v>
      </c>
      <c r="F2617" s="2" t="s">
        <v>10</v>
      </c>
      <c r="G2617" s="2" t="s">
        <v>11</v>
      </c>
      <c r="H2617" s="2">
        <v>15000000</v>
      </c>
      <c r="I2617" s="2">
        <v>6.6</v>
      </c>
      <c r="J2617" s="3">
        <v>45996718</v>
      </c>
      <c r="K2617">
        <f t="shared" si="88"/>
        <v>1.3775047412552699E-3</v>
      </c>
      <c r="R2617" s="12" t="str">
        <f ca="1">IFERROR(__xludf.DUMMYFUNCTION("""COMPUTED_VALUE"""),"The Land Before Time ")</f>
        <v>The Land Before Time </v>
      </c>
      <c r="S2617" s="12">
        <f t="shared" si="89"/>
        <v>32766350</v>
      </c>
    </row>
    <row r="2618" spans="1:19" x14ac:dyDescent="0.3">
      <c r="A2618" s="2" t="s">
        <v>1962</v>
      </c>
      <c r="B2618" s="2">
        <v>108</v>
      </c>
      <c r="C2618" s="3">
        <v>10443316</v>
      </c>
      <c r="D2618" s="3" t="s">
        <v>5818</v>
      </c>
      <c r="E2618" s="2" t="s">
        <v>3261</v>
      </c>
      <c r="F2618" s="2" t="s">
        <v>10</v>
      </c>
      <c r="G2618" s="2" t="s">
        <v>11</v>
      </c>
      <c r="H2618" s="2">
        <v>34000000</v>
      </c>
      <c r="I2618" s="2">
        <v>4.9000000000000004</v>
      </c>
      <c r="J2618" s="3">
        <v>46012734</v>
      </c>
      <c r="K2618">
        <f t="shared" si="88"/>
        <v>1.3775047412552699E-3</v>
      </c>
      <c r="R2618" s="12" t="str">
        <f ca="1">IFERROR(__xludf.DUMMYFUNCTION("""COMPUTED_VALUE"""),"Tae Guk Gi: The Brotherhood of War ")</f>
        <v>Tae Guk Gi: The Brotherhood of War </v>
      </c>
      <c r="S2618" s="12">
        <f t="shared" si="89"/>
        <v>-23704226</v>
      </c>
    </row>
    <row r="2619" spans="1:19" x14ac:dyDescent="0.3">
      <c r="A2619" s="2" t="s">
        <v>67</v>
      </c>
      <c r="B2619" s="2">
        <v>77</v>
      </c>
      <c r="C2619" s="3">
        <v>7830611</v>
      </c>
      <c r="D2619" s="3" t="s">
        <v>6041</v>
      </c>
      <c r="E2619" s="2" t="s">
        <v>2234</v>
      </c>
      <c r="F2619" s="2" t="s">
        <v>10</v>
      </c>
      <c r="G2619" s="2" t="s">
        <v>11</v>
      </c>
      <c r="H2619" s="2">
        <v>40000000</v>
      </c>
      <c r="I2619" s="2">
        <v>7.4</v>
      </c>
      <c r="J2619" s="3">
        <v>46280507</v>
      </c>
      <c r="K2619">
        <f t="shared" si="88"/>
        <v>1.3775047412552699E-3</v>
      </c>
      <c r="R2619" s="12" t="str">
        <f ca="1">IFERROR(__xludf.DUMMYFUNCTION("""COMPUTED_VALUE"""),"The Perfect Game ")</f>
        <v>The Perfect Game </v>
      </c>
      <c r="S2619" s="12">
        <f t="shared" si="89"/>
        <v>-31362493</v>
      </c>
    </row>
    <row r="2620" spans="1:19" x14ac:dyDescent="0.3">
      <c r="A2620" s="2" t="s">
        <v>1340</v>
      </c>
      <c r="B2620" s="2">
        <v>132</v>
      </c>
      <c r="C2620" s="3">
        <v>57010853</v>
      </c>
      <c r="D2620" s="3" t="s">
        <v>6056</v>
      </c>
      <c r="E2620" s="2" t="s">
        <v>2636</v>
      </c>
      <c r="F2620" s="2" t="s">
        <v>10</v>
      </c>
      <c r="G2620" s="2" t="s">
        <v>16</v>
      </c>
      <c r="H2620" s="2">
        <v>30000000</v>
      </c>
      <c r="I2620" s="2">
        <v>7</v>
      </c>
      <c r="J2620" s="3">
        <v>46300000</v>
      </c>
      <c r="K2620">
        <f t="shared" si="88"/>
        <v>1.3775047412552699E-3</v>
      </c>
      <c r="R2620" s="12" t="str">
        <f ca="1">IFERROR(__xludf.DUMMYFUNCTION("""COMPUTED_VALUE"""),"The Exorcist ")</f>
        <v>The Exorcist </v>
      </c>
      <c r="S2620" s="12">
        <f t="shared" si="89"/>
        <v>-14877439</v>
      </c>
    </row>
    <row r="2621" spans="1:19" x14ac:dyDescent="0.3">
      <c r="A2621" s="2" t="s">
        <v>3233</v>
      </c>
      <c r="B2621" s="2">
        <v>116</v>
      </c>
      <c r="C2621" s="3">
        <v>40363530</v>
      </c>
      <c r="D2621" s="3" t="s">
        <v>6148</v>
      </c>
      <c r="E2621" s="2" t="s">
        <v>3234</v>
      </c>
      <c r="F2621" s="2" t="s">
        <v>10</v>
      </c>
      <c r="G2621" s="2" t="s">
        <v>11</v>
      </c>
      <c r="H2621" s="2">
        <v>17500000</v>
      </c>
      <c r="I2621" s="2">
        <v>6</v>
      </c>
      <c r="J2621" s="3">
        <v>46338728</v>
      </c>
      <c r="K2621">
        <f t="shared" si="88"/>
        <v>1.3775047412552699E-3</v>
      </c>
      <c r="R2621" s="12" t="str">
        <f ca="1">IFERROR(__xludf.DUMMYFUNCTION("""COMPUTED_VALUE"""),"Jaws ")</f>
        <v>Jaws </v>
      </c>
      <c r="S2621" s="12">
        <f t="shared" si="89"/>
        <v>-9927404</v>
      </c>
    </row>
    <row r="2622" spans="1:19" x14ac:dyDescent="0.3">
      <c r="A2622" s="2" t="s">
        <v>1330</v>
      </c>
      <c r="B2622" s="2">
        <v>102</v>
      </c>
      <c r="C2622" s="3">
        <v>28501605</v>
      </c>
      <c r="D2622" s="3" t="s">
        <v>520</v>
      </c>
      <c r="E2622" s="2" t="s">
        <v>2754</v>
      </c>
      <c r="F2622" s="2" t="s">
        <v>10</v>
      </c>
      <c r="G2622" s="2" t="s">
        <v>16</v>
      </c>
      <c r="H2622" s="2">
        <v>23000000</v>
      </c>
      <c r="I2622" s="2">
        <v>7.2</v>
      </c>
      <c r="J2622" s="3">
        <v>46363118</v>
      </c>
      <c r="K2622">
        <f t="shared" si="88"/>
        <v>1.3775047412552699E-3</v>
      </c>
      <c r="R2622" s="12" t="str">
        <f ca="1">IFERROR(__xludf.DUMMYFUNCTION("""COMPUTED_VALUE"""),"American Pie ")</f>
        <v>American Pie </v>
      </c>
      <c r="S2622" s="12">
        <f t="shared" si="89"/>
        <v>-12229136</v>
      </c>
    </row>
    <row r="2623" spans="1:19" x14ac:dyDescent="0.3">
      <c r="A2623" s="2" t="s">
        <v>516</v>
      </c>
      <c r="B2623" s="2">
        <v>90</v>
      </c>
      <c r="C2623" s="3">
        <v>51768623</v>
      </c>
      <c r="D2623" s="3" t="s">
        <v>5958</v>
      </c>
      <c r="E2623" s="2" t="s">
        <v>1954</v>
      </c>
      <c r="F2623" s="2" t="s">
        <v>10</v>
      </c>
      <c r="G2623" s="2" t="s">
        <v>11</v>
      </c>
      <c r="H2623" s="2">
        <v>35000000</v>
      </c>
      <c r="I2623" s="2">
        <v>6.3</v>
      </c>
      <c r="J2623" s="3">
        <v>46377022</v>
      </c>
      <c r="K2623">
        <f t="shared" si="88"/>
        <v>1.3775047412552699E-3</v>
      </c>
      <c r="R2623" s="12" t="str">
        <f ca="1">IFERROR(__xludf.DUMMYFUNCTION("""COMPUTED_VALUE"""),"Ernest &amp; Celestine ")</f>
        <v>Ernest &amp; Celestine </v>
      </c>
      <c r="S2623" s="12">
        <f t="shared" si="89"/>
        <v>12748064</v>
      </c>
    </row>
    <row r="2624" spans="1:19" x14ac:dyDescent="0.3">
      <c r="A2624" s="2" t="s">
        <v>965</v>
      </c>
      <c r="B2624" s="2">
        <v>110</v>
      </c>
      <c r="C2624" s="3">
        <v>617840</v>
      </c>
      <c r="D2624" s="3" t="s">
        <v>6389</v>
      </c>
      <c r="E2624" s="2" t="s">
        <v>1423</v>
      </c>
      <c r="F2624" s="2" t="s">
        <v>10</v>
      </c>
      <c r="G2624" s="2" t="s">
        <v>11</v>
      </c>
      <c r="H2624" s="2">
        <v>50000000</v>
      </c>
      <c r="I2624" s="2">
        <v>6.4</v>
      </c>
      <c r="J2624" s="3">
        <v>46440491</v>
      </c>
      <c r="K2624">
        <f t="shared" si="88"/>
        <v>1.3775047412552699E-3</v>
      </c>
      <c r="R2624" s="12" t="str">
        <f ca="1">IFERROR(__xludf.DUMMYFUNCTION("""COMPUTED_VALUE"""),"The Golden Child ")</f>
        <v>The Golden Child </v>
      </c>
      <c r="S2624" s="12">
        <f t="shared" si="89"/>
        <v>-9997690</v>
      </c>
    </row>
    <row r="2625" spans="1:19" x14ac:dyDescent="0.3">
      <c r="A2625" s="2" t="s">
        <v>3359</v>
      </c>
      <c r="B2625" s="2">
        <v>92</v>
      </c>
      <c r="C2625" s="3">
        <v>21129348</v>
      </c>
      <c r="D2625" s="3" t="s">
        <v>6151</v>
      </c>
      <c r="E2625" s="2" t="s">
        <v>3360</v>
      </c>
      <c r="F2625" s="2" t="s">
        <v>10</v>
      </c>
      <c r="G2625" s="2" t="s">
        <v>11</v>
      </c>
      <c r="H2625" s="2">
        <v>16000000</v>
      </c>
      <c r="I2625" s="2">
        <v>4.4000000000000004</v>
      </c>
      <c r="J2625" s="3">
        <v>46455802</v>
      </c>
      <c r="K2625">
        <f t="shared" si="88"/>
        <v>1.3775047412552699E-3</v>
      </c>
      <c r="R2625" s="12" t="str">
        <f ca="1">IFERROR(__xludf.DUMMYFUNCTION("""COMPUTED_VALUE"""),"Think Like a Man ")</f>
        <v>Think Like a Man </v>
      </c>
      <c r="S2625" s="12">
        <f t="shared" si="89"/>
        <v>-133111645</v>
      </c>
    </row>
    <row r="2626" spans="1:19" x14ac:dyDescent="0.3">
      <c r="A2626" s="2" t="s">
        <v>1160</v>
      </c>
      <c r="B2626" s="2">
        <v>99</v>
      </c>
      <c r="C2626" s="3">
        <v>49875589</v>
      </c>
      <c r="D2626" s="3" t="s">
        <v>6040</v>
      </c>
      <c r="E2626" s="2" t="s">
        <v>3807</v>
      </c>
      <c r="F2626" s="2" t="s">
        <v>10</v>
      </c>
      <c r="G2626" s="2" t="s">
        <v>11</v>
      </c>
      <c r="H2626" s="3">
        <v>26536120</v>
      </c>
      <c r="I2626" s="2">
        <v>7</v>
      </c>
      <c r="J2626" s="3">
        <v>46563158</v>
      </c>
      <c r="K2626">
        <f t="shared" ref="K2626:K2689" si="90">CORREL(H$2:H$3941,J$2:J$3941)</f>
        <v>1.3775047412552699E-3</v>
      </c>
      <c r="R2626" s="12" t="str">
        <f ca="1">IFERROR(__xludf.DUMMYFUNCTION("""COMPUTED_VALUE"""),"Barbershop ")</f>
        <v>Barbershop </v>
      </c>
      <c r="S2626" s="12">
        <f t="shared" si="89"/>
        <v>-6000000</v>
      </c>
    </row>
    <row r="2627" spans="1:19" x14ac:dyDescent="0.3">
      <c r="A2627" s="2" t="s">
        <v>2577</v>
      </c>
      <c r="B2627" s="2">
        <v>90</v>
      </c>
      <c r="C2627" s="3">
        <v>3335839</v>
      </c>
      <c r="D2627" s="3" t="s">
        <v>5767</v>
      </c>
      <c r="E2627" s="2" t="s">
        <v>2578</v>
      </c>
      <c r="F2627" s="2" t="s">
        <v>10</v>
      </c>
      <c r="G2627" s="2" t="s">
        <v>16</v>
      </c>
      <c r="H2627" s="2">
        <v>25000000</v>
      </c>
      <c r="I2627" s="2">
        <v>6.3</v>
      </c>
      <c r="J2627" s="3">
        <v>46611204</v>
      </c>
      <c r="K2627">
        <f t="shared" si="90"/>
        <v>1.3775047412552699E-3</v>
      </c>
      <c r="R2627" s="12" t="str">
        <f ca="1">IFERROR(__xludf.DUMMYFUNCTION("""COMPUTED_VALUE"""),"Star Trek II: The Wrath of Khan ")</f>
        <v>Star Trek II: The Wrath of Khan </v>
      </c>
      <c r="S2627" s="12">
        <f t="shared" si="89"/>
        <v>-28718824</v>
      </c>
    </row>
    <row r="2628" spans="1:19" x14ac:dyDescent="0.3">
      <c r="A2628" s="2" t="s">
        <v>1330</v>
      </c>
      <c r="B2628" s="2">
        <v>109</v>
      </c>
      <c r="C2628" s="3">
        <v>27052167</v>
      </c>
      <c r="D2628" s="3" t="s">
        <v>5894</v>
      </c>
      <c r="E2628" s="2" t="s">
        <v>2341</v>
      </c>
      <c r="F2628" s="2" t="s">
        <v>10</v>
      </c>
      <c r="G2628" s="2" t="s">
        <v>504</v>
      </c>
      <c r="H2628" s="2">
        <v>25000000</v>
      </c>
      <c r="I2628" s="2">
        <v>6.6</v>
      </c>
      <c r="J2628" s="3">
        <v>46700000</v>
      </c>
      <c r="K2628">
        <f t="shared" si="90"/>
        <v>1.3775047412552699E-3</v>
      </c>
      <c r="R2628" s="12" t="str">
        <f ca="1">IFERROR(__xludf.DUMMYFUNCTION("""COMPUTED_VALUE"""),"Ace Ventura: Pet Detective ")</f>
        <v>Ace Ventura: Pet Detective </v>
      </c>
      <c r="S2628" s="12">
        <f t="shared" si="89"/>
        <v>-15800000</v>
      </c>
    </row>
    <row r="2629" spans="1:19" x14ac:dyDescent="0.3">
      <c r="A2629" s="2" t="s">
        <v>1988</v>
      </c>
      <c r="B2629" s="2">
        <v>97</v>
      </c>
      <c r="C2629" s="3">
        <v>42615685</v>
      </c>
      <c r="D2629" s="3" t="s">
        <v>5869</v>
      </c>
      <c r="E2629" s="2" t="s">
        <v>3661</v>
      </c>
      <c r="F2629" s="2" t="s">
        <v>10</v>
      </c>
      <c r="G2629" s="2" t="s">
        <v>11</v>
      </c>
      <c r="H2629" s="2">
        <v>16000000</v>
      </c>
      <c r="I2629" s="2">
        <v>7.2</v>
      </c>
      <c r="J2629" s="3">
        <v>46729374</v>
      </c>
      <c r="K2629">
        <f t="shared" si="90"/>
        <v>1.3775047412552699E-3</v>
      </c>
      <c r="R2629" s="12" t="str">
        <f ca="1">IFERROR(__xludf.DUMMYFUNCTION("""COMPUTED_VALUE"""),"WarGames ")</f>
        <v>WarGames </v>
      </c>
      <c r="S2629" s="12">
        <f t="shared" si="89"/>
        <v>9602579</v>
      </c>
    </row>
    <row r="2630" spans="1:19" x14ac:dyDescent="0.3">
      <c r="A2630" s="2" t="s">
        <v>511</v>
      </c>
      <c r="B2630" s="2">
        <v>80</v>
      </c>
      <c r="C2630" s="2">
        <v>84961</v>
      </c>
      <c r="D2630" s="3" t="s">
        <v>5973</v>
      </c>
      <c r="E2630" s="2" t="s">
        <v>1640</v>
      </c>
      <c r="F2630" s="2" t="s">
        <v>513</v>
      </c>
      <c r="G2630" s="2" t="s">
        <v>233</v>
      </c>
      <c r="H2630" s="2">
        <v>31000000</v>
      </c>
      <c r="I2630" s="2">
        <v>7.9</v>
      </c>
      <c r="J2630" s="3">
        <v>46800000</v>
      </c>
      <c r="K2630">
        <f t="shared" si="90"/>
        <v>1.3775047412552699E-3</v>
      </c>
      <c r="R2630" s="12" t="str">
        <f ca="1">IFERROR(__xludf.DUMMYFUNCTION("""COMPUTED_VALUE"""),"Witness ")</f>
        <v>Witness </v>
      </c>
      <c r="S2630" s="12">
        <f t="shared" si="89"/>
        <v>15133087</v>
      </c>
    </row>
    <row r="2631" spans="1:19" x14ac:dyDescent="0.3">
      <c r="A2631" s="2" t="s">
        <v>128</v>
      </c>
      <c r="B2631" s="2">
        <v>119</v>
      </c>
      <c r="C2631" s="3">
        <v>13005485</v>
      </c>
      <c r="D2631" s="3" t="s">
        <v>5857</v>
      </c>
      <c r="E2631" s="2" t="s">
        <v>3969</v>
      </c>
      <c r="F2631" s="2" t="s">
        <v>10</v>
      </c>
      <c r="G2631" s="2" t="s">
        <v>11</v>
      </c>
      <c r="H2631" s="2">
        <v>13800000</v>
      </c>
      <c r="I2631" s="2">
        <v>7</v>
      </c>
      <c r="J2631" s="3">
        <v>46813366</v>
      </c>
      <c r="K2631">
        <f t="shared" si="90"/>
        <v>1.3775047412552699E-3</v>
      </c>
      <c r="R2631" s="12" t="str">
        <f ca="1">IFERROR(__xludf.DUMMYFUNCTION("""COMPUTED_VALUE"""),"Act of Valor ")</f>
        <v>Act of Valor </v>
      </c>
      <c r="S2631" s="12">
        <f t="shared" si="89"/>
        <v>-114072594</v>
      </c>
    </row>
    <row r="2632" spans="1:19" x14ac:dyDescent="0.3">
      <c r="A2632" s="2" t="s">
        <v>1113</v>
      </c>
      <c r="B2632" s="2">
        <v>96</v>
      </c>
      <c r="C2632" s="3">
        <v>7871693</v>
      </c>
      <c r="D2632" s="3" t="s">
        <v>5940</v>
      </c>
      <c r="E2632" s="2" t="s">
        <v>1128</v>
      </c>
      <c r="F2632" s="2" t="s">
        <v>10</v>
      </c>
      <c r="G2632" s="2" t="s">
        <v>11</v>
      </c>
      <c r="H2632" s="2">
        <v>60000000</v>
      </c>
      <c r="I2632" s="2">
        <v>5.9</v>
      </c>
      <c r="J2632" s="3">
        <v>46815748</v>
      </c>
      <c r="K2632">
        <f t="shared" si="90"/>
        <v>1.3775047412552699E-3</v>
      </c>
      <c r="R2632" s="12" t="str">
        <f ca="1">IFERROR(__xludf.DUMMYFUNCTION("""COMPUTED_VALUE"""),"Step Up ")</f>
        <v>Step Up </v>
      </c>
      <c r="S2632" s="12">
        <f t="shared" si="89"/>
        <v>21535768</v>
      </c>
    </row>
    <row r="2633" spans="1:19" x14ac:dyDescent="0.3">
      <c r="A2633" s="2" t="s">
        <v>12</v>
      </c>
      <c r="B2633" s="2">
        <v>169</v>
      </c>
      <c r="C2633" s="3">
        <v>22433915</v>
      </c>
      <c r="D2633" s="3" t="s">
        <v>5944</v>
      </c>
      <c r="E2633" s="2" t="s">
        <v>13</v>
      </c>
      <c r="F2633" s="2" t="s">
        <v>10</v>
      </c>
      <c r="G2633" s="2" t="s">
        <v>11</v>
      </c>
      <c r="H2633" s="2">
        <v>300000000</v>
      </c>
      <c r="I2633" s="2">
        <v>7.1</v>
      </c>
      <c r="J2633" s="3">
        <v>46836394</v>
      </c>
      <c r="K2633">
        <f t="shared" si="90"/>
        <v>1.3775047412552699E-3</v>
      </c>
      <c r="R2633" s="12" t="str">
        <f ca="1">IFERROR(__xludf.DUMMYFUNCTION("""COMPUTED_VALUE"""),"Beavis and Butt-Head Do America ")</f>
        <v>Beavis and Butt-Head Do America </v>
      </c>
      <c r="S2633" s="12">
        <f t="shared" si="89"/>
        <v>16824744</v>
      </c>
    </row>
    <row r="2634" spans="1:19" x14ac:dyDescent="0.3">
      <c r="A2634" s="2" t="s">
        <v>524</v>
      </c>
      <c r="B2634" s="2">
        <v>146</v>
      </c>
      <c r="C2634" s="3">
        <v>17411331</v>
      </c>
      <c r="D2634" s="3" t="s">
        <v>6028</v>
      </c>
      <c r="E2634" s="2" t="s">
        <v>525</v>
      </c>
      <c r="F2634" s="2" t="s">
        <v>10</v>
      </c>
      <c r="G2634" s="2" t="s">
        <v>11</v>
      </c>
      <c r="H2634" s="2">
        <v>100000000</v>
      </c>
      <c r="I2634" s="2">
        <v>4.3</v>
      </c>
      <c r="J2634" s="3">
        <v>46875468</v>
      </c>
      <c r="K2634">
        <f t="shared" si="90"/>
        <v>1.3775047412552699E-3</v>
      </c>
      <c r="R2634" s="12" t="str">
        <f ca="1">IFERROR(__xludf.DUMMYFUNCTION("""COMPUTED_VALUE"""),"Jackie Brown ")</f>
        <v>Jackie Brown </v>
      </c>
      <c r="S2634" s="12">
        <f t="shared" si="89"/>
        <v>4912982</v>
      </c>
    </row>
    <row r="2635" spans="1:19" x14ac:dyDescent="0.3">
      <c r="A2635" s="2" t="s">
        <v>1760</v>
      </c>
      <c r="B2635" s="2">
        <v>110</v>
      </c>
      <c r="C2635" s="3">
        <v>3325638</v>
      </c>
      <c r="D2635" s="3" t="s">
        <v>6103</v>
      </c>
      <c r="E2635" s="2" t="s">
        <v>4618</v>
      </c>
      <c r="F2635" s="2" t="s">
        <v>10</v>
      </c>
      <c r="G2635" s="2" t="s">
        <v>16</v>
      </c>
      <c r="H2635" s="2">
        <v>5000000</v>
      </c>
      <c r="I2635" s="2">
        <v>7.7</v>
      </c>
      <c r="J2635" s="3">
        <v>46975183</v>
      </c>
      <c r="K2635">
        <f t="shared" si="90"/>
        <v>1.3775047412552699E-3</v>
      </c>
      <c r="R2635" s="12" t="str">
        <f ca="1">IFERROR(__xludf.DUMMYFUNCTION("""COMPUTED_VALUE"""),"Harold &amp; Kumar Escape from Guantanamo Bay ")</f>
        <v>Harold &amp; Kumar Escape from Guantanamo Bay </v>
      </c>
      <c r="S2635" s="12">
        <f t="shared" si="89"/>
        <v>-961870</v>
      </c>
    </row>
    <row r="2636" spans="1:19" x14ac:dyDescent="0.3">
      <c r="A2636" s="2" t="s">
        <v>104</v>
      </c>
      <c r="B2636" s="2">
        <v>150</v>
      </c>
      <c r="C2636" s="3">
        <v>36830</v>
      </c>
      <c r="D2636" s="3" t="s">
        <v>6243</v>
      </c>
      <c r="E2636" s="2" t="s">
        <v>951</v>
      </c>
      <c r="F2636" s="2" t="s">
        <v>10</v>
      </c>
      <c r="G2636" s="2" t="s">
        <v>11</v>
      </c>
      <c r="H2636" s="2">
        <v>65000000</v>
      </c>
      <c r="I2636" s="2">
        <v>7.4</v>
      </c>
      <c r="J2636" s="3">
        <v>46978995</v>
      </c>
      <c r="K2636">
        <f t="shared" si="90"/>
        <v>1.3775047412552699E-3</v>
      </c>
      <c r="R2636" s="12" t="str">
        <f ca="1">IFERROR(__xludf.DUMMYFUNCTION("""COMPUTED_VALUE"""),"Chronicle ")</f>
        <v>Chronicle </v>
      </c>
      <c r="S2636" s="12">
        <f t="shared" si="89"/>
        <v>9894147</v>
      </c>
    </row>
    <row r="2637" spans="1:19" x14ac:dyDescent="0.3">
      <c r="A2637" s="2" t="s">
        <v>466</v>
      </c>
      <c r="B2637" s="2">
        <v>81</v>
      </c>
      <c r="C2637" s="3">
        <v>6000000</v>
      </c>
      <c r="D2637" s="3" t="s">
        <v>6390</v>
      </c>
      <c r="E2637" s="2" t="s">
        <v>1033</v>
      </c>
      <c r="F2637" s="2" t="s">
        <v>10</v>
      </c>
      <c r="G2637" s="2" t="s">
        <v>11</v>
      </c>
      <c r="H2637" s="2">
        <v>150000000</v>
      </c>
      <c r="I2637" s="2">
        <v>5.8</v>
      </c>
      <c r="J2637" s="3">
        <v>46982632</v>
      </c>
      <c r="K2637">
        <f t="shared" si="90"/>
        <v>1.3775047412552699E-3</v>
      </c>
      <c r="R2637" s="12" t="str">
        <f ca="1">IFERROR(__xludf.DUMMYFUNCTION("""COMPUTED_VALUE"""),"Yentl ")</f>
        <v>Yentl </v>
      </c>
      <c r="S2637" s="12">
        <f t="shared" si="89"/>
        <v>11038276</v>
      </c>
    </row>
    <row r="2638" spans="1:19" x14ac:dyDescent="0.3">
      <c r="A2638" s="2" t="s">
        <v>2216</v>
      </c>
      <c r="B2638" s="2">
        <v>103</v>
      </c>
      <c r="C2638" s="2">
        <v>7496522</v>
      </c>
      <c r="D2638" s="3" t="s">
        <v>5940</v>
      </c>
      <c r="E2638" s="2" t="s">
        <v>2498</v>
      </c>
      <c r="F2638" s="2" t="s">
        <v>10</v>
      </c>
      <c r="G2638" s="2" t="s">
        <v>11</v>
      </c>
      <c r="H2638" s="2">
        <v>26000000</v>
      </c>
      <c r="I2638" s="2">
        <v>6.8</v>
      </c>
      <c r="J2638" s="3">
        <v>47000000</v>
      </c>
      <c r="K2638">
        <f t="shared" si="90"/>
        <v>1.3775047412552699E-3</v>
      </c>
      <c r="R2638" s="12" t="str">
        <f ca="1">IFERROR(__xludf.DUMMYFUNCTION("""COMPUTED_VALUE"""),"Time Bandits ")</f>
        <v>Time Bandits </v>
      </c>
      <c r="S2638" s="12">
        <f t="shared" si="89"/>
        <v>-12765960</v>
      </c>
    </row>
    <row r="2639" spans="1:19" x14ac:dyDescent="0.3">
      <c r="A2639" s="2" t="s">
        <v>2274</v>
      </c>
      <c r="B2639" s="2">
        <v>146</v>
      </c>
      <c r="C2639" s="3">
        <v>1277257</v>
      </c>
      <c r="D2639" s="3" t="s">
        <v>5773</v>
      </c>
      <c r="E2639" s="2" t="s">
        <v>2515</v>
      </c>
      <c r="F2639" s="2" t="s">
        <v>10</v>
      </c>
      <c r="G2639" s="2" t="s">
        <v>11</v>
      </c>
      <c r="H2639" s="2">
        <v>25000000</v>
      </c>
      <c r="I2639" s="2">
        <v>8.1</v>
      </c>
      <c r="J2639" s="3">
        <v>47000485</v>
      </c>
      <c r="K2639">
        <f t="shared" si="90"/>
        <v>1.3775047412552699E-3</v>
      </c>
      <c r="R2639" s="12" t="str">
        <f ca="1">IFERROR(__xludf.DUMMYFUNCTION("""COMPUTED_VALUE"""),"Crossroads ")</f>
        <v>Crossroads </v>
      </c>
      <c r="S2639" s="12">
        <f t="shared" si="89"/>
        <v>-11567658</v>
      </c>
    </row>
    <row r="2640" spans="1:19" x14ac:dyDescent="0.3">
      <c r="A2640" s="2" t="s">
        <v>1377</v>
      </c>
      <c r="B2640" s="2">
        <v>104</v>
      </c>
      <c r="C2640" s="3">
        <v>10460089</v>
      </c>
      <c r="D2640" s="3" t="s">
        <v>5849</v>
      </c>
      <c r="E2640" s="2" t="s">
        <v>4163</v>
      </c>
      <c r="F2640" s="2" t="s">
        <v>10</v>
      </c>
      <c r="G2640" s="2" t="s">
        <v>16</v>
      </c>
      <c r="H2640" s="2">
        <v>6000000</v>
      </c>
      <c r="I2640" s="2">
        <v>7.5</v>
      </c>
      <c r="J2640" s="3">
        <v>47034272</v>
      </c>
      <c r="K2640">
        <f t="shared" si="90"/>
        <v>1.3775047412552699E-3</v>
      </c>
      <c r="R2640" s="12" t="str">
        <f ca="1">IFERROR(__xludf.DUMMYFUNCTION("""COMPUTED_VALUE"""),"Project X ")</f>
        <v>Project X </v>
      </c>
      <c r="S2640" s="12">
        <f t="shared" si="89"/>
        <v>-23556684</v>
      </c>
    </row>
    <row r="2641" spans="1:19" x14ac:dyDescent="0.3">
      <c r="A2641" s="2" t="s">
        <v>2642</v>
      </c>
      <c r="B2641" s="2">
        <v>127</v>
      </c>
      <c r="C2641" s="3">
        <v>6982680</v>
      </c>
      <c r="D2641" s="3" t="s">
        <v>6391</v>
      </c>
      <c r="E2641" s="2" t="s">
        <v>2643</v>
      </c>
      <c r="F2641" s="2" t="s">
        <v>10</v>
      </c>
      <c r="G2641" s="2" t="s">
        <v>2644</v>
      </c>
      <c r="H2641" s="2">
        <v>26000000</v>
      </c>
      <c r="I2641" s="2">
        <v>6.9</v>
      </c>
      <c r="J2641" s="3">
        <v>47095453</v>
      </c>
      <c r="K2641">
        <f t="shared" si="90"/>
        <v>1.3775047412552699E-3</v>
      </c>
      <c r="R2641" s="12" t="str">
        <f ca="1">IFERROR(__xludf.DUMMYFUNCTION("""COMPUTED_VALUE"""),"One Hour Photo ")</f>
        <v>One Hour Photo </v>
      </c>
      <c r="S2641" s="12">
        <f t="shared" si="89"/>
        <v>-32169389</v>
      </c>
    </row>
    <row r="2642" spans="1:19" x14ac:dyDescent="0.3">
      <c r="A2642" s="2" t="s">
        <v>995</v>
      </c>
      <c r="B2642" s="2">
        <v>92</v>
      </c>
      <c r="C2642" s="3">
        <v>6100000</v>
      </c>
      <c r="D2642" s="3" t="s">
        <v>520</v>
      </c>
      <c r="E2642" s="2" t="s">
        <v>996</v>
      </c>
      <c r="F2642" s="2" t="s">
        <v>10</v>
      </c>
      <c r="G2642" s="2" t="s">
        <v>98</v>
      </c>
      <c r="H2642" s="2">
        <v>65000000</v>
      </c>
      <c r="I2642" s="2">
        <v>5.0999999999999996</v>
      </c>
      <c r="J2642" s="3">
        <v>47105085</v>
      </c>
      <c r="K2642">
        <f t="shared" si="90"/>
        <v>1.3775047412552699E-3</v>
      </c>
      <c r="R2642" s="12" t="str">
        <f ca="1">IFERROR(__xludf.DUMMYFUNCTION("""COMPUTED_VALUE"""),"Quarantine ")</f>
        <v>Quarantine </v>
      </c>
      <c r="S2642" s="12">
        <f t="shared" si="89"/>
        <v>27010853</v>
      </c>
    </row>
    <row r="2643" spans="1:19" x14ac:dyDescent="0.3">
      <c r="A2643" s="2" t="s">
        <v>48</v>
      </c>
      <c r="B2643" s="2">
        <v>153</v>
      </c>
      <c r="C2643" s="3">
        <v>22452209</v>
      </c>
      <c r="D2643" s="3" t="s">
        <v>5797</v>
      </c>
      <c r="E2643" s="2" t="s">
        <v>49</v>
      </c>
      <c r="F2643" s="2" t="s">
        <v>10</v>
      </c>
      <c r="G2643" s="2" t="s">
        <v>11</v>
      </c>
      <c r="H2643" s="2">
        <v>230000000</v>
      </c>
      <c r="I2643" s="2">
        <v>7</v>
      </c>
      <c r="J2643" s="3">
        <v>47124400</v>
      </c>
      <c r="K2643">
        <f t="shared" si="90"/>
        <v>1.3775047412552699E-3</v>
      </c>
      <c r="R2643" s="12" t="str">
        <f ca="1">IFERROR(__xludf.DUMMYFUNCTION("""COMPUTED_VALUE"""),"The Eye ")</f>
        <v>The Eye </v>
      </c>
      <c r="S2643" s="12">
        <f t="shared" si="89"/>
        <v>22863530</v>
      </c>
    </row>
    <row r="2644" spans="1:19" x14ac:dyDescent="0.3">
      <c r="A2644" s="2" t="s">
        <v>5419</v>
      </c>
      <c r="B2644" s="2">
        <v>100</v>
      </c>
      <c r="C2644" s="3">
        <v>82226474</v>
      </c>
      <c r="D2644" s="3" t="s">
        <v>5766</v>
      </c>
      <c r="E2644" s="2" t="s">
        <v>5509</v>
      </c>
      <c r="F2644" s="2" t="s">
        <v>10</v>
      </c>
      <c r="G2644" s="2" t="s">
        <v>11</v>
      </c>
      <c r="H2644" s="2">
        <v>500000</v>
      </c>
      <c r="I2644" s="2">
        <v>5.7</v>
      </c>
      <c r="J2644" s="3">
        <v>47277326</v>
      </c>
      <c r="K2644">
        <f t="shared" si="90"/>
        <v>1.3775047412552699E-3</v>
      </c>
      <c r="R2644" s="12" t="str">
        <f ca="1">IFERROR(__xludf.DUMMYFUNCTION("""COMPUTED_VALUE"""),"Johnson Family Vacation ")</f>
        <v>Johnson Family Vacation </v>
      </c>
      <c r="S2644" s="12">
        <f t="shared" si="89"/>
        <v>5501605</v>
      </c>
    </row>
    <row r="2645" spans="1:19" x14ac:dyDescent="0.3">
      <c r="A2645" s="2" t="s">
        <v>4192</v>
      </c>
      <c r="B2645" s="2">
        <v>79</v>
      </c>
      <c r="C2645" s="3">
        <v>22450975</v>
      </c>
      <c r="D2645" s="3" t="s">
        <v>6041</v>
      </c>
      <c r="E2645" s="2" t="s">
        <v>4193</v>
      </c>
      <c r="F2645" s="2" t="s">
        <v>10</v>
      </c>
      <c r="G2645" s="2" t="s">
        <v>11</v>
      </c>
      <c r="H2645" s="2">
        <v>8000000</v>
      </c>
      <c r="I2645" s="2">
        <v>6.5</v>
      </c>
      <c r="J2645" s="3">
        <v>47285499</v>
      </c>
      <c r="K2645">
        <f t="shared" si="90"/>
        <v>1.3775047412552699E-3</v>
      </c>
      <c r="R2645" s="12" t="str">
        <f ca="1">IFERROR(__xludf.DUMMYFUNCTION("""COMPUTED_VALUE"""),"How High ")</f>
        <v>How High </v>
      </c>
      <c r="S2645" s="12">
        <f t="shared" si="89"/>
        <v>16768623</v>
      </c>
    </row>
    <row r="2646" spans="1:19" x14ac:dyDescent="0.3">
      <c r="A2646" s="2" t="s">
        <v>468</v>
      </c>
      <c r="B2646" s="2">
        <v>96</v>
      </c>
      <c r="C2646" s="3">
        <v>7888703</v>
      </c>
      <c r="D2646" s="3" t="s">
        <v>5969</v>
      </c>
      <c r="E2646" s="2" t="s">
        <v>2068</v>
      </c>
      <c r="F2646" s="2" t="s">
        <v>10</v>
      </c>
      <c r="G2646" s="2" t="s">
        <v>11</v>
      </c>
      <c r="H2646" s="2">
        <v>35000000</v>
      </c>
      <c r="I2646" s="2">
        <v>5.5</v>
      </c>
      <c r="J2646" s="3">
        <v>47307550</v>
      </c>
      <c r="K2646">
        <f t="shared" si="90"/>
        <v>1.3775047412552699E-3</v>
      </c>
      <c r="R2646" s="12" t="str">
        <f ca="1">IFERROR(__xludf.DUMMYFUNCTION("""COMPUTED_VALUE"""),"The Muppet Christmas Carol ")</f>
        <v>The Muppet Christmas Carol </v>
      </c>
      <c r="S2646" s="12">
        <f t="shared" si="89"/>
        <v>-49382160</v>
      </c>
    </row>
    <row r="2647" spans="1:19" x14ac:dyDescent="0.3">
      <c r="A2647" s="2" t="s">
        <v>304</v>
      </c>
      <c r="B2647" s="2">
        <v>108</v>
      </c>
      <c r="C2647" s="3">
        <v>17149</v>
      </c>
      <c r="D2647" s="3" t="s">
        <v>6051</v>
      </c>
      <c r="E2647" s="2" t="s">
        <v>610</v>
      </c>
      <c r="F2647" s="2" t="s">
        <v>10</v>
      </c>
      <c r="G2647" s="2" t="s">
        <v>11</v>
      </c>
      <c r="H2647" s="2">
        <v>75000000</v>
      </c>
      <c r="I2647" s="2">
        <v>7.8</v>
      </c>
      <c r="J2647" s="3">
        <v>47375327</v>
      </c>
      <c r="K2647">
        <f t="shared" si="90"/>
        <v>1.3775047412552699E-3</v>
      </c>
      <c r="R2647" s="12" t="str">
        <f ca="1">IFERROR(__xludf.DUMMYFUNCTION("""COMPUTED_VALUE"""),"Frida ")</f>
        <v>Frida </v>
      </c>
      <c r="S2647" s="12">
        <f t="shared" si="89"/>
        <v>5129348</v>
      </c>
    </row>
    <row r="2648" spans="1:19" x14ac:dyDescent="0.3">
      <c r="A2648" s="2" t="s">
        <v>857</v>
      </c>
      <c r="B2648" s="2">
        <v>111</v>
      </c>
      <c r="C2648" s="3">
        <v>1260917</v>
      </c>
      <c r="D2648" s="3" t="s">
        <v>5818</v>
      </c>
      <c r="E2648" s="2" t="s">
        <v>2177</v>
      </c>
      <c r="F2648" s="2" t="s">
        <v>10</v>
      </c>
      <c r="G2648" s="2" t="s">
        <v>11</v>
      </c>
      <c r="H2648" s="2">
        <v>37000000</v>
      </c>
      <c r="I2648" s="2">
        <v>6.2</v>
      </c>
      <c r="J2648" s="3">
        <v>47379090</v>
      </c>
      <c r="K2648">
        <f t="shared" si="90"/>
        <v>1.3775047412552699E-3</v>
      </c>
      <c r="R2648" s="12" t="str">
        <f ca="1">IFERROR(__xludf.DUMMYFUNCTION("""COMPUTED_VALUE"""),"Katy Perry: Part of Me ")</f>
        <v>Katy Perry: Part of Me </v>
      </c>
      <c r="S2648" s="12">
        <f t="shared" si="89"/>
        <v>23339469</v>
      </c>
    </row>
    <row r="2649" spans="1:19" x14ac:dyDescent="0.3">
      <c r="A2649" s="2" t="s">
        <v>1831</v>
      </c>
      <c r="B2649" s="2">
        <v>96</v>
      </c>
      <c r="C2649" s="3">
        <v>206400</v>
      </c>
      <c r="D2649" s="3" t="s">
        <v>5847</v>
      </c>
      <c r="E2649" s="2" t="s">
        <v>4034</v>
      </c>
      <c r="F2649" s="2" t="s">
        <v>10</v>
      </c>
      <c r="G2649" s="2" t="s">
        <v>11</v>
      </c>
      <c r="H2649" s="2">
        <v>10000000</v>
      </c>
      <c r="I2649" s="2">
        <v>6.8</v>
      </c>
      <c r="J2649" s="3">
        <v>47396698</v>
      </c>
      <c r="K2649">
        <f t="shared" si="90"/>
        <v>1.3775047412552699E-3</v>
      </c>
      <c r="R2649" s="12" t="str">
        <f ca="1">IFERROR(__xludf.DUMMYFUNCTION("""COMPUTED_VALUE"""),"The Fault in Our Stars ")</f>
        <v>The Fault in Our Stars </v>
      </c>
      <c r="S2649" s="12">
        <f t="shared" ref="S2649:S2712" si="91">C2627-H2627</f>
        <v>-21664161</v>
      </c>
    </row>
    <row r="2650" spans="1:19" x14ac:dyDescent="0.3">
      <c r="A2650" s="2" t="s">
        <v>1490</v>
      </c>
      <c r="B2650" s="2">
        <v>75</v>
      </c>
      <c r="C2650" s="3">
        <v>1506998</v>
      </c>
      <c r="D2650" s="3" t="s">
        <v>520</v>
      </c>
      <c r="E2650" s="2" t="s">
        <v>1491</v>
      </c>
      <c r="F2650" s="2" t="s">
        <v>10</v>
      </c>
      <c r="G2650" s="2" t="s">
        <v>11</v>
      </c>
      <c r="H2650" s="2">
        <v>47000000</v>
      </c>
      <c r="I2650" s="2">
        <v>4.5</v>
      </c>
      <c r="J2650" s="3">
        <v>47456450</v>
      </c>
      <c r="K2650">
        <f t="shared" si="90"/>
        <v>1.3775047412552699E-3</v>
      </c>
      <c r="R2650" s="12" t="str">
        <f ca="1">IFERROR(__xludf.DUMMYFUNCTION("""COMPUTED_VALUE"""),"Rounders ")</f>
        <v>Rounders </v>
      </c>
      <c r="S2650" s="12">
        <f t="shared" si="91"/>
        <v>2052167</v>
      </c>
    </row>
    <row r="2651" spans="1:19" x14ac:dyDescent="0.3">
      <c r="A2651" s="2" t="s">
        <v>2116</v>
      </c>
      <c r="B2651" s="2">
        <v>107</v>
      </c>
      <c r="C2651" s="3">
        <v>499263</v>
      </c>
      <c r="D2651" s="3" t="s">
        <v>5940</v>
      </c>
      <c r="E2651" s="2" t="s">
        <v>2117</v>
      </c>
      <c r="F2651" s="2" t="s">
        <v>10</v>
      </c>
      <c r="G2651" s="2" t="s">
        <v>11</v>
      </c>
      <c r="H2651" s="2">
        <v>20000000</v>
      </c>
      <c r="I2651" s="2">
        <v>6.2</v>
      </c>
      <c r="J2651" s="3">
        <v>47474112</v>
      </c>
      <c r="K2651">
        <f t="shared" si="90"/>
        <v>1.3775047412552699E-3</v>
      </c>
      <c r="R2651" s="12" t="str">
        <f ca="1">IFERROR(__xludf.DUMMYFUNCTION("""COMPUTED_VALUE"""),"Top Five ")</f>
        <v>Top Five </v>
      </c>
      <c r="S2651" s="12">
        <f t="shared" si="91"/>
        <v>26615685</v>
      </c>
    </row>
    <row r="2652" spans="1:19" x14ac:dyDescent="0.3">
      <c r="A2652" s="2" t="s">
        <v>4740</v>
      </c>
      <c r="B2652" s="2">
        <v>122</v>
      </c>
      <c r="C2652" s="3">
        <v>12610731</v>
      </c>
      <c r="D2652" s="3" t="s">
        <v>5940</v>
      </c>
      <c r="E2652" s="2" t="s">
        <v>4741</v>
      </c>
      <c r="F2652" s="2" t="s">
        <v>2808</v>
      </c>
      <c r="G2652" s="2" t="s">
        <v>2809</v>
      </c>
      <c r="H2652" s="2">
        <v>4500000</v>
      </c>
      <c r="I2652" s="2">
        <v>7.8</v>
      </c>
      <c r="J2652" s="3">
        <v>47536959</v>
      </c>
      <c r="K2652">
        <f t="shared" si="90"/>
        <v>1.3775047412552699E-3</v>
      </c>
      <c r="R2652" s="12" t="str">
        <f ca="1">IFERROR(__xludf.DUMMYFUNCTION("""COMPUTED_VALUE"""),"Stir of Echoes ")</f>
        <v>Stir of Echoes </v>
      </c>
      <c r="S2652" s="12">
        <f t="shared" si="91"/>
        <v>-30915039</v>
      </c>
    </row>
    <row r="2653" spans="1:19" x14ac:dyDescent="0.3">
      <c r="A2653" s="2" t="s">
        <v>650</v>
      </c>
      <c r="B2653" s="2">
        <v>113</v>
      </c>
      <c r="C2653" s="3">
        <v>6044618</v>
      </c>
      <c r="D2653" s="3" t="s">
        <v>6320</v>
      </c>
      <c r="E2653" s="2" t="s">
        <v>1852</v>
      </c>
      <c r="F2653" s="2" t="s">
        <v>10</v>
      </c>
      <c r="G2653" s="2" t="s">
        <v>11</v>
      </c>
      <c r="H2653" s="2">
        <v>40000000</v>
      </c>
      <c r="I2653" s="2">
        <v>6.4</v>
      </c>
      <c r="J2653" s="3">
        <v>47553512</v>
      </c>
      <c r="K2653">
        <f t="shared" si="90"/>
        <v>1.3775047412552699E-3</v>
      </c>
      <c r="R2653" s="12" t="str">
        <f ca="1">IFERROR(__xludf.DUMMYFUNCTION("""COMPUTED_VALUE"""),"Philomena ")</f>
        <v>Philomena </v>
      </c>
      <c r="S2653" s="12">
        <f t="shared" si="91"/>
        <v>-794515</v>
      </c>
    </row>
    <row r="2654" spans="1:19" x14ac:dyDescent="0.3">
      <c r="A2654" s="2" t="s">
        <v>4789</v>
      </c>
      <c r="B2654" s="2">
        <v>110</v>
      </c>
      <c r="C2654" s="3">
        <v>611709</v>
      </c>
      <c r="D2654" s="3" t="s">
        <v>5940</v>
      </c>
      <c r="E2654" s="2" t="s">
        <v>4790</v>
      </c>
      <c r="F2654" s="2" t="s">
        <v>10</v>
      </c>
      <c r="G2654" s="2" t="s">
        <v>11</v>
      </c>
      <c r="H2654" s="2">
        <v>4000000</v>
      </c>
      <c r="I2654" s="2">
        <v>6.7</v>
      </c>
      <c r="J2654" s="3">
        <v>47592825</v>
      </c>
      <c r="K2654">
        <f t="shared" si="90"/>
        <v>1.3775047412552699E-3</v>
      </c>
      <c r="R2654" s="12" t="str">
        <f ca="1">IFERROR(__xludf.DUMMYFUNCTION("""COMPUTED_VALUE"""),"The Upside of Anger ")</f>
        <v>The Upside of Anger </v>
      </c>
      <c r="S2654" s="12">
        <f t="shared" si="91"/>
        <v>-52128307</v>
      </c>
    </row>
    <row r="2655" spans="1:19" x14ac:dyDescent="0.3">
      <c r="A2655" s="2" t="s">
        <v>5039</v>
      </c>
      <c r="B2655" s="2">
        <v>101</v>
      </c>
      <c r="C2655" s="3">
        <v>3293258</v>
      </c>
      <c r="D2655" s="3" t="s">
        <v>5808</v>
      </c>
      <c r="E2655" s="2" t="s">
        <v>5040</v>
      </c>
      <c r="F2655" s="2" t="s">
        <v>10</v>
      </c>
      <c r="G2655" s="2" t="s">
        <v>16</v>
      </c>
      <c r="H2655" s="2">
        <v>1500000</v>
      </c>
      <c r="I2655" s="2">
        <v>7.7</v>
      </c>
      <c r="J2655" s="3">
        <v>47748610</v>
      </c>
      <c r="K2655">
        <f t="shared" si="90"/>
        <v>1.3775047412552699E-3</v>
      </c>
      <c r="R2655" s="12" t="str">
        <f ca="1">IFERROR(__xludf.DUMMYFUNCTION("""COMPUTED_VALUE"""),"Aquamarine ")</f>
        <v>Aquamarine </v>
      </c>
      <c r="S2655" s="12">
        <f t="shared" si="91"/>
        <v>-277566085</v>
      </c>
    </row>
    <row r="2656" spans="1:19" x14ac:dyDescent="0.3">
      <c r="A2656" s="2" t="s">
        <v>5406</v>
      </c>
      <c r="B2656" s="2">
        <v>108</v>
      </c>
      <c r="C2656" s="3">
        <v>10400000</v>
      </c>
      <c r="D2656" s="3" t="s">
        <v>5767</v>
      </c>
      <c r="E2656" s="2" t="s">
        <v>5407</v>
      </c>
      <c r="F2656" s="2" t="s">
        <v>10</v>
      </c>
      <c r="G2656" s="2" t="s">
        <v>11</v>
      </c>
      <c r="H2656" s="2">
        <v>910000</v>
      </c>
      <c r="I2656" s="2">
        <v>8.1999999999999993</v>
      </c>
      <c r="J2656" s="3">
        <v>47781388</v>
      </c>
      <c r="K2656">
        <f t="shared" si="90"/>
        <v>1.3775047412552699E-3</v>
      </c>
      <c r="R2656" s="12" t="str">
        <f ca="1">IFERROR(__xludf.DUMMYFUNCTION("""COMPUTED_VALUE"""),"Paper Towns ")</f>
        <v>Paper Towns </v>
      </c>
      <c r="S2656" s="12">
        <f t="shared" si="91"/>
        <v>-82588669</v>
      </c>
    </row>
    <row r="2657" spans="1:19" x14ac:dyDescent="0.3">
      <c r="A2657" s="2" t="s">
        <v>14</v>
      </c>
      <c r="B2657" s="2">
        <v>148</v>
      </c>
      <c r="C2657" s="3">
        <v>10429707</v>
      </c>
      <c r="D2657" s="3" t="s">
        <v>885</v>
      </c>
      <c r="E2657" s="2" t="s">
        <v>15</v>
      </c>
      <c r="F2657" s="2" t="s">
        <v>10</v>
      </c>
      <c r="G2657" s="2" t="s">
        <v>16</v>
      </c>
      <c r="H2657" s="2">
        <v>245000000</v>
      </c>
      <c r="I2657" s="2">
        <v>6.8</v>
      </c>
      <c r="J2657" s="3">
        <v>47806295</v>
      </c>
      <c r="K2657">
        <f t="shared" si="90"/>
        <v>1.3775047412552699E-3</v>
      </c>
      <c r="R2657" s="12" t="str">
        <f ca="1">IFERROR(__xludf.DUMMYFUNCTION("""COMPUTED_VALUE"""),"Nebraska ")</f>
        <v>Nebraska </v>
      </c>
      <c r="S2657" s="12">
        <f t="shared" si="91"/>
        <v>-1674362</v>
      </c>
    </row>
    <row r="2658" spans="1:19" x14ac:dyDescent="0.3">
      <c r="A2658" s="2" t="s">
        <v>4499</v>
      </c>
      <c r="B2658" s="2">
        <v>121</v>
      </c>
      <c r="C2658" s="3">
        <v>37672350</v>
      </c>
      <c r="D2658" s="3" t="s">
        <v>6392</v>
      </c>
      <c r="E2658" s="2" t="s">
        <v>4500</v>
      </c>
      <c r="F2658" s="2" t="s">
        <v>10</v>
      </c>
      <c r="G2658" s="2" t="s">
        <v>16</v>
      </c>
      <c r="H2658" s="2">
        <v>6000000</v>
      </c>
      <c r="I2658" s="2">
        <v>7.7</v>
      </c>
      <c r="J2658" s="3">
        <v>47811275</v>
      </c>
      <c r="K2658">
        <f t="shared" si="90"/>
        <v>1.3775047412552699E-3</v>
      </c>
      <c r="R2658" s="12" t="str">
        <f ca="1">IFERROR(__xludf.DUMMYFUNCTION("""COMPUTED_VALUE"""),"Tales from the Crypt: Demon Knight ")</f>
        <v>Tales from the Crypt: Demon Knight </v>
      </c>
      <c r="S2658" s="12">
        <f t="shared" si="91"/>
        <v>-64963170</v>
      </c>
    </row>
    <row r="2659" spans="1:19" x14ac:dyDescent="0.3">
      <c r="A2659" s="2" t="s">
        <v>1391</v>
      </c>
      <c r="B2659" s="2">
        <v>148</v>
      </c>
      <c r="C2659" s="3">
        <v>28501651</v>
      </c>
      <c r="D2659" s="3" t="s">
        <v>6272</v>
      </c>
      <c r="E2659" s="2" t="s">
        <v>2439</v>
      </c>
      <c r="F2659" s="2" t="s">
        <v>10</v>
      </c>
      <c r="G2659" s="2" t="s">
        <v>11</v>
      </c>
      <c r="H2659" s="2">
        <v>27000000</v>
      </c>
      <c r="I2659" s="2">
        <v>7.9</v>
      </c>
      <c r="J2659" s="3">
        <v>47852604</v>
      </c>
      <c r="K2659">
        <f t="shared" si="90"/>
        <v>1.3775047412552699E-3</v>
      </c>
      <c r="R2659" s="12" t="str">
        <f ca="1">IFERROR(__xludf.DUMMYFUNCTION("""COMPUTED_VALUE"""),"Max Keeble's Big Move ")</f>
        <v>Max Keeble's Big Move </v>
      </c>
      <c r="S2659" s="12">
        <f t="shared" si="91"/>
        <v>-144000000</v>
      </c>
    </row>
    <row r="2660" spans="1:19" x14ac:dyDescent="0.3">
      <c r="A2660" s="2" t="s">
        <v>1215</v>
      </c>
      <c r="B2660" s="2">
        <v>105</v>
      </c>
      <c r="C2660" s="3">
        <v>37652565</v>
      </c>
      <c r="D2660" s="3" t="s">
        <v>5849</v>
      </c>
      <c r="E2660" s="2" t="s">
        <v>2078</v>
      </c>
      <c r="F2660" s="2" t="s">
        <v>10</v>
      </c>
      <c r="G2660" s="2" t="s">
        <v>11</v>
      </c>
      <c r="H2660" s="2">
        <v>35000000</v>
      </c>
      <c r="I2660" s="2">
        <v>5.7</v>
      </c>
      <c r="J2660" s="3">
        <v>47860214</v>
      </c>
      <c r="K2660">
        <f t="shared" si="90"/>
        <v>1.3775047412552699E-3</v>
      </c>
      <c r="R2660" s="12" t="str">
        <f ca="1">IFERROR(__xludf.DUMMYFUNCTION("""COMPUTED_VALUE"""),"Young Adult ")</f>
        <v>Young Adult </v>
      </c>
      <c r="S2660" s="12">
        <f t="shared" si="91"/>
        <v>-18503478</v>
      </c>
    </row>
    <row r="2661" spans="1:19" x14ac:dyDescent="0.3">
      <c r="A2661" s="2" t="s">
        <v>976</v>
      </c>
      <c r="B2661" s="2">
        <v>92</v>
      </c>
      <c r="C2661" s="2">
        <v>58401464</v>
      </c>
      <c r="D2661" s="3" t="s">
        <v>885</v>
      </c>
      <c r="E2661" s="2" t="s">
        <v>4270</v>
      </c>
      <c r="F2661" s="2" t="s">
        <v>10</v>
      </c>
      <c r="G2661" s="2" t="s">
        <v>11</v>
      </c>
      <c r="H2661" s="2">
        <v>8000000</v>
      </c>
      <c r="I2661" s="2">
        <v>7.1</v>
      </c>
      <c r="J2661" s="3">
        <v>47887943</v>
      </c>
      <c r="K2661">
        <f t="shared" si="90"/>
        <v>1.3775047412552699E-3</v>
      </c>
      <c r="R2661" s="12" t="str">
        <f ca="1">IFERROR(__xludf.DUMMYFUNCTION("""COMPUTED_VALUE"""),"Crank ")</f>
        <v>Crank </v>
      </c>
      <c r="S2661" s="12">
        <f t="shared" si="91"/>
        <v>-23722743</v>
      </c>
    </row>
    <row r="2662" spans="1:19" x14ac:dyDescent="0.3">
      <c r="A2662" s="2" t="s">
        <v>3291</v>
      </c>
      <c r="B2662" s="2">
        <v>104</v>
      </c>
      <c r="C2662" s="3">
        <v>155972</v>
      </c>
      <c r="D2662" s="3" t="s">
        <v>5940</v>
      </c>
      <c r="E2662" s="2" t="s">
        <v>4793</v>
      </c>
      <c r="F2662" s="2" t="s">
        <v>10</v>
      </c>
      <c r="G2662" s="2" t="s">
        <v>11</v>
      </c>
      <c r="H2662" s="2">
        <v>4000000</v>
      </c>
      <c r="I2662" s="2">
        <v>7.1</v>
      </c>
      <c r="J2662" s="3">
        <v>47952020</v>
      </c>
      <c r="K2662">
        <f t="shared" si="90"/>
        <v>1.3775047412552699E-3</v>
      </c>
      <c r="R2662" s="12" t="str">
        <f ca="1">IFERROR(__xludf.DUMMYFUNCTION("""COMPUTED_VALUE"""),"Living Out Loud ")</f>
        <v>Living Out Loud </v>
      </c>
      <c r="S2662" s="12">
        <f t="shared" si="91"/>
        <v>4460089</v>
      </c>
    </row>
    <row r="2663" spans="1:19" x14ac:dyDescent="0.3">
      <c r="A2663" s="2" t="s">
        <v>712</v>
      </c>
      <c r="B2663" s="2">
        <v>130</v>
      </c>
      <c r="C2663" s="3">
        <v>12985267</v>
      </c>
      <c r="D2663" s="3" t="s">
        <v>6041</v>
      </c>
      <c r="E2663" s="2" t="s">
        <v>713</v>
      </c>
      <c r="F2663" s="2" t="s">
        <v>10</v>
      </c>
      <c r="G2663" s="2" t="s">
        <v>11</v>
      </c>
      <c r="H2663" s="2">
        <v>80000000</v>
      </c>
      <c r="I2663" s="2">
        <v>5.0999999999999996</v>
      </c>
      <c r="J2663" s="3">
        <v>48006503</v>
      </c>
      <c r="K2663">
        <f t="shared" si="90"/>
        <v>1.3775047412552699E-3</v>
      </c>
      <c r="R2663" s="12" t="str">
        <f ca="1">IFERROR(__xludf.DUMMYFUNCTION("""COMPUTED_VALUE"""),"Das Boot ")</f>
        <v>Das Boot </v>
      </c>
      <c r="S2663" s="12">
        <f t="shared" si="91"/>
        <v>-19017320</v>
      </c>
    </row>
    <row r="2664" spans="1:19" x14ac:dyDescent="0.3">
      <c r="A2664" s="2" t="s">
        <v>4451</v>
      </c>
      <c r="B2664" s="2">
        <v>141</v>
      </c>
      <c r="C2664" s="3">
        <v>19673424</v>
      </c>
      <c r="D2664" s="3" t="s">
        <v>6266</v>
      </c>
      <c r="E2664" s="2" t="s">
        <v>4452</v>
      </c>
      <c r="F2664" s="2" t="s">
        <v>10</v>
      </c>
      <c r="G2664" s="2" t="s">
        <v>199</v>
      </c>
      <c r="H2664" s="2">
        <v>7000000</v>
      </c>
      <c r="I2664" s="2">
        <v>7.7</v>
      </c>
      <c r="J2664" s="3">
        <v>48043505</v>
      </c>
      <c r="K2664">
        <f t="shared" si="90"/>
        <v>1.3775047412552699E-3</v>
      </c>
      <c r="R2664" s="12" t="str">
        <f ca="1">IFERROR(__xludf.DUMMYFUNCTION("""COMPUTED_VALUE"""),"Sorority Boys ")</f>
        <v>Sorority Boys </v>
      </c>
      <c r="S2664" s="12">
        <f t="shared" si="91"/>
        <v>-58900000</v>
      </c>
    </row>
    <row r="2665" spans="1:19" x14ac:dyDescent="0.3">
      <c r="A2665" s="2" t="s">
        <v>2927</v>
      </c>
      <c r="B2665" s="2">
        <v>115</v>
      </c>
      <c r="C2665" s="3">
        <v>96067179</v>
      </c>
      <c r="D2665" s="3" t="s">
        <v>6393</v>
      </c>
      <c r="E2665" s="2" t="s">
        <v>2928</v>
      </c>
      <c r="F2665" s="2" t="s">
        <v>10</v>
      </c>
      <c r="G2665" s="2" t="s">
        <v>11</v>
      </c>
      <c r="H2665" s="2">
        <v>20000000</v>
      </c>
      <c r="I2665" s="2">
        <v>6.5</v>
      </c>
      <c r="J2665" s="3">
        <v>48056940</v>
      </c>
      <c r="K2665">
        <f t="shared" si="90"/>
        <v>1.3775047412552699E-3</v>
      </c>
      <c r="R2665" s="12" t="str">
        <f ca="1">IFERROR(__xludf.DUMMYFUNCTION("""COMPUTED_VALUE"""),"About Time ")</f>
        <v>About Time </v>
      </c>
      <c r="S2665" s="12">
        <f t="shared" si="91"/>
        <v>-207547791</v>
      </c>
    </row>
    <row r="2666" spans="1:19" x14ac:dyDescent="0.3">
      <c r="A2666" s="2" t="s">
        <v>104</v>
      </c>
      <c r="B2666" s="2">
        <v>122</v>
      </c>
      <c r="C2666" s="3">
        <v>194568</v>
      </c>
      <c r="D2666" s="3" t="s">
        <v>5995</v>
      </c>
      <c r="E2666" s="2" t="s">
        <v>105</v>
      </c>
      <c r="F2666" s="2" t="s">
        <v>10</v>
      </c>
      <c r="G2666" s="2" t="s">
        <v>11</v>
      </c>
      <c r="H2666" s="2">
        <v>185000000</v>
      </c>
      <c r="I2666" s="2">
        <v>6.2</v>
      </c>
      <c r="J2666" s="3">
        <v>48068396</v>
      </c>
      <c r="K2666">
        <f t="shared" si="90"/>
        <v>1.3775047412552699E-3</v>
      </c>
      <c r="R2666" s="12" t="str">
        <f ca="1">IFERROR(__xludf.DUMMYFUNCTION("""COMPUTED_VALUE"""),"House of Flying Daggers ")</f>
        <v>House of Flying Daggers </v>
      </c>
      <c r="S2666" s="12">
        <f t="shared" si="91"/>
        <v>81726474</v>
      </c>
    </row>
    <row r="2667" spans="1:19" x14ac:dyDescent="0.3">
      <c r="A2667" s="2" t="s">
        <v>5706</v>
      </c>
      <c r="B2667" s="2">
        <v>90</v>
      </c>
      <c r="C2667" s="3">
        <v>44988180</v>
      </c>
      <c r="D2667" s="3" t="s">
        <v>6028</v>
      </c>
      <c r="E2667" s="2" t="s">
        <v>5707</v>
      </c>
      <c r="F2667" s="2" t="s">
        <v>10</v>
      </c>
      <c r="G2667" s="2" t="s">
        <v>11</v>
      </c>
      <c r="H2667" s="3">
        <v>474544677</v>
      </c>
      <c r="I2667" s="2">
        <v>7.6</v>
      </c>
      <c r="J2667" s="3">
        <v>48092846</v>
      </c>
      <c r="K2667">
        <f t="shared" si="90"/>
        <v>1.3775047412552699E-3</v>
      </c>
      <c r="R2667" s="12" t="str">
        <f ca="1">IFERROR(__xludf.DUMMYFUNCTION("""COMPUTED_VALUE"""),"Arbitrage ")</f>
        <v>Arbitrage </v>
      </c>
      <c r="S2667" s="12">
        <f t="shared" si="91"/>
        <v>14450975</v>
      </c>
    </row>
    <row r="2668" spans="1:19" x14ac:dyDescent="0.3">
      <c r="A2668" s="2" t="s">
        <v>4364</v>
      </c>
      <c r="B2668" s="2">
        <v>119</v>
      </c>
      <c r="C2668" s="3">
        <v>7774730</v>
      </c>
      <c r="D2668" s="3" t="s">
        <v>5910</v>
      </c>
      <c r="E2668" s="2" t="s">
        <v>4365</v>
      </c>
      <c r="F2668" s="2" t="s">
        <v>10</v>
      </c>
      <c r="G2668" s="2" t="s">
        <v>11</v>
      </c>
      <c r="H2668" s="2">
        <v>9000000</v>
      </c>
      <c r="I2668" s="2">
        <v>6.8</v>
      </c>
      <c r="J2668" s="3">
        <v>48114556</v>
      </c>
      <c r="K2668">
        <f t="shared" si="90"/>
        <v>1.3775047412552699E-3</v>
      </c>
      <c r="R2668" s="12" t="str">
        <f ca="1">IFERROR(__xludf.DUMMYFUNCTION("""COMPUTED_VALUE"""),"Project Almanac ")</f>
        <v>Project Almanac </v>
      </c>
      <c r="S2668" s="12">
        <f t="shared" si="91"/>
        <v>-27111297</v>
      </c>
    </row>
    <row r="2669" spans="1:19" x14ac:dyDescent="0.3">
      <c r="A2669" s="2" t="s">
        <v>5396</v>
      </c>
      <c r="B2669" s="2">
        <v>93</v>
      </c>
      <c r="C2669" s="3">
        <v>5974653</v>
      </c>
      <c r="D2669" s="3" t="s">
        <v>5818</v>
      </c>
      <c r="E2669" s="2" t="s">
        <v>5397</v>
      </c>
      <c r="F2669" s="2" t="s">
        <v>10</v>
      </c>
      <c r="G2669" s="2" t="s">
        <v>11</v>
      </c>
      <c r="H2669" s="2">
        <v>1000000</v>
      </c>
      <c r="I2669" s="2">
        <v>3.5</v>
      </c>
      <c r="J2669" s="3">
        <v>48154732</v>
      </c>
      <c r="K2669">
        <f t="shared" si="90"/>
        <v>1.3775047412552699E-3</v>
      </c>
      <c r="R2669" s="12" t="str">
        <f ca="1">IFERROR(__xludf.DUMMYFUNCTION("""COMPUTED_VALUE"""),"Cadillac Records ")</f>
        <v>Cadillac Records </v>
      </c>
      <c r="S2669" s="12">
        <f t="shared" si="91"/>
        <v>-74982851</v>
      </c>
    </row>
    <row r="2670" spans="1:19" x14ac:dyDescent="0.3">
      <c r="A2670" s="2" t="s">
        <v>3219</v>
      </c>
      <c r="B2670" s="2">
        <v>121</v>
      </c>
      <c r="C2670" s="3">
        <v>13801755</v>
      </c>
      <c r="D2670" s="3" t="s">
        <v>5940</v>
      </c>
      <c r="E2670" s="2" t="s">
        <v>3220</v>
      </c>
      <c r="F2670" s="2" t="s">
        <v>10</v>
      </c>
      <c r="G2670" s="2" t="s">
        <v>932</v>
      </c>
      <c r="H2670" s="2">
        <v>11350000</v>
      </c>
      <c r="I2670" s="2">
        <v>6.2</v>
      </c>
      <c r="J2670" s="3">
        <v>48169908</v>
      </c>
      <c r="K2670">
        <f t="shared" si="90"/>
        <v>1.3775047412552699E-3</v>
      </c>
      <c r="R2670" s="12" t="str">
        <f ca="1">IFERROR(__xludf.DUMMYFUNCTION("""COMPUTED_VALUE"""),"Screwed ")</f>
        <v>Screwed </v>
      </c>
      <c r="S2670" s="12">
        <f t="shared" si="91"/>
        <v>-35739083</v>
      </c>
    </row>
    <row r="2671" spans="1:19" x14ac:dyDescent="0.3">
      <c r="A2671" s="2" t="s">
        <v>187</v>
      </c>
      <c r="B2671" s="2">
        <v>93</v>
      </c>
      <c r="C2671" s="3">
        <v>22751979</v>
      </c>
      <c r="D2671" s="3" t="s">
        <v>5892</v>
      </c>
      <c r="E2671" s="2" t="s">
        <v>188</v>
      </c>
      <c r="F2671" s="2" t="s">
        <v>10</v>
      </c>
      <c r="G2671" s="2" t="s">
        <v>11</v>
      </c>
      <c r="H2671" s="2">
        <v>160000000</v>
      </c>
      <c r="I2671" s="2">
        <v>6.1</v>
      </c>
      <c r="J2671" s="3">
        <v>48237389</v>
      </c>
      <c r="K2671">
        <f t="shared" si="90"/>
        <v>1.3775047412552699E-3</v>
      </c>
      <c r="R2671" s="12" t="str">
        <f ca="1">IFERROR(__xludf.DUMMYFUNCTION("""COMPUTED_VALUE"""),"Fortress ")</f>
        <v>Fortress </v>
      </c>
      <c r="S2671" s="12">
        <f t="shared" si="91"/>
        <v>-9793600</v>
      </c>
    </row>
    <row r="2672" spans="1:19" x14ac:dyDescent="0.3">
      <c r="A2672" s="2" t="s">
        <v>644</v>
      </c>
      <c r="B2672" s="2">
        <v>106</v>
      </c>
      <c r="C2672" s="3">
        <v>5997134</v>
      </c>
      <c r="D2672" s="3" t="s">
        <v>5910</v>
      </c>
      <c r="E2672" s="2" t="s">
        <v>645</v>
      </c>
      <c r="F2672" s="2" t="s">
        <v>10</v>
      </c>
      <c r="G2672" s="2" t="s">
        <v>11</v>
      </c>
      <c r="H2672" s="2">
        <v>85000000</v>
      </c>
      <c r="I2672" s="2">
        <v>5.6</v>
      </c>
      <c r="J2672" s="3">
        <v>48265581</v>
      </c>
      <c r="K2672">
        <f t="shared" si="90"/>
        <v>1.3775047412552699E-3</v>
      </c>
      <c r="R2672" s="12" t="str">
        <f ca="1">IFERROR(__xludf.DUMMYFUNCTION("""COMPUTED_VALUE"""),"For Your Consideration ")</f>
        <v>For Your Consideration </v>
      </c>
      <c r="S2672" s="12">
        <f t="shared" si="91"/>
        <v>-45493002</v>
      </c>
    </row>
    <row r="2673" spans="1:19" x14ac:dyDescent="0.3">
      <c r="A2673" s="2" t="s">
        <v>701</v>
      </c>
      <c r="B2673" s="2">
        <v>104</v>
      </c>
      <c r="C2673" s="3">
        <v>4046737</v>
      </c>
      <c r="D2673" s="3" t="s">
        <v>6191</v>
      </c>
      <c r="E2673" s="2" t="s">
        <v>702</v>
      </c>
      <c r="F2673" s="2" t="s">
        <v>10</v>
      </c>
      <c r="G2673" s="2" t="s">
        <v>11</v>
      </c>
      <c r="H2673" s="2">
        <v>80000000</v>
      </c>
      <c r="I2673" s="2">
        <v>5.5</v>
      </c>
      <c r="J2673" s="3">
        <v>48291624</v>
      </c>
      <c r="K2673">
        <f t="shared" si="90"/>
        <v>1.3775047412552699E-3</v>
      </c>
      <c r="R2673" s="12" t="str">
        <f ca="1">IFERROR(__xludf.DUMMYFUNCTION("""COMPUTED_VALUE"""),"Celebrity ")</f>
        <v>Celebrity </v>
      </c>
      <c r="S2673" s="12">
        <f t="shared" si="91"/>
        <v>-19500737</v>
      </c>
    </row>
    <row r="2674" spans="1:19" x14ac:dyDescent="0.3">
      <c r="A2674" s="2" t="s">
        <v>3435</v>
      </c>
      <c r="B2674" s="2">
        <v>118</v>
      </c>
      <c r="C2674" s="3">
        <v>28399192</v>
      </c>
      <c r="D2674" s="3" t="s">
        <v>520</v>
      </c>
      <c r="E2674" s="2" t="s">
        <v>4344</v>
      </c>
      <c r="F2674" s="2" t="s">
        <v>10</v>
      </c>
      <c r="G2674" s="2" t="s">
        <v>504</v>
      </c>
      <c r="H2674" s="2">
        <v>7000000</v>
      </c>
      <c r="I2674" s="2">
        <v>7</v>
      </c>
      <c r="J2674" s="3">
        <v>48423368</v>
      </c>
      <c r="K2674">
        <f t="shared" si="90"/>
        <v>1.3775047412552699E-3</v>
      </c>
      <c r="R2674" s="12" t="str">
        <f ca="1">IFERROR(__xludf.DUMMYFUNCTION("""COMPUTED_VALUE"""),"Running with Scissors ")</f>
        <v>Running with Scissors </v>
      </c>
      <c r="S2674" s="12">
        <f t="shared" si="91"/>
        <v>8110731</v>
      </c>
    </row>
    <row r="2675" spans="1:19" x14ac:dyDescent="0.3">
      <c r="A2675" s="2" t="s">
        <v>2611</v>
      </c>
      <c r="B2675" s="2">
        <v>103</v>
      </c>
      <c r="C2675" s="3">
        <v>1939441</v>
      </c>
      <c r="D2675" s="3" t="s">
        <v>5898</v>
      </c>
      <c r="E2675" s="2" t="s">
        <v>2612</v>
      </c>
      <c r="F2675" s="2" t="s">
        <v>10</v>
      </c>
      <c r="G2675" s="2" t="s">
        <v>11</v>
      </c>
      <c r="H2675" s="2">
        <v>25000000</v>
      </c>
      <c r="I2675" s="2">
        <v>6.3</v>
      </c>
      <c r="J2675" s="3">
        <v>48430355</v>
      </c>
      <c r="K2675">
        <f t="shared" si="90"/>
        <v>1.3775047412552699E-3</v>
      </c>
      <c r="R2675" s="12" t="str">
        <f ca="1">IFERROR(__xludf.DUMMYFUNCTION("""COMPUTED_VALUE"""),"From Justin to Kelly ")</f>
        <v>From Justin to Kelly </v>
      </c>
      <c r="S2675" s="12">
        <f t="shared" si="91"/>
        <v>-33955382</v>
      </c>
    </row>
    <row r="2676" spans="1:19" x14ac:dyDescent="0.3">
      <c r="A2676" s="2" t="s">
        <v>644</v>
      </c>
      <c r="B2676" s="2">
        <v>110</v>
      </c>
      <c r="C2676" s="3">
        <v>3386698</v>
      </c>
      <c r="D2676" s="3" t="s">
        <v>5852</v>
      </c>
      <c r="E2676" s="2" t="s">
        <v>816</v>
      </c>
      <c r="F2676" s="2" t="s">
        <v>10</v>
      </c>
      <c r="G2676" s="2" t="s">
        <v>11</v>
      </c>
      <c r="H2676" s="2">
        <v>75000000</v>
      </c>
      <c r="I2676" s="2">
        <v>6.1</v>
      </c>
      <c r="J2676" s="3">
        <v>48472213</v>
      </c>
      <c r="K2676">
        <f t="shared" si="90"/>
        <v>1.3775047412552699E-3</v>
      </c>
      <c r="R2676" s="12" t="str">
        <f ca="1">IFERROR(__xludf.DUMMYFUNCTION("""COMPUTED_VALUE"""),"Girl 6 ")</f>
        <v>Girl 6 </v>
      </c>
      <c r="S2676" s="12">
        <f t="shared" si="91"/>
        <v>-3388291</v>
      </c>
    </row>
    <row r="2677" spans="1:19" x14ac:dyDescent="0.3">
      <c r="A2677" s="2" t="s">
        <v>355</v>
      </c>
      <c r="B2677" s="2">
        <v>123</v>
      </c>
      <c r="C2677" s="3">
        <v>28341469</v>
      </c>
      <c r="D2677" s="3" t="s">
        <v>885</v>
      </c>
      <c r="E2677" s="2" t="s">
        <v>356</v>
      </c>
      <c r="F2677" s="2" t="s">
        <v>10</v>
      </c>
      <c r="G2677" s="2" t="s">
        <v>11</v>
      </c>
      <c r="H2677" s="2">
        <v>125000000</v>
      </c>
      <c r="I2677" s="2">
        <v>6.1</v>
      </c>
      <c r="J2677" s="3">
        <v>48546578</v>
      </c>
      <c r="K2677">
        <f t="shared" si="90"/>
        <v>1.3775047412552699E-3</v>
      </c>
      <c r="R2677" s="12" t="str">
        <f ca="1">IFERROR(__xludf.DUMMYFUNCTION("""COMPUTED_VALUE"""),"In the Cut ")</f>
        <v>In the Cut </v>
      </c>
      <c r="S2677" s="12">
        <f t="shared" si="91"/>
        <v>1793258</v>
      </c>
    </row>
    <row r="2678" spans="1:19" x14ac:dyDescent="0.3">
      <c r="A2678" s="2" t="s">
        <v>598</v>
      </c>
      <c r="B2678" s="2">
        <v>138</v>
      </c>
      <c r="C2678" s="3">
        <v>42660000</v>
      </c>
      <c r="D2678" s="3" t="s">
        <v>5857</v>
      </c>
      <c r="E2678" s="2" t="s">
        <v>599</v>
      </c>
      <c r="F2678" s="2" t="s">
        <v>10</v>
      </c>
      <c r="G2678" s="2" t="s">
        <v>16</v>
      </c>
      <c r="H2678" s="2">
        <v>100000000</v>
      </c>
      <c r="I2678" s="2">
        <v>6.7</v>
      </c>
      <c r="J2678" s="3">
        <v>48637684</v>
      </c>
      <c r="K2678">
        <f t="shared" si="90"/>
        <v>1.3775047412552699E-3</v>
      </c>
      <c r="R2678" s="12" t="str">
        <f ca="1">IFERROR(__xludf.DUMMYFUNCTION("""COMPUTED_VALUE"""),"Two Lovers ")</f>
        <v>Two Lovers </v>
      </c>
      <c r="S2678" s="12">
        <f t="shared" si="91"/>
        <v>9490000</v>
      </c>
    </row>
    <row r="2679" spans="1:19" x14ac:dyDescent="0.3">
      <c r="A2679" s="2" t="s">
        <v>965</v>
      </c>
      <c r="B2679" s="2">
        <v>136</v>
      </c>
      <c r="C2679" s="3">
        <v>5932060</v>
      </c>
      <c r="D2679" s="3" t="s">
        <v>5818</v>
      </c>
      <c r="E2679" s="2" t="s">
        <v>2826</v>
      </c>
      <c r="F2679" s="2" t="s">
        <v>10</v>
      </c>
      <c r="G2679" s="2" t="s">
        <v>11</v>
      </c>
      <c r="H2679" s="2">
        <v>21000000</v>
      </c>
      <c r="I2679" s="2">
        <v>5.9</v>
      </c>
      <c r="J2679" s="3">
        <v>48745150</v>
      </c>
      <c r="K2679">
        <f t="shared" si="90"/>
        <v>1.3775047412552699E-3</v>
      </c>
      <c r="R2679" s="12" t="str">
        <f ca="1">IFERROR(__xludf.DUMMYFUNCTION("""COMPUTED_VALUE"""),"Last Orders ")</f>
        <v>Last Orders </v>
      </c>
      <c r="S2679" s="12">
        <f t="shared" si="91"/>
        <v>-234570293</v>
      </c>
    </row>
    <row r="2680" spans="1:19" x14ac:dyDescent="0.3">
      <c r="A2680" s="2" t="s">
        <v>116</v>
      </c>
      <c r="B2680" s="2">
        <v>127</v>
      </c>
      <c r="C2680" s="3">
        <v>15712072</v>
      </c>
      <c r="D2680" s="3" t="s">
        <v>6195</v>
      </c>
      <c r="E2680" s="2" t="s">
        <v>117</v>
      </c>
      <c r="F2680" s="2" t="s">
        <v>10</v>
      </c>
      <c r="G2680" s="2" t="s">
        <v>11</v>
      </c>
      <c r="H2680" s="2">
        <v>176000000</v>
      </c>
      <c r="I2680" s="2">
        <v>5.4</v>
      </c>
      <c r="J2680" s="3">
        <v>48814909</v>
      </c>
      <c r="K2680">
        <f t="shared" si="90"/>
        <v>1.3775047412552699E-3</v>
      </c>
      <c r="R2680" s="12" t="str">
        <f ca="1">IFERROR(__xludf.DUMMYFUNCTION("""COMPUTED_VALUE"""),"Ravenous ")</f>
        <v>Ravenous </v>
      </c>
      <c r="S2680" s="12">
        <f t="shared" si="91"/>
        <v>31672350</v>
      </c>
    </row>
    <row r="2681" spans="1:19" x14ac:dyDescent="0.3">
      <c r="A2681" s="2" t="s">
        <v>5087</v>
      </c>
      <c r="B2681" s="2">
        <v>98</v>
      </c>
      <c r="C2681" s="3">
        <v>26415649</v>
      </c>
      <c r="D2681" s="3" t="s">
        <v>885</v>
      </c>
      <c r="E2681" s="2" t="s">
        <v>5088</v>
      </c>
      <c r="F2681" s="2" t="s">
        <v>10</v>
      </c>
      <c r="G2681" s="2" t="s">
        <v>16</v>
      </c>
      <c r="H2681" s="2">
        <v>2000000</v>
      </c>
      <c r="I2681" s="2">
        <v>5.7</v>
      </c>
      <c r="J2681" s="3">
        <v>49002815</v>
      </c>
      <c r="K2681">
        <f t="shared" si="90"/>
        <v>1.3775047412552699E-3</v>
      </c>
      <c r="R2681" s="12" t="str">
        <f ca="1">IFERROR(__xludf.DUMMYFUNCTION("""COMPUTED_VALUE"""),"Charlie Bartlett ")</f>
        <v>Charlie Bartlett </v>
      </c>
      <c r="S2681" s="12">
        <f t="shared" si="91"/>
        <v>1501651</v>
      </c>
    </row>
    <row r="2682" spans="1:19" x14ac:dyDescent="0.3">
      <c r="A2682" s="2" t="s">
        <v>2793</v>
      </c>
      <c r="B2682" s="2">
        <v>100</v>
      </c>
      <c r="C2682" s="3">
        <v>26903709</v>
      </c>
      <c r="D2682" s="3" t="s">
        <v>5811</v>
      </c>
      <c r="E2682" s="2" t="s">
        <v>4002</v>
      </c>
      <c r="F2682" s="2" t="s">
        <v>10</v>
      </c>
      <c r="G2682" s="2" t="s">
        <v>11</v>
      </c>
      <c r="H2682" s="2">
        <v>10000000</v>
      </c>
      <c r="I2682" s="2">
        <v>6.5</v>
      </c>
      <c r="J2682" s="3">
        <v>49024969</v>
      </c>
      <c r="K2682">
        <f t="shared" si="90"/>
        <v>1.3775047412552699E-3</v>
      </c>
      <c r="R2682" s="12" t="str">
        <f ca="1">IFERROR(__xludf.DUMMYFUNCTION("""COMPUTED_VALUE"""),"The Great Beauty ")</f>
        <v>The Great Beauty </v>
      </c>
      <c r="S2682" s="12">
        <f t="shared" si="91"/>
        <v>2652565</v>
      </c>
    </row>
    <row r="2683" spans="1:19" x14ac:dyDescent="0.3">
      <c r="A2683" s="2" t="s">
        <v>29</v>
      </c>
      <c r="B2683" s="2">
        <v>215</v>
      </c>
      <c r="C2683" s="2">
        <v>107503316</v>
      </c>
      <c r="D2683" s="3" t="s">
        <v>5751</v>
      </c>
      <c r="E2683" s="2" t="s">
        <v>277</v>
      </c>
      <c r="F2683" s="2" t="s">
        <v>10</v>
      </c>
      <c r="G2683" s="2" t="s">
        <v>11</v>
      </c>
      <c r="H2683" s="2">
        <v>130000000</v>
      </c>
      <c r="I2683" s="2">
        <v>7.7</v>
      </c>
      <c r="J2683" s="3">
        <v>49121934</v>
      </c>
      <c r="K2683">
        <f t="shared" si="90"/>
        <v>1.3775047412552699E-3</v>
      </c>
      <c r="R2683" s="12" t="str">
        <f ca="1">IFERROR(__xludf.DUMMYFUNCTION("""COMPUTED_VALUE"""),"The Dangerous Lives of Altar Boys ")</f>
        <v>The Dangerous Lives of Altar Boys </v>
      </c>
      <c r="S2683" s="12">
        <f t="shared" si="91"/>
        <v>50401464</v>
      </c>
    </row>
    <row r="2684" spans="1:19" x14ac:dyDescent="0.3">
      <c r="A2684" s="2" t="s">
        <v>1347</v>
      </c>
      <c r="B2684" s="2">
        <v>83</v>
      </c>
      <c r="C2684" s="3">
        <v>24397469</v>
      </c>
      <c r="D2684" s="3" t="s">
        <v>520</v>
      </c>
      <c r="E2684" s="2" t="s">
        <v>2049</v>
      </c>
      <c r="F2684" s="2" t="s">
        <v>10</v>
      </c>
      <c r="G2684" s="2" t="s">
        <v>11</v>
      </c>
      <c r="H2684" s="2">
        <v>35000000</v>
      </c>
      <c r="I2684" s="2">
        <v>4.2</v>
      </c>
      <c r="J2684" s="3">
        <v>49122319</v>
      </c>
      <c r="K2684">
        <f t="shared" si="90"/>
        <v>1.3775047412552699E-3</v>
      </c>
      <c r="R2684" s="12" t="str">
        <f ca="1">IFERROR(__xludf.DUMMYFUNCTION("""COMPUTED_VALUE"""),"Stoker ")</f>
        <v>Stoker </v>
      </c>
      <c r="S2684" s="12">
        <f t="shared" si="91"/>
        <v>-3844028</v>
      </c>
    </row>
    <row r="2685" spans="1:19" x14ac:dyDescent="0.3">
      <c r="A2685" s="2" t="s">
        <v>12</v>
      </c>
      <c r="B2685" s="2">
        <v>107</v>
      </c>
      <c r="C2685" s="3">
        <v>20300000</v>
      </c>
      <c r="D2685" s="3" t="s">
        <v>6191</v>
      </c>
      <c r="E2685" s="2" t="s">
        <v>302</v>
      </c>
      <c r="F2685" s="2" t="s">
        <v>10</v>
      </c>
      <c r="G2685" s="2" t="s">
        <v>11</v>
      </c>
      <c r="H2685" s="2">
        <v>135000000</v>
      </c>
      <c r="I2685" s="2">
        <v>7.2</v>
      </c>
      <c r="J2685" s="3">
        <v>49185998</v>
      </c>
      <c r="K2685">
        <f t="shared" si="90"/>
        <v>1.3775047412552699E-3</v>
      </c>
      <c r="R2685" s="12" t="str">
        <f ca="1">IFERROR(__xludf.DUMMYFUNCTION("""COMPUTED_VALUE"""),"2046 ")</f>
        <v>2046 </v>
      </c>
      <c r="S2685" s="12">
        <f t="shared" si="91"/>
        <v>-67014733</v>
      </c>
    </row>
    <row r="2686" spans="1:19" x14ac:dyDescent="0.3">
      <c r="A2686" s="2" t="s">
        <v>2490</v>
      </c>
      <c r="B2686" s="2">
        <v>118</v>
      </c>
      <c r="C2686" s="3">
        <v>42592530</v>
      </c>
      <c r="D2686" s="3" t="s">
        <v>5972</v>
      </c>
      <c r="E2686" s="2" t="s">
        <v>2491</v>
      </c>
      <c r="F2686" s="2" t="s">
        <v>10</v>
      </c>
      <c r="G2686" s="2" t="s">
        <v>504</v>
      </c>
      <c r="H2686" s="2">
        <v>42000000</v>
      </c>
      <c r="I2686" s="2">
        <v>6</v>
      </c>
      <c r="J2686" s="3">
        <v>49369900</v>
      </c>
      <c r="K2686">
        <f t="shared" si="90"/>
        <v>1.3775047412552699E-3</v>
      </c>
      <c r="R2686" s="12" t="str">
        <f ca="1">IFERROR(__xludf.DUMMYFUNCTION("""COMPUTED_VALUE"""),"Married Life ")</f>
        <v>Married Life </v>
      </c>
      <c r="S2686" s="12">
        <f t="shared" si="91"/>
        <v>12673424</v>
      </c>
    </row>
    <row r="2687" spans="1:19" x14ac:dyDescent="0.3">
      <c r="A2687" s="2" t="s">
        <v>256</v>
      </c>
      <c r="B2687" s="2">
        <v>116</v>
      </c>
      <c r="C2687" s="3">
        <v>303439</v>
      </c>
      <c r="D2687" s="3" t="s">
        <v>5865</v>
      </c>
      <c r="E2687" s="2" t="s">
        <v>257</v>
      </c>
      <c r="F2687" s="2" t="s">
        <v>10</v>
      </c>
      <c r="G2687" s="2" t="s">
        <v>11</v>
      </c>
      <c r="H2687" s="2">
        <v>144000000</v>
      </c>
      <c r="I2687" s="2">
        <v>5.5</v>
      </c>
      <c r="J2687" s="3">
        <v>49392095</v>
      </c>
      <c r="K2687">
        <f t="shared" si="90"/>
        <v>1.3775047412552699E-3</v>
      </c>
      <c r="R2687" s="12" t="str">
        <f ca="1">IFERROR(__xludf.DUMMYFUNCTION("""COMPUTED_VALUE"""),"Duma ")</f>
        <v>Duma </v>
      </c>
      <c r="S2687" s="12">
        <f t="shared" si="91"/>
        <v>76067179</v>
      </c>
    </row>
    <row r="2688" spans="1:19" x14ac:dyDescent="0.3">
      <c r="A2688" s="2" t="s">
        <v>81</v>
      </c>
      <c r="B2688" s="2">
        <v>74</v>
      </c>
      <c r="C2688" s="3">
        <v>13829734</v>
      </c>
      <c r="D2688" s="3" t="s">
        <v>5818</v>
      </c>
      <c r="E2688" s="2" t="s">
        <v>2165</v>
      </c>
      <c r="F2688" s="2" t="s">
        <v>10</v>
      </c>
      <c r="G2688" s="2" t="s">
        <v>11</v>
      </c>
      <c r="H2688" s="2">
        <v>30000000</v>
      </c>
      <c r="I2688" s="2">
        <v>8.3000000000000007</v>
      </c>
      <c r="J2688" s="3">
        <v>49474048</v>
      </c>
      <c r="K2688">
        <f t="shared" si="90"/>
        <v>1.3775047412552699E-3</v>
      </c>
      <c r="R2688" s="12" t="str">
        <f ca="1">IFERROR(__xludf.DUMMYFUNCTION("""COMPUTED_VALUE"""),"Ondine ")</f>
        <v>Ondine </v>
      </c>
      <c r="S2688" s="12">
        <f t="shared" si="91"/>
        <v>-184805432</v>
      </c>
    </row>
    <row r="2689" spans="1:19" x14ac:dyDescent="0.3">
      <c r="A2689" s="2" t="s">
        <v>14</v>
      </c>
      <c r="B2689" s="2">
        <v>143</v>
      </c>
      <c r="C2689" s="3">
        <v>108229</v>
      </c>
      <c r="D2689" s="3" t="s">
        <v>6394</v>
      </c>
      <c r="E2689" s="2" t="s">
        <v>63</v>
      </c>
      <c r="F2689" s="2" t="s">
        <v>10</v>
      </c>
      <c r="G2689" s="2" t="s">
        <v>16</v>
      </c>
      <c r="H2689" s="2">
        <v>200000000</v>
      </c>
      <c r="I2689" s="2">
        <v>7.8</v>
      </c>
      <c r="J2689" s="3">
        <v>49551662</v>
      </c>
      <c r="K2689">
        <f t="shared" si="90"/>
        <v>1.3775047412552699E-3</v>
      </c>
      <c r="R2689" s="12" t="str">
        <f ca="1">IFERROR(__xludf.DUMMYFUNCTION("""COMPUTED_VALUE"""),"Brother ")</f>
        <v>Brother </v>
      </c>
      <c r="S2689" s="12">
        <f t="shared" si="91"/>
        <v>-429556497</v>
      </c>
    </row>
    <row r="2690" spans="1:19" x14ac:dyDescent="0.3">
      <c r="A2690" s="2" t="s">
        <v>2661</v>
      </c>
      <c r="B2690" s="2">
        <v>104</v>
      </c>
      <c r="C2690" s="3">
        <v>49874933</v>
      </c>
      <c r="D2690" s="3" t="s">
        <v>6035</v>
      </c>
      <c r="E2690" s="2" t="s">
        <v>3068</v>
      </c>
      <c r="F2690" s="2" t="s">
        <v>10</v>
      </c>
      <c r="G2690" s="2" t="s">
        <v>98</v>
      </c>
      <c r="H2690" s="2">
        <v>2000000</v>
      </c>
      <c r="I2690" s="2">
        <v>7.4</v>
      </c>
      <c r="J2690" s="3">
        <v>49797148</v>
      </c>
      <c r="K2690">
        <f t="shared" ref="K2690:K2753" si="92">CORREL(H$2:H$3941,J$2:J$3941)</f>
        <v>1.3775047412552699E-3</v>
      </c>
      <c r="R2690" s="12" t="str">
        <f ca="1">IFERROR(__xludf.DUMMYFUNCTION("""COMPUTED_VALUE"""),"Welcome to Collinwood ")</f>
        <v>Welcome to Collinwood </v>
      </c>
      <c r="S2690" s="12">
        <f t="shared" si="91"/>
        <v>-1225270</v>
      </c>
    </row>
    <row r="2691" spans="1:19" x14ac:dyDescent="0.3">
      <c r="A2691" s="2" t="s">
        <v>1305</v>
      </c>
      <c r="B2691" s="2">
        <v>180</v>
      </c>
      <c r="C2691" s="3">
        <v>10397365</v>
      </c>
      <c r="D2691" s="3" t="s">
        <v>5855</v>
      </c>
      <c r="E2691" s="2" t="s">
        <v>3146</v>
      </c>
      <c r="F2691" s="2" t="s">
        <v>10</v>
      </c>
      <c r="G2691" s="2" t="s">
        <v>11</v>
      </c>
      <c r="H2691" s="2">
        <v>18000000</v>
      </c>
      <c r="I2691" s="2">
        <v>8.3000000000000007</v>
      </c>
      <c r="J2691" s="3">
        <v>49851591</v>
      </c>
      <c r="K2691">
        <f t="shared" si="92"/>
        <v>1.3775047412552699E-3</v>
      </c>
      <c r="R2691" s="12" t="str">
        <f ca="1">IFERROR(__xludf.DUMMYFUNCTION("""COMPUTED_VALUE"""),"Critical Care ")</f>
        <v>Critical Care </v>
      </c>
      <c r="S2691" s="12">
        <f t="shared" si="91"/>
        <v>4974653</v>
      </c>
    </row>
    <row r="2692" spans="1:19" x14ac:dyDescent="0.3">
      <c r="A2692" s="2" t="s">
        <v>997</v>
      </c>
      <c r="B2692" s="2">
        <v>133</v>
      </c>
      <c r="C2692" s="3">
        <v>21197315</v>
      </c>
      <c r="D2692" s="3" t="s">
        <v>5767</v>
      </c>
      <c r="E2692" s="2" t="s">
        <v>1873</v>
      </c>
      <c r="F2692" s="2" t="s">
        <v>10</v>
      </c>
      <c r="G2692" s="2" t="s">
        <v>932</v>
      </c>
      <c r="H2692" s="2">
        <v>38000000</v>
      </c>
      <c r="I2692" s="2">
        <v>6.7</v>
      </c>
      <c r="J2692" s="3">
        <v>49874933</v>
      </c>
      <c r="K2692">
        <f t="shared" si="92"/>
        <v>1.3775047412552699E-3</v>
      </c>
      <c r="R2692" s="12" t="str">
        <f ca="1">IFERROR(__xludf.DUMMYFUNCTION("""COMPUTED_VALUE"""),"The Life Before Her Eyes ")</f>
        <v>The Life Before Her Eyes </v>
      </c>
      <c r="S2692" s="12">
        <f t="shared" si="91"/>
        <v>2451755</v>
      </c>
    </row>
    <row r="2693" spans="1:19" x14ac:dyDescent="0.3">
      <c r="A2693" s="2" t="s">
        <v>4838</v>
      </c>
      <c r="B2693" s="2">
        <v>104</v>
      </c>
      <c r="C2693" s="3">
        <v>4131640</v>
      </c>
      <c r="D2693" s="3" t="s">
        <v>5894</v>
      </c>
      <c r="E2693" s="2" t="s">
        <v>4839</v>
      </c>
      <c r="F2693" s="2" t="s">
        <v>10</v>
      </c>
      <c r="G2693" s="2" t="s">
        <v>16</v>
      </c>
      <c r="H2693" s="2">
        <v>4000000</v>
      </c>
      <c r="I2693" s="2">
        <v>6</v>
      </c>
      <c r="J2693" s="3">
        <v>49875589</v>
      </c>
      <c r="K2693">
        <f t="shared" si="92"/>
        <v>1.3775047412552699E-3</v>
      </c>
      <c r="R2693" s="12" t="str">
        <f ca="1">IFERROR(__xludf.DUMMYFUNCTION("""COMPUTED_VALUE"""),"Trade ")</f>
        <v>Trade </v>
      </c>
      <c r="S2693" s="12">
        <f t="shared" si="91"/>
        <v>-137248021</v>
      </c>
    </row>
    <row r="2694" spans="1:19" x14ac:dyDescent="0.3">
      <c r="A2694" s="2" t="s">
        <v>5121</v>
      </c>
      <c r="B2694" s="2">
        <v>81</v>
      </c>
      <c r="C2694" s="3">
        <v>19472057</v>
      </c>
      <c r="D2694" s="3" t="s">
        <v>5767</v>
      </c>
      <c r="E2694" s="2" t="s">
        <v>5122</v>
      </c>
      <c r="F2694" s="2" t="s">
        <v>10</v>
      </c>
      <c r="G2694" s="2" t="s">
        <v>16</v>
      </c>
      <c r="H2694" s="2">
        <v>2000000</v>
      </c>
      <c r="I2694" s="2">
        <v>7.4</v>
      </c>
      <c r="J2694" s="3">
        <v>49968653</v>
      </c>
      <c r="K2694">
        <f t="shared" si="92"/>
        <v>1.3775047412552699E-3</v>
      </c>
      <c r="R2694" s="12" t="str">
        <f ca="1">IFERROR(__xludf.DUMMYFUNCTION("""COMPUTED_VALUE"""),"Fateless ")</f>
        <v>Fateless </v>
      </c>
      <c r="S2694" s="12">
        <f t="shared" si="91"/>
        <v>-79002866</v>
      </c>
    </row>
    <row r="2695" spans="1:19" x14ac:dyDescent="0.3">
      <c r="A2695" s="2" t="s">
        <v>1162</v>
      </c>
      <c r="B2695" s="2">
        <v>156</v>
      </c>
      <c r="C2695" s="2">
        <v>4535117</v>
      </c>
      <c r="D2695" s="3" t="s">
        <v>6148</v>
      </c>
      <c r="E2695" s="2" t="s">
        <v>1163</v>
      </c>
      <c r="F2695" s="2" t="s">
        <v>10</v>
      </c>
      <c r="G2695" s="2" t="s">
        <v>199</v>
      </c>
      <c r="H2695" s="2">
        <v>60000000</v>
      </c>
      <c r="I2695" s="2">
        <v>3.8</v>
      </c>
      <c r="J2695" s="3">
        <v>49994804</v>
      </c>
      <c r="K2695">
        <f t="shared" si="92"/>
        <v>1.3775047412552699E-3</v>
      </c>
      <c r="R2695" s="12" t="str">
        <f ca="1">IFERROR(__xludf.DUMMYFUNCTION("""COMPUTED_VALUE"""),"Breakfast of Champions ")</f>
        <v>Breakfast of Champions </v>
      </c>
      <c r="S2695" s="12">
        <f t="shared" si="91"/>
        <v>-75953263</v>
      </c>
    </row>
    <row r="2696" spans="1:19" x14ac:dyDescent="0.3">
      <c r="A2696" s="2" t="s">
        <v>4328</v>
      </c>
      <c r="B2696" s="2">
        <v>102</v>
      </c>
      <c r="C2696" s="3">
        <v>57469179</v>
      </c>
      <c r="D2696" s="3" t="s">
        <v>885</v>
      </c>
      <c r="E2696" s="2" t="s">
        <v>4329</v>
      </c>
      <c r="F2696" s="2" t="s">
        <v>10</v>
      </c>
      <c r="G2696" s="2" t="s">
        <v>71</v>
      </c>
      <c r="H2696" s="2">
        <v>7500000</v>
      </c>
      <c r="I2696" s="2">
        <v>6</v>
      </c>
      <c r="J2696" s="3">
        <v>50000000</v>
      </c>
      <c r="K2696">
        <f t="shared" si="92"/>
        <v>1.3775047412552699E-3</v>
      </c>
      <c r="R2696" s="12" t="str">
        <f ca="1">IFERROR(__xludf.DUMMYFUNCTION("""COMPUTED_VALUE"""),"City of Life and Death ")</f>
        <v>City of Life and Death </v>
      </c>
      <c r="S2696" s="12">
        <f t="shared" si="91"/>
        <v>21399192</v>
      </c>
    </row>
    <row r="2697" spans="1:19" x14ac:dyDescent="0.3">
      <c r="A2697" s="2" t="s">
        <v>5438</v>
      </c>
      <c r="B2697" s="2">
        <v>86</v>
      </c>
      <c r="C2697" s="3">
        <v>37623143</v>
      </c>
      <c r="D2697" s="3" t="s">
        <v>5818</v>
      </c>
      <c r="E2697" s="2" t="s">
        <v>5439</v>
      </c>
      <c r="F2697" s="2" t="s">
        <v>10</v>
      </c>
      <c r="G2697" s="2" t="s">
        <v>11</v>
      </c>
      <c r="H2697" s="2">
        <v>750000</v>
      </c>
      <c r="I2697" s="2">
        <v>6.9</v>
      </c>
      <c r="J2697" s="3">
        <v>50003300</v>
      </c>
      <c r="K2697">
        <f t="shared" si="92"/>
        <v>1.3775047412552699E-3</v>
      </c>
      <c r="R2697" s="12" t="str">
        <f ca="1">IFERROR(__xludf.DUMMYFUNCTION("""COMPUTED_VALUE"""),"5 Days of War ")</f>
        <v>5 Days of War </v>
      </c>
      <c r="S2697" s="12">
        <f t="shared" si="91"/>
        <v>-23060559</v>
      </c>
    </row>
    <row r="2698" spans="1:19" x14ac:dyDescent="0.3">
      <c r="A2698" s="2" t="s">
        <v>2599</v>
      </c>
      <c r="B2698" s="2">
        <v>113</v>
      </c>
      <c r="C2698" s="3">
        <v>5949693</v>
      </c>
      <c r="D2698" s="3" t="s">
        <v>5910</v>
      </c>
      <c r="E2698" s="2" t="s">
        <v>4285</v>
      </c>
      <c r="F2698" s="2" t="s">
        <v>10</v>
      </c>
      <c r="G2698" s="2" t="s">
        <v>16</v>
      </c>
      <c r="H2698" s="2">
        <v>7200000</v>
      </c>
      <c r="I2698" s="2">
        <v>7.2</v>
      </c>
      <c r="J2698" s="3">
        <v>50007168</v>
      </c>
      <c r="K2698">
        <f t="shared" si="92"/>
        <v>1.3775047412552699E-3</v>
      </c>
      <c r="R2698" s="12" t="str">
        <f ca="1">IFERROR(__xludf.DUMMYFUNCTION("""COMPUTED_VALUE"""),"10 Days in a Madhouse ")</f>
        <v>10 Days in a Madhouse </v>
      </c>
      <c r="S2698" s="12">
        <f t="shared" si="91"/>
        <v>-71613302</v>
      </c>
    </row>
    <row r="2699" spans="1:19" x14ac:dyDescent="0.3">
      <c r="A2699" s="2" t="s">
        <v>5708</v>
      </c>
      <c r="B2699" s="2">
        <v>78</v>
      </c>
      <c r="C2699" s="3">
        <v>613556</v>
      </c>
      <c r="D2699" s="3" t="s">
        <v>6288</v>
      </c>
      <c r="E2699" s="2" t="s">
        <v>5709</v>
      </c>
      <c r="F2699" s="2" t="s">
        <v>10</v>
      </c>
      <c r="G2699" s="2" t="s">
        <v>11</v>
      </c>
      <c r="H2699" s="3">
        <v>474544677</v>
      </c>
      <c r="I2699" s="2">
        <v>4.0999999999999996</v>
      </c>
      <c r="J2699" s="3">
        <v>50016394</v>
      </c>
      <c r="K2699">
        <f t="shared" si="92"/>
        <v>1.3775047412552699E-3</v>
      </c>
      <c r="R2699" s="12" t="str">
        <f ca="1">IFERROR(__xludf.DUMMYFUNCTION("""COMPUTED_VALUE"""),"Heaven Is for Real ")</f>
        <v>Heaven Is for Real </v>
      </c>
      <c r="S2699" s="12">
        <f t="shared" si="91"/>
        <v>-96658531</v>
      </c>
    </row>
    <row r="2700" spans="1:19" x14ac:dyDescent="0.3">
      <c r="A2700" s="2" t="s">
        <v>4475</v>
      </c>
      <c r="B2700" s="2">
        <v>139</v>
      </c>
      <c r="C2700" s="3">
        <v>3273588</v>
      </c>
      <c r="D2700" s="3" t="s">
        <v>5767</v>
      </c>
      <c r="E2700" s="2" t="s">
        <v>4476</v>
      </c>
      <c r="F2700" s="2" t="s">
        <v>10</v>
      </c>
      <c r="G2700" s="2" t="s">
        <v>11</v>
      </c>
      <c r="H2700" s="2">
        <v>6000000</v>
      </c>
      <c r="I2700" s="2">
        <v>7.8</v>
      </c>
      <c r="J2700" s="3">
        <v>50024083</v>
      </c>
      <c r="K2700">
        <f t="shared" si="92"/>
        <v>1.3775047412552699E-3</v>
      </c>
      <c r="R2700" s="12" t="str">
        <f ca="1">IFERROR(__xludf.DUMMYFUNCTION("""COMPUTED_VALUE"""),"Snatch ")</f>
        <v>Snatch </v>
      </c>
      <c r="S2700" s="12">
        <f t="shared" si="91"/>
        <v>-57340000</v>
      </c>
    </row>
    <row r="2701" spans="1:19" x14ac:dyDescent="0.3">
      <c r="A2701" s="2" t="s">
        <v>505</v>
      </c>
      <c r="B2701" s="2">
        <v>88</v>
      </c>
      <c r="C2701" s="3">
        <v>186354</v>
      </c>
      <c r="D2701" s="3" t="s">
        <v>6035</v>
      </c>
      <c r="E2701" s="2" t="s">
        <v>528</v>
      </c>
      <c r="F2701" s="2" t="s">
        <v>10</v>
      </c>
      <c r="G2701" s="2" t="s">
        <v>11</v>
      </c>
      <c r="H2701" s="2">
        <v>95000000</v>
      </c>
      <c r="I2701" s="2">
        <v>6.6</v>
      </c>
      <c r="J2701" s="3">
        <v>50026353</v>
      </c>
      <c r="K2701">
        <f t="shared" si="92"/>
        <v>1.3775047412552699E-3</v>
      </c>
      <c r="R2701" s="12" t="str">
        <f ca="1">IFERROR(__xludf.DUMMYFUNCTION("""COMPUTED_VALUE"""),"Pet Sematary ")</f>
        <v>Pet Sematary </v>
      </c>
      <c r="S2701" s="12">
        <f t="shared" si="91"/>
        <v>-15067940</v>
      </c>
    </row>
    <row r="2702" spans="1:19" x14ac:dyDescent="0.3">
      <c r="A2702" s="2" t="s">
        <v>1441</v>
      </c>
      <c r="B2702" s="2">
        <v>105</v>
      </c>
      <c r="C2702" s="3">
        <v>15709385</v>
      </c>
      <c r="D2702" s="3" t="s">
        <v>520</v>
      </c>
      <c r="E2702" s="2" t="s">
        <v>2486</v>
      </c>
      <c r="F2702" s="2" t="s">
        <v>10</v>
      </c>
      <c r="G2702" s="2" t="s">
        <v>11</v>
      </c>
      <c r="H2702" s="2">
        <v>26000000</v>
      </c>
      <c r="I2702" s="2">
        <v>7.1</v>
      </c>
      <c r="J2702" s="3">
        <v>50041732</v>
      </c>
      <c r="K2702">
        <f t="shared" si="92"/>
        <v>1.3775047412552699E-3</v>
      </c>
      <c r="R2702" s="12" t="str">
        <f ca="1">IFERROR(__xludf.DUMMYFUNCTION("""COMPUTED_VALUE"""),"Madadayo ")</f>
        <v>Madadayo </v>
      </c>
      <c r="S2702" s="12">
        <f t="shared" si="91"/>
        <v>-160287928</v>
      </c>
    </row>
    <row r="2703" spans="1:19" x14ac:dyDescent="0.3">
      <c r="A2703" s="2" t="s">
        <v>2696</v>
      </c>
      <c r="B2703" s="2">
        <v>107</v>
      </c>
      <c r="C2703" s="3">
        <v>13052741</v>
      </c>
      <c r="D2703" s="3" t="s">
        <v>5940</v>
      </c>
      <c r="E2703" s="2" t="s">
        <v>2697</v>
      </c>
      <c r="F2703" s="2" t="s">
        <v>10</v>
      </c>
      <c r="G2703" s="2" t="s">
        <v>11</v>
      </c>
      <c r="H2703" s="2">
        <v>8200000</v>
      </c>
      <c r="I2703" s="2">
        <v>6.5</v>
      </c>
      <c r="J2703" s="3">
        <v>50129186</v>
      </c>
      <c r="K2703">
        <f t="shared" si="92"/>
        <v>1.3775047412552699E-3</v>
      </c>
      <c r="R2703" s="12" t="str">
        <f ca="1">IFERROR(__xludf.DUMMYFUNCTION("""COMPUTED_VALUE"""),"Gremlins ")</f>
        <v>Gremlins </v>
      </c>
      <c r="S2703" s="12">
        <f t="shared" si="91"/>
        <v>24415649</v>
      </c>
    </row>
    <row r="2704" spans="1:19" x14ac:dyDescent="0.3">
      <c r="A2704" s="2" t="s">
        <v>5432</v>
      </c>
      <c r="B2704" s="2">
        <v>93</v>
      </c>
      <c r="C2704" s="3">
        <v>5923044</v>
      </c>
      <c r="D2704" s="3" t="s">
        <v>520</v>
      </c>
      <c r="E2704" s="2" t="s">
        <v>5433</v>
      </c>
      <c r="F2704" s="2" t="s">
        <v>10</v>
      </c>
      <c r="G2704" s="2" t="s">
        <v>11</v>
      </c>
      <c r="H2704" s="2">
        <v>600000</v>
      </c>
      <c r="I2704" s="2">
        <v>5.0999999999999996</v>
      </c>
      <c r="J2704" s="3">
        <v>50150619</v>
      </c>
      <c r="K2704">
        <f t="shared" si="92"/>
        <v>1.3775047412552699E-3</v>
      </c>
      <c r="R2704" s="12" t="str">
        <f ca="1">IFERROR(__xludf.DUMMYFUNCTION("""COMPUTED_VALUE"""),"Star Wars: Episode IV - A New Hope ")</f>
        <v>Star Wars: Episode IV - A New Hope </v>
      </c>
      <c r="S2704" s="12">
        <f t="shared" si="91"/>
        <v>16903709</v>
      </c>
    </row>
    <row r="2705" spans="1:19" x14ac:dyDescent="0.3">
      <c r="A2705" s="2" t="s">
        <v>4443</v>
      </c>
      <c r="B2705" s="2">
        <v>108</v>
      </c>
      <c r="C2705" s="3">
        <v>6923891</v>
      </c>
      <c r="D2705" s="3" t="s">
        <v>5910</v>
      </c>
      <c r="E2705" s="2" t="s">
        <v>4444</v>
      </c>
      <c r="F2705" s="2" t="s">
        <v>10</v>
      </c>
      <c r="G2705" s="2" t="s">
        <v>11</v>
      </c>
      <c r="H2705" s="2">
        <v>6500000</v>
      </c>
      <c r="I2705" s="2">
        <v>6.8</v>
      </c>
      <c r="J2705" s="3">
        <v>50173190</v>
      </c>
      <c r="K2705">
        <f t="shared" si="92"/>
        <v>1.3775047412552699E-3</v>
      </c>
      <c r="R2705" s="12" t="str">
        <f ca="1">IFERROR(__xludf.DUMMYFUNCTION("""COMPUTED_VALUE"""),"Dirty Grandpa ")</f>
        <v>Dirty Grandpa </v>
      </c>
      <c r="S2705" s="12">
        <f t="shared" si="91"/>
        <v>-22496684</v>
      </c>
    </row>
    <row r="2706" spans="1:19" x14ac:dyDescent="0.3">
      <c r="A2706" s="2" t="s">
        <v>346</v>
      </c>
      <c r="B2706" s="2">
        <v>128</v>
      </c>
      <c r="C2706" s="3">
        <v>3254172</v>
      </c>
      <c r="D2706" s="3" t="s">
        <v>6134</v>
      </c>
      <c r="E2706" s="2" t="s">
        <v>568</v>
      </c>
      <c r="F2706" s="2" t="s">
        <v>10</v>
      </c>
      <c r="G2706" s="2" t="s">
        <v>11</v>
      </c>
      <c r="H2706" s="2">
        <v>90000000</v>
      </c>
      <c r="I2706" s="2">
        <v>7.6</v>
      </c>
      <c r="J2706" s="3">
        <v>50189179</v>
      </c>
      <c r="K2706">
        <f t="shared" si="92"/>
        <v>1.3775047412552699E-3</v>
      </c>
      <c r="R2706" s="12" t="str">
        <f ca="1">IFERROR(__xludf.DUMMYFUNCTION("""COMPUTED_VALUE"""),"Doctor Zhivago ")</f>
        <v>Doctor Zhivago </v>
      </c>
      <c r="S2706" s="12">
        <f t="shared" si="91"/>
        <v>-10602531</v>
      </c>
    </row>
    <row r="2707" spans="1:19" x14ac:dyDescent="0.3">
      <c r="A2707" s="2" t="s">
        <v>175</v>
      </c>
      <c r="B2707" s="2">
        <v>149</v>
      </c>
      <c r="C2707" s="3">
        <v>13082288</v>
      </c>
      <c r="D2707" s="3" t="s">
        <v>5857</v>
      </c>
      <c r="E2707" s="2" t="s">
        <v>1034</v>
      </c>
      <c r="F2707" s="2" t="s">
        <v>10</v>
      </c>
      <c r="G2707" s="2" t="s">
        <v>11</v>
      </c>
      <c r="H2707" s="2">
        <v>61000000</v>
      </c>
      <c r="I2707" s="2">
        <v>8.1</v>
      </c>
      <c r="J2707" s="3">
        <v>50213619</v>
      </c>
      <c r="K2707">
        <f t="shared" si="92"/>
        <v>1.3775047412552699E-3</v>
      </c>
      <c r="R2707" s="12" t="str">
        <f ca="1">IFERROR(__xludf.DUMMYFUNCTION("""COMPUTED_VALUE"""),"High School Musical 3: Senior Year ")</f>
        <v>High School Musical 3: Senior Year </v>
      </c>
      <c r="S2707" s="12">
        <f t="shared" si="91"/>
        <v>-114700000</v>
      </c>
    </row>
    <row r="2708" spans="1:19" x14ac:dyDescent="0.3">
      <c r="A2708" s="2" t="s">
        <v>4462</v>
      </c>
      <c r="B2708" s="2">
        <v>105</v>
      </c>
      <c r="C2708" s="3">
        <v>17292381</v>
      </c>
      <c r="D2708" s="3" t="s">
        <v>5811</v>
      </c>
      <c r="E2708" s="2" t="s">
        <v>4463</v>
      </c>
      <c r="F2708" s="2" t="s">
        <v>10</v>
      </c>
      <c r="G2708" s="2" t="s">
        <v>11</v>
      </c>
      <c r="H2708" s="2">
        <v>6500000</v>
      </c>
      <c r="I2708" s="2">
        <v>7.2</v>
      </c>
      <c r="J2708" s="3">
        <v>50300000</v>
      </c>
      <c r="K2708">
        <f t="shared" si="92"/>
        <v>1.3775047412552699E-3</v>
      </c>
      <c r="R2708" s="12" t="str">
        <f ca="1">IFERROR(__xludf.DUMMYFUNCTION("""COMPUTED_VALUE"""),"The Fighter ")</f>
        <v>The Fighter </v>
      </c>
      <c r="S2708" s="12">
        <f t="shared" si="91"/>
        <v>592530</v>
      </c>
    </row>
    <row r="2709" spans="1:19" x14ac:dyDescent="0.3">
      <c r="A2709" s="2" t="s">
        <v>346</v>
      </c>
      <c r="B2709" s="2">
        <v>131</v>
      </c>
      <c r="C2709" s="3">
        <v>74273505</v>
      </c>
      <c r="D2709" s="3" t="s">
        <v>5869</v>
      </c>
      <c r="E2709" s="2" t="s">
        <v>2377</v>
      </c>
      <c r="F2709" s="2" t="s">
        <v>10</v>
      </c>
      <c r="G2709" s="2" t="s">
        <v>11</v>
      </c>
      <c r="H2709" s="2">
        <v>28000000</v>
      </c>
      <c r="I2709" s="2">
        <v>8.1999999999999993</v>
      </c>
      <c r="J2709" s="3">
        <v>50382128</v>
      </c>
      <c r="K2709">
        <f t="shared" si="92"/>
        <v>1.3775047412552699E-3</v>
      </c>
      <c r="R2709" s="12" t="str">
        <f ca="1">IFERROR(__xludf.DUMMYFUNCTION("""COMPUTED_VALUE"""),"My Cousin Vinny ")</f>
        <v>My Cousin Vinny </v>
      </c>
      <c r="S2709" s="12">
        <f t="shared" si="91"/>
        <v>-143696561</v>
      </c>
    </row>
    <row r="2710" spans="1:19" x14ac:dyDescent="0.3">
      <c r="A2710" s="2" t="s">
        <v>379</v>
      </c>
      <c r="B2710" s="2">
        <v>140</v>
      </c>
      <c r="C2710" s="3">
        <v>49851591</v>
      </c>
      <c r="D2710" s="3" t="s">
        <v>5767</v>
      </c>
      <c r="E2710" s="2" t="s">
        <v>380</v>
      </c>
      <c r="F2710" s="2" t="s">
        <v>10</v>
      </c>
      <c r="G2710" s="2" t="s">
        <v>11</v>
      </c>
      <c r="H2710" s="2">
        <v>113000000</v>
      </c>
      <c r="I2710" s="2">
        <v>7.6</v>
      </c>
      <c r="J2710" s="3">
        <v>50461335</v>
      </c>
      <c r="K2710">
        <f t="shared" si="92"/>
        <v>1.3775047412552699E-3</v>
      </c>
      <c r="R2710" s="12" t="str">
        <f ca="1">IFERROR(__xludf.DUMMYFUNCTION("""COMPUTED_VALUE"""),"If I Stay ")</f>
        <v>If I Stay </v>
      </c>
      <c r="S2710" s="12">
        <f t="shared" si="91"/>
        <v>-16170266</v>
      </c>
    </row>
    <row r="2711" spans="1:19" x14ac:dyDescent="0.3">
      <c r="A2711" s="2" t="s">
        <v>1730</v>
      </c>
      <c r="B2711" s="2">
        <v>101</v>
      </c>
      <c r="C2711" s="3">
        <v>3275443</v>
      </c>
      <c r="D2711" s="3" t="s">
        <v>6134</v>
      </c>
      <c r="E2711" s="2" t="s">
        <v>1731</v>
      </c>
      <c r="F2711" s="2" t="s">
        <v>10</v>
      </c>
      <c r="G2711" s="2" t="s">
        <v>11</v>
      </c>
      <c r="H2711" s="2">
        <v>40000000</v>
      </c>
      <c r="I2711" s="2">
        <v>5.8</v>
      </c>
      <c r="J2711" s="3">
        <v>50549107</v>
      </c>
      <c r="K2711">
        <f t="shared" si="92"/>
        <v>1.3775047412552699E-3</v>
      </c>
      <c r="R2711" s="12" t="str">
        <f ca="1">IFERROR(__xludf.DUMMYFUNCTION("""COMPUTED_VALUE"""),"Major League ")</f>
        <v>Major League </v>
      </c>
      <c r="S2711" s="12">
        <f t="shared" si="91"/>
        <v>-199891771</v>
      </c>
    </row>
    <row r="2712" spans="1:19" x14ac:dyDescent="0.3">
      <c r="A2712" s="2" t="s">
        <v>358</v>
      </c>
      <c r="B2712" s="2">
        <v>106</v>
      </c>
      <c r="C2712" s="3">
        <v>985341</v>
      </c>
      <c r="D2712" s="3" t="s">
        <v>5894</v>
      </c>
      <c r="E2712" s="2" t="s">
        <v>2694</v>
      </c>
      <c r="F2712" s="2" t="s">
        <v>10</v>
      </c>
      <c r="G2712" s="2" t="s">
        <v>11</v>
      </c>
      <c r="H2712" s="2">
        <v>24000000</v>
      </c>
      <c r="I2712" s="2">
        <v>5.7</v>
      </c>
      <c r="J2712" s="3">
        <v>50628009</v>
      </c>
      <c r="K2712">
        <f t="shared" si="92"/>
        <v>1.3775047412552699E-3</v>
      </c>
      <c r="R2712" s="12" t="str">
        <f ca="1">IFERROR(__xludf.DUMMYFUNCTION("""COMPUTED_VALUE"""),"Phone Booth ")</f>
        <v>Phone Booth </v>
      </c>
      <c r="S2712" s="12">
        <f t="shared" si="91"/>
        <v>47874933</v>
      </c>
    </row>
    <row r="2713" spans="1:19" x14ac:dyDescent="0.3">
      <c r="A2713" s="2" t="s">
        <v>2449</v>
      </c>
      <c r="B2713" s="2">
        <v>110</v>
      </c>
      <c r="C2713" s="3">
        <v>7825820</v>
      </c>
      <c r="D2713" s="3" t="s">
        <v>6348</v>
      </c>
      <c r="E2713" s="2" t="s">
        <v>2450</v>
      </c>
      <c r="F2713" s="2" t="s">
        <v>10</v>
      </c>
      <c r="G2713" s="2" t="s">
        <v>16</v>
      </c>
      <c r="H2713" s="2">
        <v>13500000</v>
      </c>
      <c r="I2713" s="2">
        <v>6.9</v>
      </c>
      <c r="J2713" s="3">
        <v>50648679</v>
      </c>
      <c r="K2713">
        <f t="shared" si="92"/>
        <v>1.3775047412552699E-3</v>
      </c>
      <c r="R2713" s="12" t="str">
        <f ca="1">IFERROR(__xludf.DUMMYFUNCTION("""COMPUTED_VALUE"""),"A Walk to Remember ")</f>
        <v>A Walk to Remember </v>
      </c>
      <c r="S2713" s="12">
        <f t="shared" ref="S2713:S2776" si="93">C2691-H2691</f>
        <v>-7602635</v>
      </c>
    </row>
    <row r="2714" spans="1:19" x14ac:dyDescent="0.3">
      <c r="A2714" s="2" t="s">
        <v>3579</v>
      </c>
      <c r="B2714" s="2">
        <v>140</v>
      </c>
      <c r="C2714" s="3">
        <v>12398628</v>
      </c>
      <c r="D2714" s="3" t="s">
        <v>5849</v>
      </c>
      <c r="E2714" s="2" t="s">
        <v>3747</v>
      </c>
      <c r="F2714" s="2" t="s">
        <v>10</v>
      </c>
      <c r="G2714" s="2" t="s">
        <v>2058</v>
      </c>
      <c r="H2714" s="2">
        <v>12800000</v>
      </c>
      <c r="I2714" s="2">
        <v>8</v>
      </c>
      <c r="J2714" s="3">
        <v>50668906</v>
      </c>
      <c r="K2714">
        <f t="shared" si="92"/>
        <v>1.3775047412552699E-3</v>
      </c>
      <c r="R2714" s="12" t="str">
        <f ca="1">IFERROR(__xludf.DUMMYFUNCTION("""COMPUTED_VALUE"""),"Dead Man Walking ")</f>
        <v>Dead Man Walking </v>
      </c>
      <c r="S2714" s="12">
        <f t="shared" si="93"/>
        <v>-16802685</v>
      </c>
    </row>
    <row r="2715" spans="1:19" x14ac:dyDescent="0.3">
      <c r="A2715" s="2" t="s">
        <v>5623</v>
      </c>
      <c r="B2715" s="2">
        <v>86</v>
      </c>
      <c r="C2715" s="3">
        <v>12006514</v>
      </c>
      <c r="D2715" s="3" t="s">
        <v>6144</v>
      </c>
      <c r="E2715" s="2" t="s">
        <v>5624</v>
      </c>
      <c r="F2715" s="2" t="s">
        <v>10</v>
      </c>
      <c r="G2715" s="2" t="s">
        <v>11</v>
      </c>
      <c r="H2715" s="2">
        <v>225000</v>
      </c>
      <c r="I2715" s="2">
        <v>7.5</v>
      </c>
      <c r="J2715" s="3">
        <v>50693162</v>
      </c>
      <c r="K2715">
        <f t="shared" si="92"/>
        <v>1.3775047412552699E-3</v>
      </c>
      <c r="R2715" s="12" t="str">
        <f ca="1">IFERROR(__xludf.DUMMYFUNCTION("""COMPUTED_VALUE"""),"Cruel Intentions ")</f>
        <v>Cruel Intentions </v>
      </c>
      <c r="S2715" s="12">
        <f t="shared" si="93"/>
        <v>131640</v>
      </c>
    </row>
    <row r="2716" spans="1:19" x14ac:dyDescent="0.3">
      <c r="A2716" s="2" t="s">
        <v>824</v>
      </c>
      <c r="B2716" s="2">
        <v>93</v>
      </c>
      <c r="C2716" s="3">
        <v>26183197</v>
      </c>
      <c r="D2716" s="3" t="s">
        <v>6242</v>
      </c>
      <c r="E2716" s="2" t="s">
        <v>825</v>
      </c>
      <c r="F2716" s="2" t="s">
        <v>10</v>
      </c>
      <c r="G2716" s="2" t="s">
        <v>11</v>
      </c>
      <c r="H2716" s="2">
        <v>75000000</v>
      </c>
      <c r="I2716" s="2">
        <v>4.7</v>
      </c>
      <c r="J2716" s="3">
        <v>50728000</v>
      </c>
      <c r="K2716">
        <f t="shared" si="92"/>
        <v>1.3775047412552699E-3</v>
      </c>
      <c r="R2716" s="12" t="str">
        <f ca="1">IFERROR(__xludf.DUMMYFUNCTION("""COMPUTED_VALUE"""),"Saw VI ")</f>
        <v>Saw VI </v>
      </c>
      <c r="S2716" s="12">
        <f t="shared" si="93"/>
        <v>17472057</v>
      </c>
    </row>
    <row r="2717" spans="1:19" x14ac:dyDescent="0.3">
      <c r="A2717" s="2" t="s">
        <v>5337</v>
      </c>
      <c r="B2717" s="2">
        <v>96</v>
      </c>
      <c r="C2717" s="3">
        <v>6109075</v>
      </c>
      <c r="D2717" s="3" t="s">
        <v>5926</v>
      </c>
      <c r="E2717" s="2" t="s">
        <v>5338</v>
      </c>
      <c r="F2717" s="2" t="s">
        <v>5281</v>
      </c>
      <c r="G2717" s="2" t="s">
        <v>16</v>
      </c>
      <c r="H2717" s="2">
        <v>1000000</v>
      </c>
      <c r="I2717" s="2">
        <v>8.1999999999999993</v>
      </c>
      <c r="J2717" s="3">
        <v>50740078</v>
      </c>
      <c r="K2717">
        <f t="shared" si="92"/>
        <v>1.3775047412552699E-3</v>
      </c>
      <c r="R2717" s="12" t="str">
        <f ca="1">IFERROR(__xludf.DUMMYFUNCTION("""COMPUTED_VALUE"""),"The Secret Life of Bees ")</f>
        <v>The Secret Life of Bees </v>
      </c>
      <c r="S2717" s="12">
        <f t="shared" si="93"/>
        <v>-55464883</v>
      </c>
    </row>
    <row r="2718" spans="1:19" x14ac:dyDescent="0.3">
      <c r="A2718" s="2" t="s">
        <v>4801</v>
      </c>
      <c r="B2718" s="2">
        <v>105</v>
      </c>
      <c r="C2718" s="3">
        <v>51527787</v>
      </c>
      <c r="D2718" s="3" t="s">
        <v>6051</v>
      </c>
      <c r="E2718" s="2" t="s">
        <v>4901</v>
      </c>
      <c r="F2718" s="2" t="s">
        <v>10</v>
      </c>
      <c r="G2718" s="2" t="s">
        <v>11</v>
      </c>
      <c r="H2718" s="2">
        <v>3200000</v>
      </c>
      <c r="I2718" s="2">
        <v>7.2</v>
      </c>
      <c r="J2718" s="3">
        <v>50752337</v>
      </c>
      <c r="K2718">
        <f t="shared" si="92"/>
        <v>1.3775047412552699E-3</v>
      </c>
      <c r="R2718" s="12" t="str">
        <f ca="1">IFERROR(__xludf.DUMMYFUNCTION("""COMPUTED_VALUE"""),"Corky Romano ")</f>
        <v>Corky Romano </v>
      </c>
      <c r="S2718" s="12">
        <f t="shared" si="93"/>
        <v>49969179</v>
      </c>
    </row>
    <row r="2719" spans="1:19" x14ac:dyDescent="0.3">
      <c r="A2719" s="2" t="s">
        <v>1481</v>
      </c>
      <c r="B2719" s="2">
        <v>112</v>
      </c>
      <c r="C2719" s="3">
        <v>21088568</v>
      </c>
      <c r="D2719" s="3" t="s">
        <v>6148</v>
      </c>
      <c r="E2719" s="2" t="s">
        <v>1778</v>
      </c>
      <c r="F2719" s="2" t="s">
        <v>10</v>
      </c>
      <c r="G2719" s="2" t="s">
        <v>504</v>
      </c>
      <c r="H2719" s="2">
        <v>40000000</v>
      </c>
      <c r="I2719" s="2">
        <v>6.4</v>
      </c>
      <c r="J2719" s="3">
        <v>50800000</v>
      </c>
      <c r="K2719">
        <f t="shared" si="92"/>
        <v>1.3775047412552699E-3</v>
      </c>
      <c r="R2719" s="12" t="str">
        <f ca="1">IFERROR(__xludf.DUMMYFUNCTION("""COMPUTED_VALUE"""),"Raising Cain ")</f>
        <v>Raising Cain </v>
      </c>
      <c r="S2719" s="12">
        <f t="shared" si="93"/>
        <v>36873143</v>
      </c>
    </row>
    <row r="2720" spans="1:19" x14ac:dyDescent="0.3">
      <c r="A2720" s="2" t="s">
        <v>1333</v>
      </c>
      <c r="B2720" s="2">
        <v>92</v>
      </c>
      <c r="C2720" s="3">
        <v>349618</v>
      </c>
      <c r="D2720" s="3" t="s">
        <v>5913</v>
      </c>
      <c r="E2720" s="2" t="s">
        <v>2174</v>
      </c>
      <c r="F2720" s="2" t="s">
        <v>10</v>
      </c>
      <c r="G2720" s="2" t="s">
        <v>11</v>
      </c>
      <c r="H2720" s="2">
        <v>20000000</v>
      </c>
      <c r="I2720" s="2">
        <v>6.7</v>
      </c>
      <c r="J2720" s="3">
        <v>50802661</v>
      </c>
      <c r="K2720">
        <f t="shared" si="92"/>
        <v>1.3775047412552699E-3</v>
      </c>
      <c r="R2720" s="12" t="str">
        <f ca="1">IFERROR(__xludf.DUMMYFUNCTION("""COMPUTED_VALUE"""),"Invaders from Mars ")</f>
        <v>Invaders from Mars </v>
      </c>
      <c r="S2720" s="12">
        <f t="shared" si="93"/>
        <v>-1250307</v>
      </c>
    </row>
    <row r="2721" spans="1:19" x14ac:dyDescent="0.3">
      <c r="A2721" s="2" t="s">
        <v>290</v>
      </c>
      <c r="B2721" s="2">
        <v>138</v>
      </c>
      <c r="C2721" s="3">
        <v>3333823</v>
      </c>
      <c r="D2721" s="3" t="s">
        <v>885</v>
      </c>
      <c r="E2721" s="2" t="s">
        <v>291</v>
      </c>
      <c r="F2721" s="2" t="s">
        <v>10</v>
      </c>
      <c r="G2721" s="2" t="s">
        <v>11</v>
      </c>
      <c r="H2721" s="2">
        <v>150000000</v>
      </c>
      <c r="I2721" s="2">
        <v>7.4</v>
      </c>
      <c r="J2721" s="3">
        <v>50807639</v>
      </c>
      <c r="K2721">
        <f t="shared" si="92"/>
        <v>1.3775047412552699E-3</v>
      </c>
      <c r="R2721" s="12" t="str">
        <f ca="1">IFERROR(__xludf.DUMMYFUNCTION("""COMPUTED_VALUE"""),"Brooklyn ")</f>
        <v>Brooklyn </v>
      </c>
      <c r="S2721" s="12">
        <f t="shared" si="93"/>
        <v>-473931121</v>
      </c>
    </row>
    <row r="2722" spans="1:19" x14ac:dyDescent="0.3">
      <c r="A2722" s="2" t="s">
        <v>1349</v>
      </c>
      <c r="B2722" s="2">
        <v>102</v>
      </c>
      <c r="C2722" s="3">
        <v>5899797</v>
      </c>
      <c r="D2722" s="3" t="s">
        <v>5869</v>
      </c>
      <c r="E2722" s="2" t="s">
        <v>1496</v>
      </c>
      <c r="F2722" s="2" t="s">
        <v>10</v>
      </c>
      <c r="G2722" s="2" t="s">
        <v>11</v>
      </c>
      <c r="H2722" s="2">
        <v>48000000</v>
      </c>
      <c r="I2722" s="2">
        <v>5.7</v>
      </c>
      <c r="J2722" s="3">
        <v>50815288</v>
      </c>
      <c r="K2722">
        <f t="shared" si="92"/>
        <v>1.3775047412552699E-3</v>
      </c>
      <c r="R2722" s="12" t="str">
        <f ca="1">IFERROR(__xludf.DUMMYFUNCTION("""COMPUTED_VALUE"""),"Out Cold ")</f>
        <v>Out Cold </v>
      </c>
      <c r="S2722" s="12">
        <f t="shared" si="93"/>
        <v>-2726412</v>
      </c>
    </row>
    <row r="2723" spans="1:19" x14ac:dyDescent="0.3">
      <c r="A2723" s="2" t="s">
        <v>917</v>
      </c>
      <c r="B2723" s="2">
        <v>115</v>
      </c>
      <c r="C2723" s="3">
        <v>3247816</v>
      </c>
      <c r="D2723" s="3" t="s">
        <v>6056</v>
      </c>
      <c r="E2723" s="2" t="s">
        <v>918</v>
      </c>
      <c r="F2723" s="2" t="s">
        <v>10</v>
      </c>
      <c r="G2723" s="2" t="s">
        <v>11</v>
      </c>
      <c r="H2723" s="2">
        <v>50000000</v>
      </c>
      <c r="I2723" s="2">
        <v>6.7</v>
      </c>
      <c r="J2723" s="3">
        <v>50818750</v>
      </c>
      <c r="K2723">
        <f t="shared" si="92"/>
        <v>1.3775047412552699E-3</v>
      </c>
      <c r="R2723" s="12" t="str">
        <f ca="1">IFERROR(__xludf.DUMMYFUNCTION("""COMPUTED_VALUE"""),"The Ladies Man ")</f>
        <v>The Ladies Man </v>
      </c>
      <c r="S2723" s="12">
        <f t="shared" si="93"/>
        <v>-94813646</v>
      </c>
    </row>
    <row r="2724" spans="1:19" x14ac:dyDescent="0.3">
      <c r="A2724" s="2" t="s">
        <v>318</v>
      </c>
      <c r="B2724" s="2">
        <v>109</v>
      </c>
      <c r="C2724" s="3">
        <v>75638743</v>
      </c>
      <c r="D2724" s="3" t="s">
        <v>1703</v>
      </c>
      <c r="E2724" s="2" t="s">
        <v>4487</v>
      </c>
      <c r="F2724" s="2" t="s">
        <v>10</v>
      </c>
      <c r="G2724" s="2" t="s">
        <v>11</v>
      </c>
      <c r="H2724" s="2">
        <v>6000000</v>
      </c>
      <c r="I2724" s="2">
        <v>7.9</v>
      </c>
      <c r="J2724" s="3">
        <v>50820940</v>
      </c>
      <c r="K2724">
        <f t="shared" si="92"/>
        <v>1.3775047412552699E-3</v>
      </c>
      <c r="R2724" s="12" t="str">
        <f ca="1">IFERROR(__xludf.DUMMYFUNCTION("""COMPUTED_VALUE"""),"Quartet ")</f>
        <v>Quartet </v>
      </c>
      <c r="S2724" s="12">
        <f t="shared" si="93"/>
        <v>-10290615</v>
      </c>
    </row>
    <row r="2725" spans="1:19" x14ac:dyDescent="0.3">
      <c r="A2725" s="2" t="s">
        <v>2266</v>
      </c>
      <c r="B2725" s="2">
        <v>79</v>
      </c>
      <c r="C2725" s="3">
        <v>10305534</v>
      </c>
      <c r="D2725" s="3" t="s">
        <v>5845</v>
      </c>
      <c r="E2725" s="2" t="s">
        <v>2267</v>
      </c>
      <c r="F2725" s="2" t="s">
        <v>10</v>
      </c>
      <c r="G2725" s="2" t="s">
        <v>11</v>
      </c>
      <c r="H2725" s="2">
        <v>30000000</v>
      </c>
      <c r="I2725" s="2">
        <v>7.1</v>
      </c>
      <c r="J2725" s="3">
        <v>50859889</v>
      </c>
      <c r="K2725">
        <f t="shared" si="92"/>
        <v>1.3775047412552699E-3</v>
      </c>
      <c r="R2725" s="12" t="str">
        <f ca="1">IFERROR(__xludf.DUMMYFUNCTION("""COMPUTED_VALUE"""),"Tomcats ")</f>
        <v>Tomcats </v>
      </c>
      <c r="S2725" s="12">
        <f t="shared" si="93"/>
        <v>4852741</v>
      </c>
    </row>
    <row r="2726" spans="1:19" x14ac:dyDescent="0.3">
      <c r="A2726" s="2" t="s">
        <v>1284</v>
      </c>
      <c r="B2726" s="2">
        <v>123</v>
      </c>
      <c r="C2726" s="3">
        <v>17314483</v>
      </c>
      <c r="D2726" s="3" t="s">
        <v>6395</v>
      </c>
      <c r="E2726" s="2" t="s">
        <v>1285</v>
      </c>
      <c r="F2726" s="2" t="s">
        <v>10</v>
      </c>
      <c r="G2726" s="2" t="s">
        <v>11</v>
      </c>
      <c r="H2726" s="2">
        <v>53000000</v>
      </c>
      <c r="I2726" s="2">
        <v>7</v>
      </c>
      <c r="J2726" s="3">
        <v>50921738</v>
      </c>
      <c r="K2726">
        <f t="shared" si="92"/>
        <v>1.3775047412552699E-3</v>
      </c>
      <c r="R2726" s="12" t="str">
        <f ca="1">IFERROR(__xludf.DUMMYFUNCTION("""COMPUTED_VALUE"""),"Frailty ")</f>
        <v>Frailty </v>
      </c>
      <c r="S2726" s="12">
        <f t="shared" si="93"/>
        <v>5323044</v>
      </c>
    </row>
    <row r="2727" spans="1:19" x14ac:dyDescent="0.3">
      <c r="A2727" s="2" t="s">
        <v>650</v>
      </c>
      <c r="B2727" s="2">
        <v>83</v>
      </c>
      <c r="C2727" s="3">
        <v>7764027</v>
      </c>
      <c r="D2727" s="3" t="s">
        <v>5849</v>
      </c>
      <c r="E2727" s="2" t="s">
        <v>2226</v>
      </c>
      <c r="F2727" s="2" t="s">
        <v>10</v>
      </c>
      <c r="G2727" s="2" t="s">
        <v>11</v>
      </c>
      <c r="H2727" s="2">
        <v>30000000</v>
      </c>
      <c r="I2727" s="2">
        <v>6.4</v>
      </c>
      <c r="J2727" s="3">
        <v>51019112</v>
      </c>
      <c r="K2727">
        <f t="shared" si="92"/>
        <v>1.3775047412552699E-3</v>
      </c>
      <c r="R2727" s="12" t="str">
        <f ca="1">IFERROR(__xludf.DUMMYFUNCTION("""COMPUTED_VALUE"""),"Woman in Gold ")</f>
        <v>Woman in Gold </v>
      </c>
      <c r="S2727" s="12">
        <f t="shared" si="93"/>
        <v>423891</v>
      </c>
    </row>
    <row r="2728" spans="1:19" x14ac:dyDescent="0.3">
      <c r="A2728" s="2" t="s">
        <v>540</v>
      </c>
      <c r="B2728" s="2">
        <v>105</v>
      </c>
      <c r="C2728" s="3">
        <v>3219029</v>
      </c>
      <c r="D2728" s="3" t="s">
        <v>5940</v>
      </c>
      <c r="E2728" s="2" t="s">
        <v>541</v>
      </c>
      <c r="F2728" s="2" t="s">
        <v>10</v>
      </c>
      <c r="G2728" s="2" t="s">
        <v>11</v>
      </c>
      <c r="H2728" s="2">
        <v>93000000</v>
      </c>
      <c r="I2728" s="2">
        <v>7.6</v>
      </c>
      <c r="J2728" s="3">
        <v>51045801</v>
      </c>
      <c r="K2728">
        <f t="shared" si="92"/>
        <v>1.3775047412552699E-3</v>
      </c>
      <c r="R2728" s="12" t="str">
        <f ca="1">IFERROR(__xludf.DUMMYFUNCTION("""COMPUTED_VALUE"""),"Kinsey ")</f>
        <v>Kinsey </v>
      </c>
      <c r="S2728" s="12">
        <f t="shared" si="93"/>
        <v>-86745828</v>
      </c>
    </row>
    <row r="2729" spans="1:19" x14ac:dyDescent="0.3">
      <c r="A2729" s="2" t="s">
        <v>2216</v>
      </c>
      <c r="B2729" s="2">
        <v>94</v>
      </c>
      <c r="C2729" s="2">
        <v>56816662</v>
      </c>
      <c r="D2729" s="3" t="s">
        <v>5898</v>
      </c>
      <c r="E2729" s="2" t="s">
        <v>2217</v>
      </c>
      <c r="F2729" s="2" t="s">
        <v>10</v>
      </c>
      <c r="G2729" s="2" t="s">
        <v>932</v>
      </c>
      <c r="H2729" s="2">
        <v>17000000</v>
      </c>
      <c r="I2729" s="2">
        <v>7.7</v>
      </c>
      <c r="J2729" s="3">
        <v>51053787</v>
      </c>
      <c r="K2729">
        <f t="shared" si="92"/>
        <v>1.3775047412552699E-3</v>
      </c>
      <c r="R2729" s="12" t="str">
        <f ca="1">IFERROR(__xludf.DUMMYFUNCTION("""COMPUTED_VALUE"""),"Army of Darkness ")</f>
        <v>Army of Darkness </v>
      </c>
      <c r="S2729" s="12">
        <f t="shared" si="93"/>
        <v>-47917712</v>
      </c>
    </row>
    <row r="2730" spans="1:19" x14ac:dyDescent="0.3">
      <c r="A2730" s="2" t="s">
        <v>1030</v>
      </c>
      <c r="B2730" s="2">
        <v>100</v>
      </c>
      <c r="C2730" s="3">
        <v>22362500</v>
      </c>
      <c r="D2730" s="3" t="s">
        <v>885</v>
      </c>
      <c r="E2730" s="2" t="s">
        <v>1655</v>
      </c>
      <c r="F2730" s="2" t="s">
        <v>10</v>
      </c>
      <c r="G2730" s="2" t="s">
        <v>11</v>
      </c>
      <c r="H2730" s="2">
        <v>41000000</v>
      </c>
      <c r="I2730" s="2">
        <v>6.2</v>
      </c>
      <c r="J2730" s="3">
        <v>51097664</v>
      </c>
      <c r="K2730">
        <f t="shared" si="92"/>
        <v>1.3775047412552699E-3</v>
      </c>
      <c r="R2730" s="12" t="str">
        <f ca="1">IFERROR(__xludf.DUMMYFUNCTION("""COMPUTED_VALUE"""),"Slackers ")</f>
        <v>Slackers </v>
      </c>
      <c r="S2730" s="12">
        <f t="shared" si="93"/>
        <v>10792381</v>
      </c>
    </row>
    <row r="2731" spans="1:19" x14ac:dyDescent="0.3">
      <c r="A2731" s="2" t="s">
        <v>5315</v>
      </c>
      <c r="B2731" s="2">
        <v>92</v>
      </c>
      <c r="C2731" s="3">
        <v>94999143</v>
      </c>
      <c r="D2731" s="3" t="s">
        <v>6148</v>
      </c>
      <c r="E2731" s="2" t="s">
        <v>5316</v>
      </c>
      <c r="F2731" s="2" t="s">
        <v>10</v>
      </c>
      <c r="G2731" s="2" t="s">
        <v>11</v>
      </c>
      <c r="H2731" s="2">
        <v>1000000</v>
      </c>
      <c r="I2731" s="2">
        <v>7.7</v>
      </c>
      <c r="J2731" s="3">
        <v>51100000</v>
      </c>
      <c r="K2731">
        <f t="shared" si="92"/>
        <v>1.3775047412552699E-3</v>
      </c>
      <c r="R2731" s="12" t="str">
        <f ca="1">IFERROR(__xludf.DUMMYFUNCTION("""COMPUTED_VALUE"""),"What's Eating Gilbert Grape ")</f>
        <v>What's Eating Gilbert Grape </v>
      </c>
      <c r="S2731" s="12">
        <f t="shared" si="93"/>
        <v>46273505</v>
      </c>
    </row>
    <row r="2732" spans="1:19" x14ac:dyDescent="0.3">
      <c r="A2732" s="2" t="s">
        <v>1030</v>
      </c>
      <c r="B2732" s="2">
        <v>109</v>
      </c>
      <c r="C2732" s="3">
        <v>17281832</v>
      </c>
      <c r="D2732" s="3" t="s">
        <v>6396</v>
      </c>
      <c r="E2732" s="2" t="s">
        <v>1942</v>
      </c>
      <c r="F2732" s="2" t="s">
        <v>10</v>
      </c>
      <c r="G2732" s="2" t="s">
        <v>11</v>
      </c>
      <c r="H2732" s="2">
        <v>35000000</v>
      </c>
      <c r="I2732" s="2">
        <v>6.8</v>
      </c>
      <c r="J2732" s="3">
        <v>51109400</v>
      </c>
      <c r="K2732">
        <f t="shared" si="92"/>
        <v>1.3775047412552699E-3</v>
      </c>
      <c r="R2732" s="12" t="str">
        <f ca="1">IFERROR(__xludf.DUMMYFUNCTION("""COMPUTED_VALUE"""),"The Visual Bible: The Gospel of John ")</f>
        <v>The Visual Bible: The Gospel of John </v>
      </c>
      <c r="S2732" s="12">
        <f t="shared" si="93"/>
        <v>-63148409</v>
      </c>
    </row>
    <row r="2733" spans="1:19" x14ac:dyDescent="0.3">
      <c r="A2733" s="2" t="s">
        <v>344</v>
      </c>
      <c r="B2733" s="2">
        <v>131</v>
      </c>
      <c r="C2733" s="3">
        <v>4814244</v>
      </c>
      <c r="D2733" s="3" t="s">
        <v>6035</v>
      </c>
      <c r="E2733" s="2" t="s">
        <v>1787</v>
      </c>
      <c r="F2733" s="2" t="s">
        <v>10</v>
      </c>
      <c r="G2733" s="2" t="s">
        <v>504</v>
      </c>
      <c r="H2733" s="2">
        <v>45000000</v>
      </c>
      <c r="I2733" s="2">
        <v>4.5999999999999996</v>
      </c>
      <c r="J2733" s="3">
        <v>51178893</v>
      </c>
      <c r="K2733">
        <f t="shared" si="92"/>
        <v>1.3775047412552699E-3</v>
      </c>
      <c r="R2733" s="12" t="str">
        <f ca="1">IFERROR(__xludf.DUMMYFUNCTION("""COMPUTED_VALUE"""),"Vera Drake ")</f>
        <v>Vera Drake </v>
      </c>
      <c r="S2733" s="12">
        <f t="shared" si="93"/>
        <v>-36724557</v>
      </c>
    </row>
    <row r="2734" spans="1:19" x14ac:dyDescent="0.3">
      <c r="A2734" s="2" t="s">
        <v>181</v>
      </c>
      <c r="B2734" s="2">
        <v>104</v>
      </c>
      <c r="C2734" s="3">
        <v>10324441</v>
      </c>
      <c r="D2734" s="3" t="s">
        <v>5920</v>
      </c>
      <c r="E2734" s="2" t="s">
        <v>969</v>
      </c>
      <c r="F2734" s="2" t="s">
        <v>10</v>
      </c>
      <c r="G2734" s="2" t="s">
        <v>11</v>
      </c>
      <c r="H2734" s="2">
        <v>60000000</v>
      </c>
      <c r="I2734" s="2">
        <v>6.1</v>
      </c>
      <c r="J2734" s="3">
        <v>51185897</v>
      </c>
      <c r="K2734">
        <f t="shared" si="92"/>
        <v>1.3775047412552699E-3</v>
      </c>
      <c r="R2734" s="12" t="str">
        <f ca="1">IFERROR(__xludf.DUMMYFUNCTION("""COMPUTED_VALUE"""),"The Guru ")</f>
        <v>The Guru </v>
      </c>
      <c r="S2734" s="12">
        <f t="shared" si="93"/>
        <v>-23014659</v>
      </c>
    </row>
    <row r="2735" spans="1:19" x14ac:dyDescent="0.3">
      <c r="A2735" s="2" t="s">
        <v>1461</v>
      </c>
      <c r="B2735" s="2">
        <v>99</v>
      </c>
      <c r="C2735" s="3">
        <v>4717455</v>
      </c>
      <c r="D2735" s="3" t="s">
        <v>5869</v>
      </c>
      <c r="E2735" s="2" t="s">
        <v>2397</v>
      </c>
      <c r="F2735" s="2" t="s">
        <v>10</v>
      </c>
      <c r="G2735" s="2" t="s">
        <v>11</v>
      </c>
      <c r="H2735" s="2">
        <v>28000000</v>
      </c>
      <c r="I2735" s="2">
        <v>4.9000000000000004</v>
      </c>
      <c r="J2735" s="3">
        <v>51225796</v>
      </c>
      <c r="K2735">
        <f t="shared" si="92"/>
        <v>1.3775047412552699E-3</v>
      </c>
      <c r="R2735" s="12" t="str">
        <f ca="1">IFERROR(__xludf.DUMMYFUNCTION("""COMPUTED_VALUE"""),"The Perez Family ")</f>
        <v>The Perez Family </v>
      </c>
      <c r="S2735" s="12">
        <f t="shared" si="93"/>
        <v>-5674180</v>
      </c>
    </row>
    <row r="2736" spans="1:19" x14ac:dyDescent="0.3">
      <c r="A2736" s="2" t="s">
        <v>1572</v>
      </c>
      <c r="B2736" s="2">
        <v>92</v>
      </c>
      <c r="C2736" s="3">
        <v>4170647</v>
      </c>
      <c r="D2736" s="3" t="s">
        <v>6148</v>
      </c>
      <c r="E2736" s="2" t="s">
        <v>2594</v>
      </c>
      <c r="F2736" s="2" t="s">
        <v>10</v>
      </c>
      <c r="G2736" s="2" t="s">
        <v>98</v>
      </c>
      <c r="H2736" s="2">
        <v>21150000</v>
      </c>
      <c r="I2736" s="2">
        <v>4.8</v>
      </c>
      <c r="J2736" s="3">
        <v>51317350</v>
      </c>
      <c r="K2736">
        <f t="shared" si="92"/>
        <v>1.3775047412552699E-3</v>
      </c>
      <c r="R2736" s="12" t="str">
        <f ca="1">IFERROR(__xludf.DUMMYFUNCTION("""COMPUTED_VALUE"""),"Inside Llewyn Davis ")</f>
        <v>Inside Llewyn Davis </v>
      </c>
      <c r="S2736" s="12">
        <f t="shared" si="93"/>
        <v>-401372</v>
      </c>
    </row>
    <row r="2737" spans="1:19" x14ac:dyDescent="0.3">
      <c r="A2737" s="2" t="s">
        <v>987</v>
      </c>
      <c r="B2737" s="2">
        <v>330</v>
      </c>
      <c r="C2737" s="3">
        <v>610991</v>
      </c>
      <c r="D2737" s="3" t="s">
        <v>6142</v>
      </c>
      <c r="E2737" s="2" t="s">
        <v>2055</v>
      </c>
      <c r="F2737" s="2" t="s">
        <v>10</v>
      </c>
      <c r="G2737" s="2" t="s">
        <v>11</v>
      </c>
      <c r="H2737" s="2">
        <v>35000000</v>
      </c>
      <c r="I2737" s="2">
        <v>8</v>
      </c>
      <c r="J2737" s="3">
        <v>51396781</v>
      </c>
      <c r="K2737">
        <f t="shared" si="92"/>
        <v>1.3775047412552699E-3</v>
      </c>
      <c r="R2737" s="12" t="str">
        <f ca="1">IFERROR(__xludf.DUMMYFUNCTION("""COMPUTED_VALUE"""),"O ")</f>
        <v>O </v>
      </c>
      <c r="S2737" s="12">
        <f t="shared" si="93"/>
        <v>11781514</v>
      </c>
    </row>
    <row r="2738" spans="1:19" x14ac:dyDescent="0.3">
      <c r="A2738" s="2" t="s">
        <v>5381</v>
      </c>
      <c r="B2738" s="2">
        <v>84</v>
      </c>
      <c r="C2738" s="3">
        <v>32122249</v>
      </c>
      <c r="D2738" s="3" t="s">
        <v>5849</v>
      </c>
      <c r="E2738" s="2" t="s">
        <v>5387</v>
      </c>
      <c r="F2738" s="2" t="s">
        <v>10</v>
      </c>
      <c r="G2738" s="2" t="s">
        <v>11</v>
      </c>
      <c r="H2738" s="2">
        <v>1000000</v>
      </c>
      <c r="I2738" s="2">
        <v>3.8</v>
      </c>
      <c r="J2738" s="3">
        <v>51431160</v>
      </c>
      <c r="K2738">
        <f t="shared" si="92"/>
        <v>1.3775047412552699E-3</v>
      </c>
      <c r="R2738" s="12" t="str">
        <f ca="1">IFERROR(__xludf.DUMMYFUNCTION("""COMPUTED_VALUE"""),"Return to the Blue Lagoon ")</f>
        <v>Return to the Blue Lagoon </v>
      </c>
      <c r="S2738" s="12">
        <f t="shared" si="93"/>
        <v>-48816803</v>
      </c>
    </row>
    <row r="2739" spans="1:19" x14ac:dyDescent="0.3">
      <c r="A2739" s="2" t="s">
        <v>1530</v>
      </c>
      <c r="B2739" s="2">
        <v>123</v>
      </c>
      <c r="C2739" s="3">
        <v>17278980</v>
      </c>
      <c r="D2739" s="3" t="s">
        <v>6026</v>
      </c>
      <c r="E2739" s="2" t="s">
        <v>3824</v>
      </c>
      <c r="F2739" s="2" t="s">
        <v>10</v>
      </c>
      <c r="G2739" s="2" t="s">
        <v>16</v>
      </c>
      <c r="H2739" s="2">
        <v>12000000</v>
      </c>
      <c r="I2739" s="2">
        <v>7.8</v>
      </c>
      <c r="J2739" s="3">
        <v>51432423</v>
      </c>
      <c r="K2739">
        <f t="shared" si="92"/>
        <v>1.3775047412552699E-3</v>
      </c>
      <c r="R2739" s="12" t="str">
        <f ca="1">IFERROR(__xludf.DUMMYFUNCTION("""COMPUTED_VALUE"""),"Copying Beethoven ")</f>
        <v>Copying Beethoven </v>
      </c>
      <c r="S2739" s="12">
        <f t="shared" si="93"/>
        <v>5109075</v>
      </c>
    </row>
    <row r="2740" spans="1:19" x14ac:dyDescent="0.3">
      <c r="A2740" s="2" t="s">
        <v>1447</v>
      </c>
      <c r="B2740" s="2">
        <v>135</v>
      </c>
      <c r="C2740" s="3">
        <v>19421271</v>
      </c>
      <c r="D2740" s="3" t="s">
        <v>6382</v>
      </c>
      <c r="E2740" s="2" t="s">
        <v>1448</v>
      </c>
      <c r="F2740" s="2" t="s">
        <v>10</v>
      </c>
      <c r="G2740" s="2" t="s">
        <v>11</v>
      </c>
      <c r="H2740" s="2">
        <v>50000000</v>
      </c>
      <c r="I2740" s="2">
        <v>5.0999999999999996</v>
      </c>
      <c r="J2740" s="3">
        <v>51475962</v>
      </c>
      <c r="K2740">
        <f t="shared" si="92"/>
        <v>1.3775047412552699E-3</v>
      </c>
      <c r="R2740" s="12" t="str">
        <f ca="1">IFERROR(__xludf.DUMMYFUNCTION("""COMPUTED_VALUE"""),"Saw V ")</f>
        <v>Saw V </v>
      </c>
      <c r="S2740" s="12">
        <f t="shared" si="93"/>
        <v>48327787</v>
      </c>
    </row>
    <row r="2741" spans="1:19" x14ac:dyDescent="0.3">
      <c r="A2741" s="2" t="s">
        <v>1677</v>
      </c>
      <c r="B2741" s="2">
        <v>100</v>
      </c>
      <c r="C2741" s="2">
        <v>19900000</v>
      </c>
      <c r="D2741" s="3" t="s">
        <v>5973</v>
      </c>
      <c r="E2741" s="2" t="s">
        <v>3600</v>
      </c>
      <c r="F2741" s="2" t="s">
        <v>10</v>
      </c>
      <c r="G2741" s="2" t="s">
        <v>11</v>
      </c>
      <c r="H2741" s="2">
        <v>20000000</v>
      </c>
      <c r="I2741" s="2">
        <v>4.5</v>
      </c>
      <c r="J2741" s="3">
        <v>51483949</v>
      </c>
      <c r="K2741">
        <f t="shared" si="92"/>
        <v>1.3775047412552699E-3</v>
      </c>
      <c r="R2741" s="12" t="str">
        <f ca="1">IFERROR(__xludf.DUMMYFUNCTION("""COMPUTED_VALUE"""),"Jindabyne ")</f>
        <v>Jindabyne </v>
      </c>
      <c r="S2741" s="12">
        <f t="shared" si="93"/>
        <v>-18911432</v>
      </c>
    </row>
    <row r="2742" spans="1:19" x14ac:dyDescent="0.3">
      <c r="A2742" s="2" t="s">
        <v>4128</v>
      </c>
      <c r="B2742" s="2">
        <v>90</v>
      </c>
      <c r="C2742" s="3">
        <v>40932372</v>
      </c>
      <c r="D2742" s="3" t="s">
        <v>6035</v>
      </c>
      <c r="E2742" s="2" t="s">
        <v>4129</v>
      </c>
      <c r="F2742" s="2" t="s">
        <v>10</v>
      </c>
      <c r="G2742" s="2" t="s">
        <v>16</v>
      </c>
      <c r="H2742" s="2">
        <v>5000000</v>
      </c>
      <c r="I2742" s="2">
        <v>6.6</v>
      </c>
      <c r="J2742" s="3">
        <v>51527787</v>
      </c>
      <c r="K2742">
        <f t="shared" si="92"/>
        <v>1.3775047412552699E-3</v>
      </c>
      <c r="R2742" s="12" t="str">
        <f ca="1">IFERROR(__xludf.DUMMYFUNCTION("""COMPUTED_VALUE"""),"Kabhi Alvida Naa Kehna ")</f>
        <v>Kabhi Alvida Naa Kehna </v>
      </c>
      <c r="S2742" s="12">
        <f t="shared" si="93"/>
        <v>-19650382</v>
      </c>
    </row>
    <row r="2743" spans="1:19" x14ac:dyDescent="0.3">
      <c r="A2743" s="2" t="s">
        <v>3297</v>
      </c>
      <c r="B2743" s="2">
        <v>89</v>
      </c>
      <c r="C2743" s="3">
        <v>22359293</v>
      </c>
      <c r="D2743" s="3" t="s">
        <v>6148</v>
      </c>
      <c r="E2743" s="2" t="s">
        <v>4047</v>
      </c>
      <c r="F2743" s="2" t="s">
        <v>10</v>
      </c>
      <c r="G2743" s="2" t="s">
        <v>11</v>
      </c>
      <c r="H2743" s="2">
        <v>10000000</v>
      </c>
      <c r="I2743" s="2">
        <v>5.3</v>
      </c>
      <c r="J2743" s="3">
        <v>51533608</v>
      </c>
      <c r="K2743">
        <f t="shared" si="92"/>
        <v>1.3775047412552699E-3</v>
      </c>
      <c r="R2743" s="12" t="str">
        <f ca="1">IFERROR(__xludf.DUMMYFUNCTION("""COMPUTED_VALUE"""),"An Ideal Husband ")</f>
        <v>An Ideal Husband </v>
      </c>
      <c r="S2743" s="12">
        <f t="shared" si="93"/>
        <v>-146666177</v>
      </c>
    </row>
    <row r="2744" spans="1:19" x14ac:dyDescent="0.3">
      <c r="A2744" s="2" t="s">
        <v>1551</v>
      </c>
      <c r="B2744" s="2">
        <v>99</v>
      </c>
      <c r="C2744" s="3">
        <v>33071558</v>
      </c>
      <c r="D2744" s="3" t="s">
        <v>6397</v>
      </c>
      <c r="E2744" s="2" t="s">
        <v>4496</v>
      </c>
      <c r="F2744" s="2" t="s">
        <v>10</v>
      </c>
      <c r="G2744" s="2" t="s">
        <v>16</v>
      </c>
      <c r="H2744" s="2">
        <v>9000000</v>
      </c>
      <c r="I2744" s="2">
        <v>6.8</v>
      </c>
      <c r="J2744" s="3">
        <v>51600000</v>
      </c>
      <c r="K2744">
        <f t="shared" si="92"/>
        <v>1.3775047412552699E-3</v>
      </c>
      <c r="R2744" s="12" t="str">
        <f ca="1">IFERROR(__xludf.DUMMYFUNCTION("""COMPUTED_VALUE"""),"The Last Days on Mars ")</f>
        <v>The Last Days on Mars </v>
      </c>
      <c r="S2744" s="12">
        <f t="shared" si="93"/>
        <v>-42100203</v>
      </c>
    </row>
    <row r="2745" spans="1:19" x14ac:dyDescent="0.3">
      <c r="A2745" s="2" t="s">
        <v>12</v>
      </c>
      <c r="B2745" s="2">
        <v>151</v>
      </c>
      <c r="C2745" s="3">
        <v>22326247</v>
      </c>
      <c r="D2745" s="3" t="s">
        <v>6398</v>
      </c>
      <c r="E2745" s="2" t="s">
        <v>35</v>
      </c>
      <c r="F2745" s="2" t="s">
        <v>10</v>
      </c>
      <c r="G2745" s="2" t="s">
        <v>11</v>
      </c>
      <c r="H2745" s="2">
        <v>225000000</v>
      </c>
      <c r="I2745" s="2">
        <v>7.3</v>
      </c>
      <c r="J2745" s="3">
        <v>51676606</v>
      </c>
      <c r="K2745">
        <f t="shared" si="92"/>
        <v>1.3775047412552699E-3</v>
      </c>
      <c r="R2745" s="12" t="str">
        <f ca="1">IFERROR(__xludf.DUMMYFUNCTION("""COMPUTED_VALUE"""),"Darkness ")</f>
        <v>Darkness </v>
      </c>
      <c r="S2745" s="12">
        <f t="shared" si="93"/>
        <v>-46752184</v>
      </c>
    </row>
    <row r="2746" spans="1:19" x14ac:dyDescent="0.3">
      <c r="A2746" s="2" t="s">
        <v>2978</v>
      </c>
      <c r="B2746" s="2">
        <v>99</v>
      </c>
      <c r="C2746" s="3">
        <v>32230907</v>
      </c>
      <c r="D2746" s="3" t="s">
        <v>5940</v>
      </c>
      <c r="E2746" s="2" t="s">
        <v>2979</v>
      </c>
      <c r="F2746" s="2" t="s">
        <v>1933</v>
      </c>
      <c r="G2746" s="2" t="s">
        <v>1008</v>
      </c>
      <c r="H2746" s="2">
        <v>20000000</v>
      </c>
      <c r="I2746" s="2">
        <v>7.8</v>
      </c>
      <c r="J2746" s="3">
        <v>51697449</v>
      </c>
      <c r="K2746">
        <f t="shared" si="92"/>
        <v>1.3775047412552699E-3</v>
      </c>
      <c r="R2746" s="12" t="str">
        <f ca="1">IFERROR(__xludf.DUMMYFUNCTION("""COMPUTED_VALUE"""),"2001: A Space Odyssey ")</f>
        <v>2001: A Space Odyssey </v>
      </c>
      <c r="S2746" s="12">
        <f t="shared" si="93"/>
        <v>69638743</v>
      </c>
    </row>
    <row r="2747" spans="1:19" x14ac:dyDescent="0.3">
      <c r="A2747" s="2" t="s">
        <v>348</v>
      </c>
      <c r="B2747" s="2">
        <v>125</v>
      </c>
      <c r="C2747" s="3">
        <v>15180000</v>
      </c>
      <c r="D2747" s="3" t="s">
        <v>6227</v>
      </c>
      <c r="E2747" s="2" t="s">
        <v>1116</v>
      </c>
      <c r="F2747" s="2" t="s">
        <v>10</v>
      </c>
      <c r="G2747" s="2" t="s">
        <v>11</v>
      </c>
      <c r="H2747" s="2">
        <v>60000000</v>
      </c>
      <c r="I2747" s="2">
        <v>6.2</v>
      </c>
      <c r="J2747" s="3">
        <v>51758599</v>
      </c>
      <c r="K2747">
        <f t="shared" si="92"/>
        <v>1.3775047412552699E-3</v>
      </c>
      <c r="R2747" s="12" t="str">
        <f ca="1">IFERROR(__xludf.DUMMYFUNCTION("""COMPUTED_VALUE"""),"E.T. the Extra-Terrestrial ")</f>
        <v>E.T. the Extra-Terrestrial </v>
      </c>
      <c r="S2747" s="12">
        <f t="shared" si="93"/>
        <v>-19694466</v>
      </c>
    </row>
    <row r="2748" spans="1:19" x14ac:dyDescent="0.3">
      <c r="A2748" s="2" t="s">
        <v>3685</v>
      </c>
      <c r="B2748" s="2">
        <v>90</v>
      </c>
      <c r="C2748" s="3">
        <v>8508843</v>
      </c>
      <c r="D2748" s="3" t="s">
        <v>5768</v>
      </c>
      <c r="E2748" s="2" t="s">
        <v>5210</v>
      </c>
      <c r="F2748" s="2" t="s">
        <v>10</v>
      </c>
      <c r="G2748" s="2" t="s">
        <v>11</v>
      </c>
      <c r="H2748" s="2">
        <v>1500000</v>
      </c>
      <c r="I2748" s="2">
        <v>4.3</v>
      </c>
      <c r="J2748" s="3">
        <v>51768623</v>
      </c>
      <c r="K2748">
        <f t="shared" si="92"/>
        <v>1.3775047412552699E-3</v>
      </c>
      <c r="R2748" s="12" t="str">
        <f ca="1">IFERROR(__xludf.DUMMYFUNCTION("""COMPUTED_VALUE"""),"In the Land of Women ")</f>
        <v>In the Land of Women </v>
      </c>
      <c r="S2748" s="12">
        <f t="shared" si="93"/>
        <v>-35685517</v>
      </c>
    </row>
    <row r="2749" spans="1:19" x14ac:dyDescent="0.3">
      <c r="A2749" s="2" t="s">
        <v>25</v>
      </c>
      <c r="B2749" s="2">
        <v>173</v>
      </c>
      <c r="C2749" s="3">
        <v>4190530</v>
      </c>
      <c r="D2749" s="3" t="s">
        <v>5973</v>
      </c>
      <c r="E2749" s="2" t="s">
        <v>40</v>
      </c>
      <c r="F2749" s="2" t="s">
        <v>10</v>
      </c>
      <c r="G2749" s="2" t="s">
        <v>11</v>
      </c>
      <c r="H2749" s="2">
        <v>220000000</v>
      </c>
      <c r="I2749" s="2">
        <v>8.1</v>
      </c>
      <c r="J2749" s="3">
        <v>51774002</v>
      </c>
      <c r="K2749">
        <f t="shared" si="92"/>
        <v>1.3775047412552699E-3</v>
      </c>
      <c r="R2749" s="12" t="str">
        <f ca="1">IFERROR(__xludf.DUMMYFUNCTION("""COMPUTED_VALUE"""),"There Goes My Baby ")</f>
        <v>There Goes My Baby </v>
      </c>
      <c r="S2749" s="12">
        <f t="shared" si="93"/>
        <v>-22235973</v>
      </c>
    </row>
    <row r="2750" spans="1:19" x14ac:dyDescent="0.3">
      <c r="A2750" s="2" t="s">
        <v>516</v>
      </c>
      <c r="B2750" s="2">
        <v>124</v>
      </c>
      <c r="C2750" s="3">
        <v>1500000</v>
      </c>
      <c r="D2750" s="3" t="s">
        <v>5973</v>
      </c>
      <c r="E2750" s="2" t="s">
        <v>924</v>
      </c>
      <c r="F2750" s="2" t="s">
        <v>10</v>
      </c>
      <c r="G2750" s="2" t="s">
        <v>11</v>
      </c>
      <c r="H2750" s="2">
        <v>68000000</v>
      </c>
      <c r="I2750" s="2">
        <v>6.8</v>
      </c>
      <c r="J2750" s="3">
        <v>51814190</v>
      </c>
      <c r="K2750">
        <f t="shared" si="92"/>
        <v>1.3775047412552699E-3</v>
      </c>
      <c r="R2750" s="12" t="str">
        <f ca="1">IFERROR(__xludf.DUMMYFUNCTION("""COMPUTED_VALUE"""),"For Greater Glory: The True Story of Cristiada ")</f>
        <v>For Greater Glory: The True Story of Cristiada </v>
      </c>
      <c r="S2750" s="12">
        <f t="shared" si="93"/>
        <v>-89780971</v>
      </c>
    </row>
    <row r="2751" spans="1:19" x14ac:dyDescent="0.3">
      <c r="A2751" s="2" t="s">
        <v>5571</v>
      </c>
      <c r="B2751" s="2">
        <v>98</v>
      </c>
      <c r="C2751" s="3">
        <v>10431220</v>
      </c>
      <c r="D2751" s="3" t="s">
        <v>5940</v>
      </c>
      <c r="E2751" s="2" t="s">
        <v>5572</v>
      </c>
      <c r="F2751" s="2" t="s">
        <v>10</v>
      </c>
      <c r="G2751" s="2" t="s">
        <v>11</v>
      </c>
      <c r="H2751" s="2">
        <v>8000000</v>
      </c>
      <c r="I2751" s="2">
        <v>6.6</v>
      </c>
      <c r="J2751" s="3">
        <v>51853450</v>
      </c>
      <c r="K2751">
        <f t="shared" si="92"/>
        <v>1.3775047412552699E-3</v>
      </c>
      <c r="R2751" s="12" t="str">
        <f ca="1">IFERROR(__xludf.DUMMYFUNCTION("""COMPUTED_VALUE"""),"Good Will Hunting ")</f>
        <v>Good Will Hunting </v>
      </c>
      <c r="S2751" s="12">
        <f t="shared" si="93"/>
        <v>39816662</v>
      </c>
    </row>
    <row r="2752" spans="1:19" x14ac:dyDescent="0.3">
      <c r="A2752" s="2" t="s">
        <v>1525</v>
      </c>
      <c r="B2752" s="2">
        <v>124</v>
      </c>
      <c r="C2752" s="3">
        <v>44456509</v>
      </c>
      <c r="D2752" s="3" t="s">
        <v>6272</v>
      </c>
      <c r="E2752" s="2" t="s">
        <v>1615</v>
      </c>
      <c r="F2752" s="2" t="s">
        <v>10</v>
      </c>
      <c r="G2752" s="2" t="s">
        <v>16</v>
      </c>
      <c r="H2752" s="2">
        <v>42000000</v>
      </c>
      <c r="I2752" s="2">
        <v>7</v>
      </c>
      <c r="J2752" s="3">
        <v>51872378</v>
      </c>
      <c r="K2752">
        <f t="shared" si="92"/>
        <v>1.3775047412552699E-3</v>
      </c>
      <c r="R2752" s="12" t="str">
        <f ca="1">IFERROR(__xludf.DUMMYFUNCTION("""COMPUTED_VALUE"""),"Saw III ")</f>
        <v>Saw III </v>
      </c>
      <c r="S2752" s="12">
        <f t="shared" si="93"/>
        <v>-18637500</v>
      </c>
    </row>
    <row r="2753" spans="1:19" x14ac:dyDescent="0.3">
      <c r="A2753" s="2" t="s">
        <v>1105</v>
      </c>
      <c r="B2753" s="2">
        <v>104</v>
      </c>
      <c r="C2753" s="3">
        <v>10326062</v>
      </c>
      <c r="D2753" s="3" t="s">
        <v>6399</v>
      </c>
      <c r="E2753" s="2" t="s">
        <v>1106</v>
      </c>
      <c r="F2753" s="2" t="s">
        <v>10</v>
      </c>
      <c r="G2753" s="2" t="s">
        <v>11</v>
      </c>
      <c r="H2753" s="2">
        <v>48000000</v>
      </c>
      <c r="I2753" s="2">
        <v>6.1</v>
      </c>
      <c r="J2753" s="3">
        <v>52000688</v>
      </c>
      <c r="K2753">
        <f t="shared" si="92"/>
        <v>1.3775047412552699E-3</v>
      </c>
      <c r="R2753" s="12" t="str">
        <f ca="1">IFERROR(__xludf.DUMMYFUNCTION("""COMPUTED_VALUE"""),"Stripes ")</f>
        <v>Stripes </v>
      </c>
      <c r="S2753" s="12">
        <f t="shared" si="93"/>
        <v>93999143</v>
      </c>
    </row>
    <row r="2754" spans="1:19" x14ac:dyDescent="0.3">
      <c r="A2754" s="2" t="s">
        <v>3037</v>
      </c>
      <c r="B2754" s="2">
        <v>100</v>
      </c>
      <c r="C2754" s="3">
        <v>27053815</v>
      </c>
      <c r="D2754" s="3" t="s">
        <v>6288</v>
      </c>
      <c r="E2754" s="2" t="s">
        <v>3038</v>
      </c>
      <c r="F2754" s="2" t="s">
        <v>10</v>
      </c>
      <c r="G2754" s="2" t="s">
        <v>71</v>
      </c>
      <c r="H2754" s="2">
        <v>22000000</v>
      </c>
      <c r="I2754" s="2">
        <v>6.2</v>
      </c>
      <c r="J2754" s="3">
        <v>52008288</v>
      </c>
      <c r="K2754">
        <f t="shared" ref="K2754:K2817" si="94">CORREL(H$2:H$3941,J$2:J$3941)</f>
        <v>1.3775047412552699E-3</v>
      </c>
      <c r="R2754" s="12" t="str">
        <f ca="1">IFERROR(__xludf.DUMMYFUNCTION("""COMPUTED_VALUE"""),"Bring It On ")</f>
        <v>Bring It On </v>
      </c>
      <c r="S2754" s="12">
        <f t="shared" si="93"/>
        <v>-17718168</v>
      </c>
    </row>
    <row r="2755" spans="1:19" x14ac:dyDescent="0.3">
      <c r="A2755" s="2" t="s">
        <v>2980</v>
      </c>
      <c r="B2755" s="2">
        <v>88</v>
      </c>
      <c r="C2755" s="3">
        <v>28435406</v>
      </c>
      <c r="D2755" s="3" t="s">
        <v>6127</v>
      </c>
      <c r="E2755" s="2" t="s">
        <v>2981</v>
      </c>
      <c r="F2755" s="2" t="s">
        <v>10</v>
      </c>
      <c r="G2755" s="2" t="s">
        <v>11</v>
      </c>
      <c r="H2755" s="2">
        <v>35000000</v>
      </c>
      <c r="I2755" s="2">
        <v>4</v>
      </c>
      <c r="J2755" s="3">
        <v>52066000</v>
      </c>
      <c r="K2755">
        <f t="shared" si="94"/>
        <v>1.3775047412552699E-3</v>
      </c>
      <c r="R2755" s="12" t="str">
        <f ca="1">IFERROR(__xludf.DUMMYFUNCTION("""COMPUTED_VALUE"""),"The Purge: Election Year ")</f>
        <v>The Purge: Election Year </v>
      </c>
      <c r="S2755" s="12">
        <f t="shared" si="93"/>
        <v>-40185756</v>
      </c>
    </row>
    <row r="2756" spans="1:19" x14ac:dyDescent="0.3">
      <c r="A2756" s="2" t="s">
        <v>5367</v>
      </c>
      <c r="B2756" s="2">
        <v>76</v>
      </c>
      <c r="C2756" s="3">
        <v>52008288</v>
      </c>
      <c r="D2756" s="3" t="s">
        <v>6400</v>
      </c>
      <c r="E2756" s="2" t="s">
        <v>5368</v>
      </c>
      <c r="F2756" s="2" t="s">
        <v>10</v>
      </c>
      <c r="G2756" s="2" t="s">
        <v>11</v>
      </c>
      <c r="H2756" s="2">
        <v>1000000</v>
      </c>
      <c r="I2756" s="2">
        <v>6.7</v>
      </c>
      <c r="J2756" s="3">
        <v>52200504</v>
      </c>
      <c r="K2756">
        <f t="shared" si="94"/>
        <v>1.3775047412552699E-3</v>
      </c>
      <c r="R2756" s="12" t="str">
        <f ca="1">IFERROR(__xludf.DUMMYFUNCTION("""COMPUTED_VALUE"""),"She's All That ")</f>
        <v>She's All That </v>
      </c>
      <c r="S2756" s="12">
        <f t="shared" si="93"/>
        <v>-49675559</v>
      </c>
    </row>
    <row r="2757" spans="1:19" x14ac:dyDescent="0.3">
      <c r="A2757" s="2" t="s">
        <v>2102</v>
      </c>
      <c r="B2757" s="2">
        <v>100</v>
      </c>
      <c r="C2757" s="3">
        <v>13753931</v>
      </c>
      <c r="D2757" s="3" t="s">
        <v>5940</v>
      </c>
      <c r="E2757" s="2" t="s">
        <v>4368</v>
      </c>
      <c r="F2757" s="2" t="s">
        <v>10</v>
      </c>
      <c r="G2757" s="2" t="s">
        <v>16</v>
      </c>
      <c r="H2757" s="2">
        <v>3500000</v>
      </c>
      <c r="I2757" s="2">
        <v>7.2</v>
      </c>
      <c r="J2757" s="3">
        <v>52277485</v>
      </c>
      <c r="K2757">
        <f t="shared" si="94"/>
        <v>1.3775047412552699E-3</v>
      </c>
      <c r="R2757" s="12" t="str">
        <f ca="1">IFERROR(__xludf.DUMMYFUNCTION("""COMPUTED_VALUE"""),"Saw IV ")</f>
        <v>Saw IV </v>
      </c>
      <c r="S2757" s="12">
        <f t="shared" si="93"/>
        <v>-23282545</v>
      </c>
    </row>
    <row r="2758" spans="1:19" x14ac:dyDescent="0.3">
      <c r="A2758" s="2" t="s">
        <v>5144</v>
      </c>
      <c r="B2758" s="2">
        <v>109</v>
      </c>
      <c r="C2758" s="3">
        <v>60057639</v>
      </c>
      <c r="D2758" s="3" t="s">
        <v>6401</v>
      </c>
      <c r="E2758" s="2" t="s">
        <v>5145</v>
      </c>
      <c r="F2758" s="2" t="s">
        <v>10</v>
      </c>
      <c r="G2758" s="2" t="s">
        <v>11</v>
      </c>
      <c r="H2758" s="2">
        <v>1800000</v>
      </c>
      <c r="I2758" s="2">
        <v>7.3</v>
      </c>
      <c r="J2758" s="3">
        <v>52287414</v>
      </c>
      <c r="K2758">
        <f t="shared" si="94"/>
        <v>1.3775047412552699E-3</v>
      </c>
      <c r="R2758" s="12" t="str">
        <f ca="1">IFERROR(__xludf.DUMMYFUNCTION("""COMPUTED_VALUE"""),"White Noise ")</f>
        <v>White Noise </v>
      </c>
      <c r="S2758" s="12">
        <f t="shared" si="93"/>
        <v>-16979353</v>
      </c>
    </row>
    <row r="2759" spans="1:19" x14ac:dyDescent="0.3">
      <c r="A2759" s="2" t="s">
        <v>1641</v>
      </c>
      <c r="B2759" s="2">
        <v>107</v>
      </c>
      <c r="C2759" s="3">
        <v>51483949</v>
      </c>
      <c r="D2759" s="3" t="s">
        <v>5754</v>
      </c>
      <c r="E2759" s="2" t="s">
        <v>2874</v>
      </c>
      <c r="F2759" s="2" t="s">
        <v>10</v>
      </c>
      <c r="G2759" s="2" t="s">
        <v>11</v>
      </c>
      <c r="H2759" s="2">
        <v>20000000</v>
      </c>
      <c r="I2759" s="2">
        <v>5.8</v>
      </c>
      <c r="J2759" s="3">
        <v>52293982</v>
      </c>
      <c r="K2759">
        <f t="shared" si="94"/>
        <v>1.3775047412552699E-3</v>
      </c>
      <c r="R2759" s="12" t="str">
        <f ca="1">IFERROR(__xludf.DUMMYFUNCTION("""COMPUTED_VALUE"""),"Madea's Family Reunion ")</f>
        <v>Madea's Family Reunion </v>
      </c>
      <c r="S2759" s="12">
        <f t="shared" si="93"/>
        <v>-34389009</v>
      </c>
    </row>
    <row r="2760" spans="1:19" x14ac:dyDescent="0.3">
      <c r="A2760" s="2" t="s">
        <v>3514</v>
      </c>
      <c r="B2760" s="2">
        <v>108</v>
      </c>
      <c r="C2760" s="3">
        <v>10411980</v>
      </c>
      <c r="D2760" s="3" t="s">
        <v>5874</v>
      </c>
      <c r="E2760" s="2" t="s">
        <v>3515</v>
      </c>
      <c r="F2760" s="2" t="s">
        <v>10</v>
      </c>
      <c r="G2760" s="2" t="s">
        <v>11</v>
      </c>
      <c r="H2760" s="2">
        <v>16000000</v>
      </c>
      <c r="I2760" s="2">
        <v>6.7</v>
      </c>
      <c r="J2760" s="3">
        <v>52320979</v>
      </c>
      <c r="K2760">
        <f t="shared" si="94"/>
        <v>1.3775047412552699E-3</v>
      </c>
      <c r="R2760" s="12" t="str">
        <f ca="1">IFERROR(__xludf.DUMMYFUNCTION("""COMPUTED_VALUE"""),"The Color of Money ")</f>
        <v>The Color of Money </v>
      </c>
      <c r="S2760" s="12">
        <f t="shared" si="93"/>
        <v>31122249</v>
      </c>
    </row>
    <row r="2761" spans="1:19" x14ac:dyDescent="0.3">
      <c r="A2761" s="2" t="s">
        <v>1633</v>
      </c>
      <c r="B2761" s="2">
        <v>107</v>
      </c>
      <c r="C2761" s="3">
        <v>19406406</v>
      </c>
      <c r="D2761" s="3" t="s">
        <v>6041</v>
      </c>
      <c r="E2761" s="2" t="s">
        <v>2641</v>
      </c>
      <c r="F2761" s="2" t="s">
        <v>10</v>
      </c>
      <c r="G2761" s="2" t="s">
        <v>11</v>
      </c>
      <c r="H2761" s="2">
        <v>25000000</v>
      </c>
      <c r="I2761" s="2">
        <v>7.1</v>
      </c>
      <c r="J2761" s="3">
        <v>52353636</v>
      </c>
      <c r="K2761">
        <f t="shared" si="94"/>
        <v>1.3775047412552699E-3</v>
      </c>
      <c r="R2761" s="12" t="str">
        <f ca="1">IFERROR(__xludf.DUMMYFUNCTION("""COMPUTED_VALUE"""),"The Mighty Ducks ")</f>
        <v>The Mighty Ducks </v>
      </c>
      <c r="S2761" s="12">
        <f t="shared" si="93"/>
        <v>5278980</v>
      </c>
    </row>
    <row r="2762" spans="1:19" x14ac:dyDescent="0.3">
      <c r="A2762" s="2" t="s">
        <v>917</v>
      </c>
      <c r="B2762" s="2">
        <v>114</v>
      </c>
      <c r="C2762" s="3">
        <v>2412045</v>
      </c>
      <c r="D2762" s="3" t="s">
        <v>5869</v>
      </c>
      <c r="E2762" s="2" t="s">
        <v>1924</v>
      </c>
      <c r="F2762" s="2" t="s">
        <v>10</v>
      </c>
      <c r="G2762" s="2" t="s">
        <v>11</v>
      </c>
      <c r="H2762" s="2">
        <v>37000000</v>
      </c>
      <c r="I2762" s="2">
        <v>6</v>
      </c>
      <c r="J2762" s="3">
        <v>52397389</v>
      </c>
      <c r="K2762">
        <f t="shared" si="94"/>
        <v>1.3775047412552699E-3</v>
      </c>
      <c r="R2762" s="12" t="str">
        <f ca="1">IFERROR(__xludf.DUMMYFUNCTION("""COMPUTED_VALUE"""),"The Grudge ")</f>
        <v>The Grudge </v>
      </c>
      <c r="S2762" s="12">
        <f t="shared" si="93"/>
        <v>-30578729</v>
      </c>
    </row>
    <row r="2763" spans="1:19" x14ac:dyDescent="0.3">
      <c r="A2763" s="2" t="s">
        <v>126</v>
      </c>
      <c r="B2763" s="2">
        <v>106</v>
      </c>
      <c r="C2763" s="3">
        <v>17427926</v>
      </c>
      <c r="D2763" s="3" t="s">
        <v>5869</v>
      </c>
      <c r="E2763" s="2" t="s">
        <v>144</v>
      </c>
      <c r="F2763" s="2" t="s">
        <v>10</v>
      </c>
      <c r="G2763" s="2" t="s">
        <v>16</v>
      </c>
      <c r="H2763" s="2">
        <v>175000000</v>
      </c>
      <c r="I2763" s="2">
        <v>7.8</v>
      </c>
      <c r="J2763" s="3">
        <v>52418902</v>
      </c>
      <c r="K2763">
        <f t="shared" si="94"/>
        <v>1.3775047412552699E-3</v>
      </c>
      <c r="R2763" s="12" t="str">
        <f ca="1">IFERROR(__xludf.DUMMYFUNCTION("""COMPUTED_VALUE"""),"Happy Gilmore ")</f>
        <v>Happy Gilmore </v>
      </c>
      <c r="S2763" s="12">
        <f t="shared" si="93"/>
        <v>-100000</v>
      </c>
    </row>
    <row r="2764" spans="1:19" x14ac:dyDescent="0.3">
      <c r="A2764" s="2" t="s">
        <v>473</v>
      </c>
      <c r="B2764" s="2">
        <v>126</v>
      </c>
      <c r="C2764" s="3">
        <v>1821983</v>
      </c>
      <c r="D2764" s="3" t="s">
        <v>5894</v>
      </c>
      <c r="E2764" s="2" t="s">
        <v>2740</v>
      </c>
      <c r="F2764" s="2" t="s">
        <v>10</v>
      </c>
      <c r="G2764" s="2" t="s">
        <v>11</v>
      </c>
      <c r="H2764" s="2">
        <v>23000000</v>
      </c>
      <c r="I2764" s="2">
        <v>8</v>
      </c>
      <c r="J2764" s="3">
        <v>52474616</v>
      </c>
      <c r="K2764">
        <f t="shared" si="94"/>
        <v>1.3775047412552699E-3</v>
      </c>
      <c r="R2764" s="12" t="str">
        <f ca="1">IFERROR(__xludf.DUMMYFUNCTION("""COMPUTED_VALUE"""),"Jeepers Creepers ")</f>
        <v>Jeepers Creepers </v>
      </c>
      <c r="S2764" s="12">
        <f t="shared" si="93"/>
        <v>35932372</v>
      </c>
    </row>
    <row r="2765" spans="1:19" x14ac:dyDescent="0.3">
      <c r="A2765" s="2" t="s">
        <v>3714</v>
      </c>
      <c r="B2765" s="2">
        <v>112</v>
      </c>
      <c r="C2765" s="3">
        <v>22331028</v>
      </c>
      <c r="D2765" s="3" t="s">
        <v>5973</v>
      </c>
      <c r="E2765" s="2" t="s">
        <v>3715</v>
      </c>
      <c r="F2765" s="2" t="s">
        <v>751</v>
      </c>
      <c r="G2765" s="2" t="s">
        <v>504</v>
      </c>
      <c r="H2765" s="2">
        <v>100000000</v>
      </c>
      <c r="I2765" s="2">
        <v>7.3</v>
      </c>
      <c r="J2765" s="3">
        <v>52528330</v>
      </c>
      <c r="K2765">
        <f t="shared" si="94"/>
        <v>1.3775047412552699E-3</v>
      </c>
      <c r="R2765" s="12" t="str">
        <f ca="1">IFERROR(__xludf.DUMMYFUNCTION("""COMPUTED_VALUE"""),"Bill &amp; Ted's Excellent Adventure ")</f>
        <v>Bill &amp; Ted's Excellent Adventure </v>
      </c>
      <c r="S2765" s="12">
        <f t="shared" si="93"/>
        <v>12359293</v>
      </c>
    </row>
    <row r="2766" spans="1:19" x14ac:dyDescent="0.3">
      <c r="A2766" s="2" t="s">
        <v>462</v>
      </c>
      <c r="B2766" s="2">
        <v>111</v>
      </c>
      <c r="C2766" s="3">
        <v>43100000</v>
      </c>
      <c r="D2766" s="3" t="s">
        <v>6144</v>
      </c>
      <c r="E2766" s="2" t="s">
        <v>1220</v>
      </c>
      <c r="F2766" s="2" t="s">
        <v>10</v>
      </c>
      <c r="G2766" s="2" t="s">
        <v>11</v>
      </c>
      <c r="H2766" s="2">
        <v>30000000</v>
      </c>
      <c r="I2766" s="2">
        <v>8.1</v>
      </c>
      <c r="J2766" s="3">
        <v>52543632</v>
      </c>
      <c r="K2766">
        <f t="shared" si="94"/>
        <v>1.3775047412552699E-3</v>
      </c>
      <c r="R2766" s="12" t="str">
        <f ca="1">IFERROR(__xludf.DUMMYFUNCTION("""COMPUTED_VALUE"""),"Oliver! ")</f>
        <v>Oliver! </v>
      </c>
      <c r="S2766" s="12">
        <f t="shared" si="93"/>
        <v>24071558</v>
      </c>
    </row>
    <row r="2767" spans="1:19" x14ac:dyDescent="0.3">
      <c r="A2767" s="2" t="s">
        <v>410</v>
      </c>
      <c r="B2767" s="2">
        <v>100</v>
      </c>
      <c r="C2767" s="3">
        <v>7757130</v>
      </c>
      <c r="D2767" s="3" t="s">
        <v>5973</v>
      </c>
      <c r="E2767" s="2" t="s">
        <v>4923</v>
      </c>
      <c r="F2767" s="2" t="s">
        <v>10</v>
      </c>
      <c r="G2767" s="2" t="s">
        <v>11</v>
      </c>
      <c r="H2767" s="2">
        <v>3000000</v>
      </c>
      <c r="I2767" s="2">
        <v>7.2</v>
      </c>
      <c r="J2767" s="3">
        <v>52580895</v>
      </c>
      <c r="K2767">
        <f t="shared" si="94"/>
        <v>1.3775047412552699E-3</v>
      </c>
      <c r="R2767" s="12" t="str">
        <f ca="1">IFERROR(__xludf.DUMMYFUNCTION("""COMPUTED_VALUE"""),"The Best Exotic Marigold Hotel ")</f>
        <v>The Best Exotic Marigold Hotel </v>
      </c>
      <c r="S2767" s="12">
        <f t="shared" si="93"/>
        <v>-202673753</v>
      </c>
    </row>
    <row r="2768" spans="1:19" x14ac:dyDescent="0.3">
      <c r="A2768" s="2" t="s">
        <v>5607</v>
      </c>
      <c r="B2768" s="2">
        <v>81</v>
      </c>
      <c r="C2768" s="3">
        <v>33037754</v>
      </c>
      <c r="D2768" s="3" t="s">
        <v>6094</v>
      </c>
      <c r="E2768" s="2" t="s">
        <v>5609</v>
      </c>
      <c r="F2768" s="2" t="s">
        <v>10</v>
      </c>
      <c r="G2768" s="2" t="s">
        <v>11</v>
      </c>
      <c r="H2768" s="2">
        <v>250000</v>
      </c>
      <c r="I2768" s="2">
        <v>6.3</v>
      </c>
      <c r="J2768" s="3">
        <v>52691009</v>
      </c>
      <c r="K2768">
        <f t="shared" si="94"/>
        <v>1.3775047412552699E-3</v>
      </c>
      <c r="R2768" s="12" t="str">
        <f ca="1">IFERROR(__xludf.DUMMYFUNCTION("""COMPUTED_VALUE"""),"Recess: School's Out ")</f>
        <v>Recess: School's Out </v>
      </c>
      <c r="S2768" s="12">
        <f t="shared" si="93"/>
        <v>12230907</v>
      </c>
    </row>
    <row r="2769" spans="1:19" x14ac:dyDescent="0.3">
      <c r="A2769" s="2" t="s">
        <v>2095</v>
      </c>
      <c r="B2769" s="2">
        <v>118</v>
      </c>
      <c r="C2769" s="3">
        <v>82670733</v>
      </c>
      <c r="D2769" s="3" t="s">
        <v>6241</v>
      </c>
      <c r="E2769" s="2" t="s">
        <v>2096</v>
      </c>
      <c r="F2769" s="2" t="s">
        <v>10</v>
      </c>
      <c r="G2769" s="2" t="s">
        <v>11</v>
      </c>
      <c r="H2769" s="2">
        <v>10000000</v>
      </c>
      <c r="I2769" s="2">
        <v>6.8</v>
      </c>
      <c r="J2769" s="3">
        <v>52700832</v>
      </c>
      <c r="K2769">
        <f t="shared" si="94"/>
        <v>1.3775047412552699E-3</v>
      </c>
      <c r="R2769" s="12" t="str">
        <f ca="1">IFERROR(__xludf.DUMMYFUNCTION("""COMPUTED_VALUE"""),"Mad Max Beyond Thunderdome ")</f>
        <v>Mad Max Beyond Thunderdome </v>
      </c>
      <c r="S2769" s="12">
        <f t="shared" si="93"/>
        <v>-44820000</v>
      </c>
    </row>
    <row r="2770" spans="1:19" x14ac:dyDescent="0.3">
      <c r="A2770" s="2" t="s">
        <v>2572</v>
      </c>
      <c r="B2770" s="2">
        <v>101</v>
      </c>
      <c r="C2770" s="3">
        <v>5887457</v>
      </c>
      <c r="D2770" s="3" t="s">
        <v>6041</v>
      </c>
      <c r="E2770" s="2" t="s">
        <v>2573</v>
      </c>
      <c r="F2770" s="2" t="s">
        <v>10</v>
      </c>
      <c r="G2770" s="2" t="s">
        <v>11</v>
      </c>
      <c r="H2770" s="2">
        <v>25000000</v>
      </c>
      <c r="I2770" s="2">
        <v>5.6</v>
      </c>
      <c r="J2770" s="3">
        <v>52752475</v>
      </c>
      <c r="K2770">
        <f t="shared" si="94"/>
        <v>1.3775047412552699E-3</v>
      </c>
      <c r="R2770" s="12" t="str">
        <f ca="1">IFERROR(__xludf.DUMMYFUNCTION("""COMPUTED_VALUE"""),"The Boy ")</f>
        <v>The Boy </v>
      </c>
      <c r="S2770" s="12">
        <f t="shared" si="93"/>
        <v>7008843</v>
      </c>
    </row>
    <row r="2771" spans="1:19" x14ac:dyDescent="0.3">
      <c r="A2771" s="2" t="s">
        <v>4332</v>
      </c>
      <c r="B2771" s="2">
        <v>118</v>
      </c>
      <c r="C2771" s="3">
        <v>99147</v>
      </c>
      <c r="D2771" s="3" t="s">
        <v>5940</v>
      </c>
      <c r="E2771" s="2" t="s">
        <v>4333</v>
      </c>
      <c r="F2771" s="2" t="s">
        <v>10</v>
      </c>
      <c r="G2771" s="2" t="s">
        <v>11</v>
      </c>
      <c r="H2771" s="2">
        <v>7500000</v>
      </c>
      <c r="I2771" s="2">
        <v>6.9</v>
      </c>
      <c r="J2771" s="3">
        <v>52792307</v>
      </c>
      <c r="K2771">
        <f t="shared" si="94"/>
        <v>1.3775047412552699E-3</v>
      </c>
      <c r="R2771" s="12" t="str">
        <f ca="1">IFERROR(__xludf.DUMMYFUNCTION("""COMPUTED_VALUE"""),"Devil ")</f>
        <v>Devil </v>
      </c>
      <c r="S2771" s="12">
        <f t="shared" si="93"/>
        <v>-215809470</v>
      </c>
    </row>
    <row r="2772" spans="1:19" x14ac:dyDescent="0.3">
      <c r="A2772" s="2" t="s">
        <v>2412</v>
      </c>
      <c r="B2772" s="2">
        <v>89</v>
      </c>
      <c r="C2772" s="3">
        <v>17237244</v>
      </c>
      <c r="D2772" s="3" t="s">
        <v>5960</v>
      </c>
      <c r="E2772" s="2" t="s">
        <v>2413</v>
      </c>
      <c r="F2772" s="2" t="s">
        <v>10</v>
      </c>
      <c r="G2772" s="2" t="s">
        <v>11</v>
      </c>
      <c r="H2772" s="2">
        <v>28000000</v>
      </c>
      <c r="I2772" s="2">
        <v>5.4</v>
      </c>
      <c r="J2772" s="3">
        <v>52799004</v>
      </c>
      <c r="K2772">
        <f t="shared" si="94"/>
        <v>1.3775047412552699E-3</v>
      </c>
      <c r="R2772" s="12" t="str">
        <f ca="1">IFERROR(__xludf.DUMMYFUNCTION("""COMPUTED_VALUE"""),"Friday After Next ")</f>
        <v>Friday After Next </v>
      </c>
      <c r="S2772" s="12">
        <f t="shared" si="93"/>
        <v>-66500000</v>
      </c>
    </row>
    <row r="2773" spans="1:19" x14ac:dyDescent="0.3">
      <c r="A2773" s="2" t="s">
        <v>87</v>
      </c>
      <c r="B2773" s="2">
        <v>131</v>
      </c>
      <c r="C2773" s="3">
        <v>5900000</v>
      </c>
      <c r="D2773" s="3" t="s">
        <v>5940</v>
      </c>
      <c r="E2773" s="2" t="s">
        <v>991</v>
      </c>
      <c r="F2773" s="2" t="s">
        <v>10</v>
      </c>
      <c r="G2773" s="2" t="s">
        <v>11</v>
      </c>
      <c r="H2773" s="2">
        <v>65000000</v>
      </c>
      <c r="I2773" s="2">
        <v>7.1</v>
      </c>
      <c r="J2773" s="3">
        <v>52822418</v>
      </c>
      <c r="K2773">
        <f t="shared" si="94"/>
        <v>1.3775047412552699E-3</v>
      </c>
      <c r="R2773" s="12" t="str">
        <f ca="1">IFERROR(__xludf.DUMMYFUNCTION("""COMPUTED_VALUE"""),"Insidious: Chapter 3 ")</f>
        <v>Insidious: Chapter 3 </v>
      </c>
      <c r="S2773" s="12">
        <f t="shared" si="93"/>
        <v>2431220</v>
      </c>
    </row>
    <row r="2774" spans="1:19" x14ac:dyDescent="0.3">
      <c r="A2774" s="2" t="s">
        <v>2216</v>
      </c>
      <c r="B2774" s="2">
        <v>98</v>
      </c>
      <c r="C2774" s="2">
        <v>33404871</v>
      </c>
      <c r="D2774" s="3" t="s">
        <v>6186</v>
      </c>
      <c r="E2774" s="2" t="s">
        <v>3155</v>
      </c>
      <c r="F2774" s="2" t="s">
        <v>10</v>
      </c>
      <c r="G2774" s="2" t="s">
        <v>11</v>
      </c>
      <c r="H2774" s="2">
        <v>18000000</v>
      </c>
      <c r="I2774" s="2">
        <v>7.3</v>
      </c>
      <c r="J2774" s="3">
        <v>52885587</v>
      </c>
      <c r="K2774">
        <f t="shared" si="94"/>
        <v>1.3775047412552699E-3</v>
      </c>
      <c r="R2774" s="12" t="str">
        <f ca="1">IFERROR(__xludf.DUMMYFUNCTION("""COMPUTED_VALUE"""),"The Last Dragon ")</f>
        <v>The Last Dragon </v>
      </c>
      <c r="S2774" s="12">
        <f t="shared" si="93"/>
        <v>2456509</v>
      </c>
    </row>
    <row r="2775" spans="1:19" x14ac:dyDescent="0.3">
      <c r="A2775" s="2" t="s">
        <v>1602</v>
      </c>
      <c r="B2775" s="2">
        <v>110</v>
      </c>
      <c r="C2775" s="3">
        <v>49797148</v>
      </c>
      <c r="D2775" s="3" t="s">
        <v>5954</v>
      </c>
      <c r="E2775" s="2" t="s">
        <v>2444</v>
      </c>
      <c r="F2775" s="2" t="s">
        <v>10</v>
      </c>
      <c r="G2775" s="2" t="s">
        <v>199</v>
      </c>
      <c r="H2775" s="2">
        <v>27000000</v>
      </c>
      <c r="I2775" s="2">
        <v>7.8</v>
      </c>
      <c r="J2775" s="3">
        <v>52929168</v>
      </c>
      <c r="K2775">
        <f t="shared" si="94"/>
        <v>1.3775047412552699E-3</v>
      </c>
      <c r="R2775" s="12" t="str">
        <f ca="1">IFERROR(__xludf.DUMMYFUNCTION("""COMPUTED_VALUE"""),"The Lawnmower Man ")</f>
        <v>The Lawnmower Man </v>
      </c>
      <c r="S2775" s="12">
        <f t="shared" si="93"/>
        <v>-37673938</v>
      </c>
    </row>
    <row r="2776" spans="1:19" x14ac:dyDescent="0.3">
      <c r="A2776" s="2" t="s">
        <v>3313</v>
      </c>
      <c r="B2776" s="2">
        <v>111</v>
      </c>
      <c r="C2776" s="3">
        <v>17218080</v>
      </c>
      <c r="D2776" s="3" t="s">
        <v>6207</v>
      </c>
      <c r="E2776" s="2" t="s">
        <v>3314</v>
      </c>
      <c r="F2776" s="2" t="s">
        <v>10</v>
      </c>
      <c r="G2776" s="2" t="s">
        <v>11</v>
      </c>
      <c r="H2776" s="2">
        <v>18500000</v>
      </c>
      <c r="I2776" s="2">
        <v>5.4</v>
      </c>
      <c r="J2776" s="3">
        <v>52937130</v>
      </c>
      <c r="K2776">
        <f t="shared" si="94"/>
        <v>1.3775047412552699E-3</v>
      </c>
      <c r="R2776" s="12" t="str">
        <f ca="1">IFERROR(__xludf.DUMMYFUNCTION("""COMPUTED_VALUE"""),"Nick and Norah's Infinite Playlist ")</f>
        <v>Nick and Norah's Infinite Playlist </v>
      </c>
      <c r="S2776" s="12">
        <f t="shared" si="93"/>
        <v>5053815</v>
      </c>
    </row>
    <row r="2777" spans="1:19" x14ac:dyDescent="0.3">
      <c r="A2777" s="2" t="s">
        <v>571</v>
      </c>
      <c r="B2777" s="2">
        <v>92</v>
      </c>
      <c r="C2777" s="2">
        <v>85884815</v>
      </c>
      <c r="D2777" s="3" t="s">
        <v>5912</v>
      </c>
      <c r="E2777" s="2" t="s">
        <v>572</v>
      </c>
      <c r="F2777" s="2" t="s">
        <v>10</v>
      </c>
      <c r="G2777" s="2" t="s">
        <v>11</v>
      </c>
      <c r="H2777" s="2">
        <v>90000000</v>
      </c>
      <c r="I2777" s="2">
        <v>5</v>
      </c>
      <c r="J2777" s="3">
        <v>53021560</v>
      </c>
      <c r="K2777">
        <f t="shared" si="94"/>
        <v>1.3775047412552699E-3</v>
      </c>
      <c r="R2777" s="12" t="str">
        <f ca="1">IFERROR(__xludf.DUMMYFUNCTION("""COMPUTED_VALUE"""),"Dogma ")</f>
        <v>Dogma </v>
      </c>
      <c r="S2777" s="12">
        <f t="shared" ref="S2777:S2840" si="95">C2755-H2755</f>
        <v>-6564594</v>
      </c>
    </row>
    <row r="2778" spans="1:19" x14ac:dyDescent="0.3">
      <c r="A2778" s="2" t="s">
        <v>278</v>
      </c>
      <c r="B2778" s="2">
        <v>188</v>
      </c>
      <c r="C2778" s="3">
        <v>10269307</v>
      </c>
      <c r="D2778" s="3" t="s">
        <v>6357</v>
      </c>
      <c r="E2778" s="2" t="s">
        <v>1201</v>
      </c>
      <c r="F2778" s="2" t="s">
        <v>10</v>
      </c>
      <c r="G2778" s="2" t="s">
        <v>11</v>
      </c>
      <c r="H2778" s="2">
        <v>55000000</v>
      </c>
      <c r="I2778" s="2">
        <v>7.3</v>
      </c>
      <c r="J2778" s="3">
        <v>53082743</v>
      </c>
      <c r="K2778">
        <f t="shared" si="94"/>
        <v>1.3775047412552699E-3</v>
      </c>
      <c r="R2778" s="12" t="str">
        <f ca="1">IFERROR(__xludf.DUMMYFUNCTION("""COMPUTED_VALUE"""),"The Banger Sisters ")</f>
        <v>The Banger Sisters </v>
      </c>
      <c r="S2778" s="12">
        <f t="shared" si="95"/>
        <v>51008288</v>
      </c>
    </row>
    <row r="2779" spans="1:19" x14ac:dyDescent="0.3">
      <c r="A2779" s="2" t="s">
        <v>2742</v>
      </c>
      <c r="B2779" s="2">
        <v>100</v>
      </c>
      <c r="C2779" s="3">
        <v>16290976</v>
      </c>
      <c r="D2779" s="3" t="s">
        <v>6163</v>
      </c>
      <c r="E2779" s="2" t="s">
        <v>2743</v>
      </c>
      <c r="F2779" s="2" t="s">
        <v>10</v>
      </c>
      <c r="G2779" s="2" t="s">
        <v>16</v>
      </c>
      <c r="H2779" s="2">
        <v>25000000</v>
      </c>
      <c r="I2779" s="2">
        <v>5.4</v>
      </c>
      <c r="J2779" s="3">
        <v>53133888</v>
      </c>
      <c r="K2779">
        <f t="shared" si="94"/>
        <v>1.3775047412552699E-3</v>
      </c>
      <c r="R2779" s="12" t="str">
        <f ca="1">IFERROR(__xludf.DUMMYFUNCTION("""COMPUTED_VALUE"""),"Twilight Zone: The Movie ")</f>
        <v>Twilight Zone: The Movie </v>
      </c>
      <c r="S2779" s="12">
        <f t="shared" si="95"/>
        <v>10253931</v>
      </c>
    </row>
    <row r="2780" spans="1:19" x14ac:dyDescent="0.3">
      <c r="A2780" s="2" t="s">
        <v>1697</v>
      </c>
      <c r="B2780" s="2">
        <v>94</v>
      </c>
      <c r="C2780" s="3">
        <v>29247405</v>
      </c>
      <c r="D2780" s="3" t="s">
        <v>5930</v>
      </c>
      <c r="E2780" s="2" t="s">
        <v>3318</v>
      </c>
      <c r="F2780" s="2" t="s">
        <v>10</v>
      </c>
      <c r="G2780" s="2" t="s">
        <v>11</v>
      </c>
      <c r="H2780" s="2">
        <v>35000000</v>
      </c>
      <c r="I2780" s="2">
        <v>5.4</v>
      </c>
      <c r="J2780" s="3">
        <v>53146000</v>
      </c>
      <c r="K2780">
        <f t="shared" si="94"/>
        <v>1.3775047412552699E-3</v>
      </c>
      <c r="R2780" s="12" t="str">
        <f ca="1">IFERROR(__xludf.DUMMYFUNCTION("""COMPUTED_VALUE"""),"Road House ")</f>
        <v>Road House </v>
      </c>
      <c r="S2780" s="12">
        <f t="shared" si="95"/>
        <v>58257639</v>
      </c>
    </row>
    <row r="2781" spans="1:19" x14ac:dyDescent="0.3">
      <c r="A2781" s="2" t="s">
        <v>392</v>
      </c>
      <c r="B2781" s="2">
        <v>108</v>
      </c>
      <c r="C2781" s="3">
        <v>766487</v>
      </c>
      <c r="D2781" s="3" t="s">
        <v>885</v>
      </c>
      <c r="E2781" s="2" t="s">
        <v>393</v>
      </c>
      <c r="F2781" s="2" t="s">
        <v>10</v>
      </c>
      <c r="G2781" s="2" t="s">
        <v>11</v>
      </c>
      <c r="H2781" s="2">
        <v>116000000</v>
      </c>
      <c r="I2781" s="2">
        <v>5.8</v>
      </c>
      <c r="J2781" s="3">
        <v>53215979</v>
      </c>
      <c r="K2781">
        <f t="shared" si="94"/>
        <v>1.3775047412552699E-3</v>
      </c>
      <c r="R2781" s="12" t="str">
        <f ca="1">IFERROR(__xludf.DUMMYFUNCTION("""COMPUTED_VALUE"""),"A Low Down Dirty Shame ")</f>
        <v>A Low Down Dirty Shame </v>
      </c>
      <c r="S2781" s="12">
        <f t="shared" si="95"/>
        <v>31483949</v>
      </c>
    </row>
    <row r="2782" spans="1:19" x14ac:dyDescent="0.3">
      <c r="A2782" s="2" t="s">
        <v>3157</v>
      </c>
      <c r="B2782" s="2">
        <v>94</v>
      </c>
      <c r="C2782" s="3">
        <v>130174897</v>
      </c>
      <c r="D2782" s="3" t="s">
        <v>5818</v>
      </c>
      <c r="E2782" s="2" t="s">
        <v>3158</v>
      </c>
      <c r="F2782" s="2" t="s">
        <v>10</v>
      </c>
      <c r="G2782" s="2" t="s">
        <v>11</v>
      </c>
      <c r="H2782" s="2">
        <v>25000000</v>
      </c>
      <c r="I2782" s="2">
        <v>5.3</v>
      </c>
      <c r="J2782" s="3">
        <v>53245055</v>
      </c>
      <c r="K2782">
        <f t="shared" si="94"/>
        <v>1.3775047412552699E-3</v>
      </c>
      <c r="R2782" s="12" t="str">
        <f ca="1">IFERROR(__xludf.DUMMYFUNCTION("""COMPUTED_VALUE"""),"Swimfan ")</f>
        <v>Swimfan </v>
      </c>
      <c r="S2782" s="12">
        <f t="shared" si="95"/>
        <v>-5588020</v>
      </c>
    </row>
    <row r="2783" spans="1:19" x14ac:dyDescent="0.3">
      <c r="A2783" s="2" t="s">
        <v>1870</v>
      </c>
      <c r="B2783" s="2">
        <v>102</v>
      </c>
      <c r="C2783" s="3">
        <v>8396942</v>
      </c>
      <c r="D2783" s="3" t="s">
        <v>6040</v>
      </c>
      <c r="E2783" s="2" t="s">
        <v>1871</v>
      </c>
      <c r="F2783" s="2" t="s">
        <v>10</v>
      </c>
      <c r="G2783" s="2" t="s">
        <v>11</v>
      </c>
      <c r="H2783" s="2">
        <v>38000000</v>
      </c>
      <c r="I2783" s="2">
        <v>5.6</v>
      </c>
      <c r="J2783" s="3">
        <v>53300852</v>
      </c>
      <c r="K2783">
        <f t="shared" si="94"/>
        <v>1.3775047412552699E-3</v>
      </c>
      <c r="R2783" s="12" t="str">
        <f ca="1">IFERROR(__xludf.DUMMYFUNCTION("""COMPUTED_VALUE"""),"Employee of the Month ")</f>
        <v>Employee of the Month </v>
      </c>
      <c r="S2783" s="12">
        <f t="shared" si="95"/>
        <v>-5593594</v>
      </c>
    </row>
    <row r="2784" spans="1:19" x14ac:dyDescent="0.3">
      <c r="A2784" s="2" t="s">
        <v>1677</v>
      </c>
      <c r="B2784" s="2">
        <v>107</v>
      </c>
      <c r="C2784" s="2">
        <v>14637490</v>
      </c>
      <c r="D2784" s="3" t="s">
        <v>5779</v>
      </c>
      <c r="E2784" s="2" t="s">
        <v>2630</v>
      </c>
      <c r="F2784" s="2" t="s">
        <v>10</v>
      </c>
      <c r="G2784" s="2" t="s">
        <v>11</v>
      </c>
      <c r="H2784" s="2">
        <v>25000000</v>
      </c>
      <c r="I2784" s="2">
        <v>4.8</v>
      </c>
      <c r="J2784" s="3">
        <v>53302314</v>
      </c>
      <c r="K2784">
        <f t="shared" si="94"/>
        <v>1.3775047412552699E-3</v>
      </c>
      <c r="R2784" s="12" t="str">
        <f ca="1">IFERROR(__xludf.DUMMYFUNCTION("""COMPUTED_VALUE"""),"Can't Hardly Wait ")</f>
        <v>Can't Hardly Wait </v>
      </c>
      <c r="S2784" s="12">
        <f t="shared" si="95"/>
        <v>-34587955</v>
      </c>
    </row>
    <row r="2785" spans="1:19" x14ac:dyDescent="0.3">
      <c r="A2785" s="2" t="s">
        <v>997</v>
      </c>
      <c r="B2785" s="2">
        <v>150</v>
      </c>
      <c r="C2785" s="3">
        <v>17382982</v>
      </c>
      <c r="D2785" s="3" t="s">
        <v>5857</v>
      </c>
      <c r="E2785" s="2" t="s">
        <v>1992</v>
      </c>
      <c r="F2785" s="2" t="s">
        <v>10</v>
      </c>
      <c r="G2785" s="2" t="s">
        <v>504</v>
      </c>
      <c r="H2785" s="2">
        <v>35000000</v>
      </c>
      <c r="I2785" s="2">
        <v>8.5</v>
      </c>
      <c r="J2785" s="3">
        <v>53337608</v>
      </c>
      <c r="K2785">
        <f t="shared" si="94"/>
        <v>1.3775047412552699E-3</v>
      </c>
      <c r="R2785" s="12" t="str">
        <f ca="1">IFERROR(__xludf.DUMMYFUNCTION("""COMPUTED_VALUE"""),"The Outsiders ")</f>
        <v>The Outsiders </v>
      </c>
      <c r="S2785" s="12">
        <f t="shared" si="95"/>
        <v>-157572074</v>
      </c>
    </row>
    <row r="2786" spans="1:19" x14ac:dyDescent="0.3">
      <c r="A2786" s="2" t="s">
        <v>254</v>
      </c>
      <c r="B2786" s="2">
        <v>101</v>
      </c>
      <c r="C2786" s="3">
        <v>7001720</v>
      </c>
      <c r="D2786" s="3" t="s">
        <v>6101</v>
      </c>
      <c r="E2786" s="2" t="s">
        <v>1135</v>
      </c>
      <c r="F2786" s="2" t="s">
        <v>10</v>
      </c>
      <c r="G2786" s="2" t="s">
        <v>11</v>
      </c>
      <c r="H2786" s="2">
        <v>87000000</v>
      </c>
      <c r="I2786" s="2">
        <v>4.3</v>
      </c>
      <c r="J2786" s="3">
        <v>53574088</v>
      </c>
      <c r="K2786">
        <f t="shared" si="94"/>
        <v>1.3775047412552699E-3</v>
      </c>
      <c r="R2786" s="12" t="str">
        <f ca="1">IFERROR(__xludf.DUMMYFUNCTION("""COMPUTED_VALUE"""),"Sinister 2 ")</f>
        <v>Sinister 2 </v>
      </c>
      <c r="S2786" s="12">
        <f t="shared" si="95"/>
        <v>-21178017</v>
      </c>
    </row>
    <row r="2787" spans="1:19" x14ac:dyDescent="0.3">
      <c r="A2787" s="2" t="s">
        <v>4639</v>
      </c>
      <c r="B2787" s="2">
        <v>94</v>
      </c>
      <c r="C2787" s="3">
        <v>17305211</v>
      </c>
      <c r="D2787" s="3" t="s">
        <v>5767</v>
      </c>
      <c r="E2787" s="2" t="s">
        <v>4640</v>
      </c>
      <c r="F2787" s="2" t="s">
        <v>10</v>
      </c>
      <c r="G2787" s="2" t="s">
        <v>11</v>
      </c>
      <c r="H2787" s="2">
        <v>5000000</v>
      </c>
      <c r="I2787" s="2">
        <v>5.3</v>
      </c>
      <c r="J2787" s="3">
        <v>53680848</v>
      </c>
      <c r="K2787">
        <f t="shared" si="94"/>
        <v>1.3775047412552699E-3</v>
      </c>
      <c r="R2787" s="12" t="str">
        <f ca="1">IFERROR(__xludf.DUMMYFUNCTION("""COMPUTED_VALUE"""),"Sparkle ")</f>
        <v>Sparkle </v>
      </c>
      <c r="S2787" s="12">
        <f t="shared" si="95"/>
        <v>-77668972</v>
      </c>
    </row>
    <row r="2788" spans="1:19" x14ac:dyDescent="0.3">
      <c r="A2788" s="2" t="s">
        <v>5551</v>
      </c>
      <c r="B2788" s="2">
        <v>88</v>
      </c>
      <c r="C2788" s="3">
        <v>4064333</v>
      </c>
      <c r="D2788" s="3" t="s">
        <v>5808</v>
      </c>
      <c r="E2788" s="2" t="s">
        <v>5552</v>
      </c>
      <c r="F2788" s="2" t="s">
        <v>10</v>
      </c>
      <c r="G2788" s="2" t="s">
        <v>11</v>
      </c>
      <c r="H2788" s="3">
        <v>474544677</v>
      </c>
      <c r="I2788" s="2">
        <v>7.2</v>
      </c>
      <c r="J2788" s="3">
        <v>53715611</v>
      </c>
      <c r="K2788">
        <f t="shared" si="94"/>
        <v>1.3775047412552699E-3</v>
      </c>
      <c r="R2788" s="12" t="str">
        <f ca="1">IFERROR(__xludf.DUMMYFUNCTION("""COMPUTED_VALUE"""),"Valentine ")</f>
        <v>Valentine </v>
      </c>
      <c r="S2788" s="12">
        <f t="shared" si="95"/>
        <v>13100000</v>
      </c>
    </row>
    <row r="2789" spans="1:19" x14ac:dyDescent="0.3">
      <c r="A2789" s="2" t="s">
        <v>454</v>
      </c>
      <c r="B2789" s="2">
        <v>146</v>
      </c>
      <c r="C2789" s="3">
        <v>3216970</v>
      </c>
      <c r="D2789" s="3" t="s">
        <v>6181</v>
      </c>
      <c r="E2789" s="2" t="s">
        <v>1074</v>
      </c>
      <c r="F2789" s="2" t="s">
        <v>10</v>
      </c>
      <c r="G2789" s="2" t="s">
        <v>11</v>
      </c>
      <c r="H2789" s="2">
        <v>70000000</v>
      </c>
      <c r="I2789" s="2">
        <v>7.7</v>
      </c>
      <c r="J2789" s="3">
        <v>53789313</v>
      </c>
      <c r="K2789">
        <f t="shared" si="94"/>
        <v>1.3775047412552699E-3</v>
      </c>
      <c r="R2789" s="12" t="str">
        <f ca="1">IFERROR(__xludf.DUMMYFUNCTION("""COMPUTED_VALUE"""),"The Fourth Kind ")</f>
        <v>The Fourth Kind </v>
      </c>
      <c r="S2789" s="12">
        <f t="shared" si="95"/>
        <v>4757130</v>
      </c>
    </row>
    <row r="2790" spans="1:19" x14ac:dyDescent="0.3">
      <c r="A2790" s="2" t="s">
        <v>404</v>
      </c>
      <c r="B2790" s="2">
        <v>106</v>
      </c>
      <c r="C2790" s="3">
        <v>2365931</v>
      </c>
      <c r="D2790" s="3" t="s">
        <v>5869</v>
      </c>
      <c r="E2790" s="2" t="s">
        <v>2268</v>
      </c>
      <c r="F2790" s="2" t="s">
        <v>10</v>
      </c>
      <c r="G2790" s="2" t="s">
        <v>11</v>
      </c>
      <c r="H2790" s="2">
        <v>30000000</v>
      </c>
      <c r="I2790" s="2">
        <v>7.1</v>
      </c>
      <c r="J2790" s="3">
        <v>53846915</v>
      </c>
      <c r="K2790">
        <f t="shared" si="94"/>
        <v>1.3775047412552699E-3</v>
      </c>
      <c r="R2790" s="12" t="str">
        <f ca="1">IFERROR(__xludf.DUMMYFUNCTION("""COMPUTED_VALUE"""),"A Prairie Home Companion ")</f>
        <v>A Prairie Home Companion </v>
      </c>
      <c r="S2790" s="12">
        <f t="shared" si="95"/>
        <v>32787754</v>
      </c>
    </row>
    <row r="2791" spans="1:19" x14ac:dyDescent="0.3">
      <c r="A2791" s="2" t="s">
        <v>3703</v>
      </c>
      <c r="B2791" s="2">
        <v>121</v>
      </c>
      <c r="C2791" s="3">
        <v>7739049</v>
      </c>
      <c r="D2791" s="3" t="s">
        <v>520</v>
      </c>
      <c r="E2791" s="2" t="s">
        <v>3704</v>
      </c>
      <c r="F2791" s="2" t="s">
        <v>10</v>
      </c>
      <c r="G2791" s="2" t="s">
        <v>11</v>
      </c>
      <c r="H2791" s="2">
        <v>13000000</v>
      </c>
      <c r="I2791" s="2">
        <v>5.8</v>
      </c>
      <c r="J2791" s="3">
        <v>53854588</v>
      </c>
      <c r="K2791">
        <f t="shared" si="94"/>
        <v>1.3775047412552699E-3</v>
      </c>
      <c r="R2791" s="12" t="str">
        <f ca="1">IFERROR(__xludf.DUMMYFUNCTION("""COMPUTED_VALUE"""),"Sugar Hill ")</f>
        <v>Sugar Hill </v>
      </c>
      <c r="S2791" s="12">
        <f t="shared" si="95"/>
        <v>72670733</v>
      </c>
    </row>
    <row r="2792" spans="1:19" x14ac:dyDescent="0.3">
      <c r="A2792" s="2" t="s">
        <v>3527</v>
      </c>
      <c r="B2792" s="2">
        <v>107</v>
      </c>
      <c r="C2792" s="3">
        <v>33000000</v>
      </c>
      <c r="D2792" s="3" t="s">
        <v>6402</v>
      </c>
      <c r="E2792" s="2" t="s">
        <v>4543</v>
      </c>
      <c r="F2792" s="2" t="s">
        <v>10</v>
      </c>
      <c r="G2792" s="2" t="s">
        <v>16</v>
      </c>
      <c r="H2792" s="2">
        <v>6000000</v>
      </c>
      <c r="I2792" s="2">
        <v>6.2</v>
      </c>
      <c r="J2792" s="3">
        <v>53868030</v>
      </c>
      <c r="K2792">
        <f t="shared" si="94"/>
        <v>1.3775047412552699E-3</v>
      </c>
      <c r="R2792" s="12" t="str">
        <f ca="1">IFERROR(__xludf.DUMMYFUNCTION("""COMPUTED_VALUE"""),"Rushmore ")</f>
        <v>Rushmore </v>
      </c>
      <c r="S2792" s="12">
        <f t="shared" si="95"/>
        <v>-19112543</v>
      </c>
    </row>
    <row r="2793" spans="1:19" x14ac:dyDescent="0.3">
      <c r="A2793" s="2" t="s">
        <v>1455</v>
      </c>
      <c r="B2793" s="2">
        <v>140</v>
      </c>
      <c r="C2793" s="3">
        <v>75764085</v>
      </c>
      <c r="D2793" s="3" t="s">
        <v>6403</v>
      </c>
      <c r="E2793" s="2" t="s">
        <v>2010</v>
      </c>
      <c r="F2793" s="2" t="s">
        <v>10</v>
      </c>
      <c r="G2793" s="2" t="s">
        <v>11</v>
      </c>
      <c r="H2793" s="2">
        <v>35000000</v>
      </c>
      <c r="I2793" s="2">
        <v>6.6</v>
      </c>
      <c r="J2793" s="3">
        <v>53884821</v>
      </c>
      <c r="K2793">
        <f t="shared" si="94"/>
        <v>1.3775047412552699E-3</v>
      </c>
      <c r="R2793" s="12" t="str">
        <f ca="1">IFERROR(__xludf.DUMMYFUNCTION("""COMPUTED_VALUE"""),"Skyline ")</f>
        <v>Skyline </v>
      </c>
      <c r="S2793" s="12">
        <f t="shared" si="95"/>
        <v>-7400853</v>
      </c>
    </row>
    <row r="2794" spans="1:19" x14ac:dyDescent="0.3">
      <c r="A2794" s="2" t="s">
        <v>3157</v>
      </c>
      <c r="B2794" s="2">
        <v>106</v>
      </c>
      <c r="C2794" s="3">
        <v>10200000</v>
      </c>
      <c r="D2794" s="3" t="s">
        <v>6136</v>
      </c>
      <c r="E2794" s="2" t="s">
        <v>4632</v>
      </c>
      <c r="F2794" s="2" t="s">
        <v>723</v>
      </c>
      <c r="G2794" s="2" t="s">
        <v>11</v>
      </c>
      <c r="H2794" s="2">
        <v>5000000</v>
      </c>
      <c r="I2794" s="2">
        <v>5.2</v>
      </c>
      <c r="J2794" s="3">
        <v>53955614</v>
      </c>
      <c r="K2794">
        <f t="shared" si="94"/>
        <v>1.3775047412552699E-3</v>
      </c>
      <c r="R2794" s="12" t="str">
        <f ca="1">IFERROR(__xludf.DUMMYFUNCTION("""COMPUTED_VALUE"""),"The Second Best Exotic Marigold Hotel ")</f>
        <v>The Second Best Exotic Marigold Hotel </v>
      </c>
      <c r="S2794" s="12">
        <f t="shared" si="95"/>
        <v>-10762756</v>
      </c>
    </row>
    <row r="2795" spans="1:19" x14ac:dyDescent="0.3">
      <c r="A2795" s="2" t="s">
        <v>560</v>
      </c>
      <c r="B2795" s="2">
        <v>90</v>
      </c>
      <c r="C2795" s="3">
        <v>119219978</v>
      </c>
      <c r="D2795" s="3" t="s">
        <v>5869</v>
      </c>
      <c r="E2795" s="2" t="s">
        <v>2391</v>
      </c>
      <c r="F2795" s="2" t="s">
        <v>10</v>
      </c>
      <c r="G2795" s="2" t="s">
        <v>199</v>
      </c>
      <c r="H2795" s="2">
        <v>28000000</v>
      </c>
      <c r="I2795" s="2">
        <v>6.6</v>
      </c>
      <c r="J2795" s="3">
        <v>53991137</v>
      </c>
      <c r="K2795">
        <f t="shared" si="94"/>
        <v>1.3775047412552699E-3</v>
      </c>
      <c r="R2795" s="12" t="str">
        <f ca="1">IFERROR(__xludf.DUMMYFUNCTION("""COMPUTED_VALUE"""),"Kit Kittredge: An American Girl ")</f>
        <v>Kit Kittredge: An American Girl </v>
      </c>
      <c r="S2795" s="12">
        <f t="shared" si="95"/>
        <v>-59100000</v>
      </c>
    </row>
    <row r="2796" spans="1:19" x14ac:dyDescent="0.3">
      <c r="A2796" s="2" t="s">
        <v>96</v>
      </c>
      <c r="B2796" s="2">
        <v>165</v>
      </c>
      <c r="C2796" s="3">
        <v>35799026</v>
      </c>
      <c r="D2796" s="3" t="s">
        <v>5850</v>
      </c>
      <c r="E2796" s="2" t="s">
        <v>323</v>
      </c>
      <c r="F2796" s="2" t="s">
        <v>10</v>
      </c>
      <c r="G2796" s="2" t="s">
        <v>98</v>
      </c>
      <c r="H2796" s="2">
        <v>130000000</v>
      </c>
      <c r="I2796" s="2">
        <v>6.6</v>
      </c>
      <c r="J2796" s="3">
        <v>54000000</v>
      </c>
      <c r="K2796">
        <f t="shared" si="94"/>
        <v>1.3775047412552699E-3</v>
      </c>
      <c r="R2796" s="12" t="str">
        <f ca="1">IFERROR(__xludf.DUMMYFUNCTION("""COMPUTED_VALUE"""),"The Perfect Man ")</f>
        <v>The Perfect Man </v>
      </c>
      <c r="S2796" s="12">
        <f t="shared" si="95"/>
        <v>15404871</v>
      </c>
    </row>
    <row r="2797" spans="1:19" x14ac:dyDescent="0.3">
      <c r="A2797" s="2" t="s">
        <v>1986</v>
      </c>
      <c r="B2797" s="2">
        <v>104</v>
      </c>
      <c r="C2797" s="3">
        <v>22245861</v>
      </c>
      <c r="D2797" s="3" t="s">
        <v>5910</v>
      </c>
      <c r="E2797" s="2" t="s">
        <v>3241</v>
      </c>
      <c r="F2797" s="2" t="s">
        <v>10</v>
      </c>
      <c r="G2797" s="2" t="s">
        <v>11</v>
      </c>
      <c r="H2797" s="2">
        <v>17000000</v>
      </c>
      <c r="I2797" s="2">
        <v>6.5</v>
      </c>
      <c r="J2797" s="3">
        <v>54098051</v>
      </c>
      <c r="K2797">
        <f t="shared" si="94"/>
        <v>1.3775047412552699E-3</v>
      </c>
      <c r="R2797" s="12" t="str">
        <f ca="1">IFERROR(__xludf.DUMMYFUNCTION("""COMPUTED_VALUE"""),"Mo' Better Blues ")</f>
        <v>Mo' Better Blues </v>
      </c>
      <c r="S2797" s="12">
        <f t="shared" si="95"/>
        <v>22797148</v>
      </c>
    </row>
    <row r="2798" spans="1:19" x14ac:dyDescent="0.3">
      <c r="A2798" s="2" t="s">
        <v>4266</v>
      </c>
      <c r="B2798" s="2">
        <v>138</v>
      </c>
      <c r="C2798" s="3">
        <v>2856622</v>
      </c>
      <c r="D2798" s="3" t="s">
        <v>520</v>
      </c>
      <c r="E2798" s="2" t="s">
        <v>4267</v>
      </c>
      <c r="F2798" s="2" t="s">
        <v>10</v>
      </c>
      <c r="G2798" s="2" t="s">
        <v>11</v>
      </c>
      <c r="H2798" s="2">
        <v>8000000</v>
      </c>
      <c r="I2798" s="2">
        <v>6.3</v>
      </c>
      <c r="J2798" s="3">
        <v>54116191</v>
      </c>
      <c r="K2798">
        <f t="shared" si="94"/>
        <v>1.3775047412552699E-3</v>
      </c>
      <c r="R2798" s="12" t="str">
        <f ca="1">IFERROR(__xludf.DUMMYFUNCTION("""COMPUTED_VALUE"""),"Kung Pow: Enter the Fist ")</f>
        <v>Kung Pow: Enter the Fist </v>
      </c>
      <c r="S2798" s="12">
        <f t="shared" si="95"/>
        <v>-1281920</v>
      </c>
    </row>
    <row r="2799" spans="1:19" x14ac:dyDescent="0.3">
      <c r="A2799" s="2" t="s">
        <v>689</v>
      </c>
      <c r="B2799" s="2">
        <v>105</v>
      </c>
      <c r="C2799" s="3">
        <v>13750556</v>
      </c>
      <c r="D2799" s="3" t="s">
        <v>6019</v>
      </c>
      <c r="E2799" s="2" t="s">
        <v>1829</v>
      </c>
      <c r="F2799" s="2" t="s">
        <v>10</v>
      </c>
      <c r="G2799" s="2" t="s">
        <v>11</v>
      </c>
      <c r="H2799" s="2">
        <v>20000000</v>
      </c>
      <c r="I2799" s="2">
        <v>6.9</v>
      </c>
      <c r="J2799" s="3">
        <v>54132596</v>
      </c>
      <c r="K2799">
        <f t="shared" si="94"/>
        <v>1.3775047412552699E-3</v>
      </c>
      <c r="R2799" s="12" t="str">
        <f ca="1">IFERROR(__xludf.DUMMYFUNCTION("""COMPUTED_VALUE"""),"Tremors ")</f>
        <v>Tremors </v>
      </c>
      <c r="S2799" s="12">
        <f t="shared" si="95"/>
        <v>-4115185</v>
      </c>
    </row>
    <row r="2800" spans="1:19" x14ac:dyDescent="0.3">
      <c r="A2800" s="2" t="s">
        <v>179</v>
      </c>
      <c r="B2800" s="2">
        <v>120</v>
      </c>
      <c r="C2800" s="3">
        <v>20400913</v>
      </c>
      <c r="D2800" s="3" t="s">
        <v>6404</v>
      </c>
      <c r="E2800" s="2" t="s">
        <v>1863</v>
      </c>
      <c r="F2800" s="2" t="s">
        <v>10</v>
      </c>
      <c r="G2800" s="2" t="s">
        <v>11</v>
      </c>
      <c r="H2800" s="2">
        <v>38000000</v>
      </c>
      <c r="I2800" s="2">
        <v>6.9</v>
      </c>
      <c r="J2800" s="3">
        <v>54200000</v>
      </c>
      <c r="K2800">
        <f t="shared" si="94"/>
        <v>1.3775047412552699E-3</v>
      </c>
      <c r="R2800" s="12" t="str">
        <f ca="1">IFERROR(__xludf.DUMMYFUNCTION("""COMPUTED_VALUE"""),"Wrong Turn ")</f>
        <v>Wrong Turn </v>
      </c>
      <c r="S2800" s="12">
        <f t="shared" si="95"/>
        <v>-44730693</v>
      </c>
    </row>
    <row r="2801" spans="1:19" x14ac:dyDescent="0.3">
      <c r="A2801" s="2" t="s">
        <v>5715</v>
      </c>
      <c r="B2801" s="2">
        <v>143</v>
      </c>
      <c r="C2801" s="3">
        <v>68558662</v>
      </c>
      <c r="D2801" s="3" t="s">
        <v>5894</v>
      </c>
      <c r="E2801" s="2" t="s">
        <v>5716</v>
      </c>
      <c r="F2801" s="2" t="s">
        <v>10</v>
      </c>
      <c r="G2801" s="2" t="s">
        <v>11</v>
      </c>
      <c r="H2801" s="2">
        <v>7830000</v>
      </c>
      <c r="I2801" s="2">
        <v>3</v>
      </c>
      <c r="J2801" s="3">
        <v>54215416</v>
      </c>
      <c r="K2801">
        <f t="shared" si="94"/>
        <v>1.3775047412552699E-3</v>
      </c>
      <c r="R2801" s="12" t="str">
        <f ca="1">IFERROR(__xludf.DUMMYFUNCTION("""COMPUTED_VALUE"""),"The Corruptor ")</f>
        <v>The Corruptor </v>
      </c>
      <c r="S2801" s="12">
        <f t="shared" si="95"/>
        <v>-8709024</v>
      </c>
    </row>
    <row r="2802" spans="1:19" x14ac:dyDescent="0.3">
      <c r="A2802" s="2" t="s">
        <v>3604</v>
      </c>
      <c r="B2802" s="2">
        <v>103</v>
      </c>
      <c r="C2802" s="3">
        <v>1818681</v>
      </c>
      <c r="D2802" s="3" t="s">
        <v>6088</v>
      </c>
      <c r="E2802" s="2" t="s">
        <v>4373</v>
      </c>
      <c r="F2802" s="2" t="s">
        <v>10</v>
      </c>
      <c r="G2802" s="2" t="s">
        <v>11</v>
      </c>
      <c r="H2802" s="2">
        <v>7000000</v>
      </c>
      <c r="I2802" s="2">
        <v>7.3</v>
      </c>
      <c r="J2802" s="3">
        <v>54222000</v>
      </c>
      <c r="K2802">
        <f t="shared" si="94"/>
        <v>1.3775047412552699E-3</v>
      </c>
      <c r="R2802" s="12" t="str">
        <f ca="1">IFERROR(__xludf.DUMMYFUNCTION("""COMPUTED_VALUE"""),"Mud ")</f>
        <v>Mud </v>
      </c>
      <c r="S2802" s="12">
        <f t="shared" si="95"/>
        <v>-5752595</v>
      </c>
    </row>
    <row r="2803" spans="1:19" x14ac:dyDescent="0.3">
      <c r="A2803" s="2" t="s">
        <v>344</v>
      </c>
      <c r="B2803" s="2">
        <v>119</v>
      </c>
      <c r="C2803" s="3">
        <v>10214647</v>
      </c>
      <c r="D2803" s="3" t="s">
        <v>6217</v>
      </c>
      <c r="E2803" s="2" t="s">
        <v>580</v>
      </c>
      <c r="F2803" s="2" t="s">
        <v>10</v>
      </c>
      <c r="G2803" s="2" t="s">
        <v>11</v>
      </c>
      <c r="H2803" s="2">
        <v>95000000</v>
      </c>
      <c r="I2803" s="2">
        <v>5.7</v>
      </c>
      <c r="J2803" s="3">
        <v>54228104</v>
      </c>
      <c r="K2803">
        <f t="shared" si="94"/>
        <v>1.3775047412552699E-3</v>
      </c>
      <c r="R2803" s="12" t="str">
        <f ca="1">IFERROR(__xludf.DUMMYFUNCTION("""COMPUTED_VALUE"""),"Reno 911!: Miami ")</f>
        <v>Reno 911!: Miami </v>
      </c>
      <c r="S2803" s="12">
        <f t="shared" si="95"/>
        <v>-115233513</v>
      </c>
    </row>
    <row r="2804" spans="1:19" x14ac:dyDescent="0.3">
      <c r="A2804" s="2" t="s">
        <v>3458</v>
      </c>
      <c r="B2804" s="2">
        <v>95</v>
      </c>
      <c r="C2804" s="3">
        <v>26161406</v>
      </c>
      <c r="D2804" s="3" t="s">
        <v>6405</v>
      </c>
      <c r="E2804" s="2" t="s">
        <v>3459</v>
      </c>
      <c r="F2804" s="2" t="s">
        <v>10</v>
      </c>
      <c r="G2804" s="2" t="s">
        <v>11</v>
      </c>
      <c r="H2804" s="2">
        <v>15000000</v>
      </c>
      <c r="I2804" s="2">
        <v>6.2</v>
      </c>
      <c r="J2804" s="3">
        <v>54235441</v>
      </c>
      <c r="K2804">
        <f t="shared" si="94"/>
        <v>1.3775047412552699E-3</v>
      </c>
      <c r="R2804" s="12" t="str">
        <f ca="1">IFERROR(__xludf.DUMMYFUNCTION("""COMPUTED_VALUE"""),"One Direction: This Is Us ")</f>
        <v>One Direction: This Is Us </v>
      </c>
      <c r="S2804" s="12">
        <f t="shared" si="95"/>
        <v>105174897</v>
      </c>
    </row>
    <row r="2805" spans="1:19" x14ac:dyDescent="0.3">
      <c r="A2805" s="2" t="s">
        <v>3662</v>
      </c>
      <c r="B2805" s="2">
        <v>92</v>
      </c>
      <c r="C2805" s="3">
        <v>35168395</v>
      </c>
      <c r="D2805" s="3" t="s">
        <v>5857</v>
      </c>
      <c r="E2805" s="2" t="s">
        <v>3663</v>
      </c>
      <c r="F2805" s="2" t="s">
        <v>10</v>
      </c>
      <c r="G2805" s="2" t="s">
        <v>11</v>
      </c>
      <c r="H2805" s="2">
        <v>13000000</v>
      </c>
      <c r="I2805" s="2">
        <v>5.9</v>
      </c>
      <c r="J2805" s="3">
        <v>54239856</v>
      </c>
      <c r="K2805">
        <f t="shared" si="94"/>
        <v>1.3775047412552699E-3</v>
      </c>
      <c r="R2805" s="12" t="str">
        <f ca="1">IFERROR(__xludf.DUMMYFUNCTION("""COMPUTED_VALUE"""),"Hey Arnold! The Movie ")</f>
        <v>Hey Arnold! The Movie </v>
      </c>
      <c r="S2805" s="12">
        <f t="shared" si="95"/>
        <v>-29603058</v>
      </c>
    </row>
    <row r="2806" spans="1:19" x14ac:dyDescent="0.3">
      <c r="A2806" s="2" t="s">
        <v>810</v>
      </c>
      <c r="B2806" s="2">
        <v>133</v>
      </c>
      <c r="C2806" s="3">
        <v>42776259</v>
      </c>
      <c r="D2806" s="3" t="s">
        <v>6406</v>
      </c>
      <c r="E2806" s="2" t="s">
        <v>2507</v>
      </c>
      <c r="F2806" s="2" t="s">
        <v>10</v>
      </c>
      <c r="G2806" s="2" t="s">
        <v>11</v>
      </c>
      <c r="H2806" s="2">
        <v>25000000</v>
      </c>
      <c r="I2806" s="2">
        <v>8</v>
      </c>
      <c r="J2806" s="3">
        <v>54257433</v>
      </c>
      <c r="K2806">
        <f t="shared" si="94"/>
        <v>1.3775047412552699E-3</v>
      </c>
      <c r="R2806" s="12" t="str">
        <f ca="1">IFERROR(__xludf.DUMMYFUNCTION("""COMPUTED_VALUE"""),"My Week with Marilyn ")</f>
        <v>My Week with Marilyn </v>
      </c>
      <c r="S2806" s="12">
        <f t="shared" si="95"/>
        <v>-10362510</v>
      </c>
    </row>
    <row r="2807" spans="1:19" x14ac:dyDescent="0.3">
      <c r="A2807" s="2" t="s">
        <v>2216</v>
      </c>
      <c r="B2807" s="2">
        <v>92</v>
      </c>
      <c r="C2807" s="2">
        <v>5306447</v>
      </c>
      <c r="D2807" s="3" t="s">
        <v>5940</v>
      </c>
      <c r="E2807" s="2" t="s">
        <v>3532</v>
      </c>
      <c r="F2807" s="2" t="s">
        <v>10</v>
      </c>
      <c r="G2807" s="2" t="s">
        <v>11</v>
      </c>
      <c r="H2807" s="2">
        <v>15000000</v>
      </c>
      <c r="I2807" s="2">
        <v>7.2</v>
      </c>
      <c r="J2807" s="3">
        <v>54322273</v>
      </c>
      <c r="K2807">
        <f t="shared" si="94"/>
        <v>1.3775047412552699E-3</v>
      </c>
      <c r="R2807" s="12" t="str">
        <f ca="1">IFERROR(__xludf.DUMMYFUNCTION("""COMPUTED_VALUE"""),"The Matador ")</f>
        <v>The Matador </v>
      </c>
      <c r="S2807" s="12">
        <f t="shared" si="95"/>
        <v>-17617018</v>
      </c>
    </row>
    <row r="2808" spans="1:19" x14ac:dyDescent="0.3">
      <c r="A2808" s="2" t="s">
        <v>3791</v>
      </c>
      <c r="B2808" s="2">
        <v>89</v>
      </c>
      <c r="C2808" s="3">
        <v>10297897</v>
      </c>
      <c r="D2808" s="3" t="s">
        <v>885</v>
      </c>
      <c r="E2808" s="2" t="s">
        <v>3792</v>
      </c>
      <c r="F2808" s="2" t="s">
        <v>10</v>
      </c>
      <c r="G2808" s="2" t="s">
        <v>11</v>
      </c>
      <c r="H2808" s="2">
        <v>12000000</v>
      </c>
      <c r="I2808" s="2">
        <v>6</v>
      </c>
      <c r="J2808" s="3">
        <v>54414716</v>
      </c>
      <c r="K2808">
        <f t="shared" si="94"/>
        <v>1.3775047412552699E-3</v>
      </c>
      <c r="R2808" s="12" t="str">
        <f ca="1">IFERROR(__xludf.DUMMYFUNCTION("""COMPUTED_VALUE"""),"Love Jones ")</f>
        <v>Love Jones </v>
      </c>
      <c r="S2808" s="12">
        <f t="shared" si="95"/>
        <v>-79998280</v>
      </c>
    </row>
    <row r="2809" spans="1:19" x14ac:dyDescent="0.3">
      <c r="A2809" s="2" t="s">
        <v>1886</v>
      </c>
      <c r="B2809" s="2">
        <v>144</v>
      </c>
      <c r="C2809" s="3">
        <v>21370057</v>
      </c>
      <c r="D2809" s="3" t="s">
        <v>5954</v>
      </c>
      <c r="E2809" s="2" t="s">
        <v>1887</v>
      </c>
      <c r="F2809" s="2" t="s">
        <v>10</v>
      </c>
      <c r="G2809" s="2" t="s">
        <v>11</v>
      </c>
      <c r="H2809" s="2">
        <v>32000000</v>
      </c>
      <c r="I2809" s="2">
        <v>7.1</v>
      </c>
      <c r="J2809" s="3">
        <v>54540525</v>
      </c>
      <c r="K2809">
        <f t="shared" si="94"/>
        <v>1.3775047412552699E-3</v>
      </c>
      <c r="R2809" s="12" t="str">
        <f ca="1">IFERROR(__xludf.DUMMYFUNCTION("""COMPUTED_VALUE"""),"The Gift ")</f>
        <v>The Gift </v>
      </c>
      <c r="S2809" s="12">
        <f t="shared" si="95"/>
        <v>12305211</v>
      </c>
    </row>
    <row r="2810" spans="1:19" x14ac:dyDescent="0.3">
      <c r="A2810" s="2" t="s">
        <v>137</v>
      </c>
      <c r="B2810" s="2">
        <v>126</v>
      </c>
      <c r="C2810" s="3">
        <v>55092830</v>
      </c>
      <c r="D2810" s="3" t="s">
        <v>6407</v>
      </c>
      <c r="E2810" s="2" t="s">
        <v>406</v>
      </c>
      <c r="F2810" s="2" t="s">
        <v>10</v>
      </c>
      <c r="G2810" s="2" t="s">
        <v>11</v>
      </c>
      <c r="H2810" s="2">
        <v>120000000</v>
      </c>
      <c r="I2810" s="2">
        <v>6.5</v>
      </c>
      <c r="J2810" s="3">
        <v>54557348</v>
      </c>
      <c r="K2810">
        <f t="shared" si="94"/>
        <v>1.3775047412552699E-3</v>
      </c>
      <c r="R2810" s="12" t="str">
        <f ca="1">IFERROR(__xludf.DUMMYFUNCTION("""COMPUTED_VALUE"""),"End of the Spear ")</f>
        <v>End of the Spear </v>
      </c>
      <c r="S2810" s="12">
        <f t="shared" si="95"/>
        <v>-470480344</v>
      </c>
    </row>
    <row r="2811" spans="1:19" x14ac:dyDescent="0.3">
      <c r="A2811" s="2" t="s">
        <v>50</v>
      </c>
      <c r="B2811" s="2">
        <v>138</v>
      </c>
      <c r="C2811" s="3">
        <v>15818967</v>
      </c>
      <c r="D2811" s="3" t="s">
        <v>6241</v>
      </c>
      <c r="E2811" s="2" t="s">
        <v>2684</v>
      </c>
      <c r="F2811" s="2" t="s">
        <v>10</v>
      </c>
      <c r="G2811" s="2" t="s">
        <v>11</v>
      </c>
      <c r="H2811" s="2">
        <v>25000000</v>
      </c>
      <c r="I2811" s="2">
        <v>5.3</v>
      </c>
      <c r="J2811" s="3">
        <v>54696902</v>
      </c>
      <c r="K2811">
        <f t="shared" si="94"/>
        <v>1.3775047412552699E-3</v>
      </c>
      <c r="R2811" s="12" t="str">
        <f ca="1">IFERROR(__xludf.DUMMYFUNCTION("""COMPUTED_VALUE"""),"Get Over It ")</f>
        <v>Get Over It </v>
      </c>
      <c r="S2811" s="12">
        <f t="shared" si="95"/>
        <v>-66783030</v>
      </c>
    </row>
    <row r="2812" spans="1:19" x14ac:dyDescent="0.3">
      <c r="A2812" s="2" t="s">
        <v>3227</v>
      </c>
      <c r="B2812" s="2">
        <v>121</v>
      </c>
      <c r="C2812" s="3">
        <v>287761</v>
      </c>
      <c r="D2812" s="3" t="s">
        <v>5940</v>
      </c>
      <c r="E2812" s="2" t="s">
        <v>3228</v>
      </c>
      <c r="F2812" s="2" t="s">
        <v>10</v>
      </c>
      <c r="G2812" s="2" t="s">
        <v>16</v>
      </c>
      <c r="H2812" s="2">
        <v>17500000</v>
      </c>
      <c r="I2812" s="2">
        <v>8.1</v>
      </c>
      <c r="J2812" s="3">
        <v>54700065</v>
      </c>
      <c r="K2812">
        <f t="shared" si="94"/>
        <v>1.3775047412552699E-3</v>
      </c>
      <c r="R2812" s="12" t="str">
        <f ca="1">IFERROR(__xludf.DUMMYFUNCTION("""COMPUTED_VALUE"""),"Office Space ")</f>
        <v>Office Space </v>
      </c>
      <c r="S2812" s="12">
        <f t="shared" si="95"/>
        <v>-27634069</v>
      </c>
    </row>
    <row r="2813" spans="1:19" x14ac:dyDescent="0.3">
      <c r="A2813" s="2" t="s">
        <v>462</v>
      </c>
      <c r="B2813" s="2">
        <v>178</v>
      </c>
      <c r="C2813" s="3">
        <v>46300000</v>
      </c>
      <c r="D2813" s="3" t="s">
        <v>5767</v>
      </c>
      <c r="E2813" s="2" t="s">
        <v>4233</v>
      </c>
      <c r="F2813" s="2" t="s">
        <v>10</v>
      </c>
      <c r="G2813" s="2" t="s">
        <v>11</v>
      </c>
      <c r="H2813" s="2">
        <v>8000000</v>
      </c>
      <c r="I2813" s="2">
        <v>8.9</v>
      </c>
      <c r="J2813" s="3">
        <v>54724272</v>
      </c>
      <c r="K2813">
        <f t="shared" si="94"/>
        <v>1.3775047412552699E-3</v>
      </c>
      <c r="R2813" s="12" t="str">
        <f ca="1">IFERROR(__xludf.DUMMYFUNCTION("""COMPUTED_VALUE"""),"Drop Dead Gorgeous ")</f>
        <v>Drop Dead Gorgeous </v>
      </c>
      <c r="S2813" s="12">
        <f t="shared" si="95"/>
        <v>-5260951</v>
      </c>
    </row>
    <row r="2814" spans="1:19" x14ac:dyDescent="0.3">
      <c r="A2814" s="2" t="s">
        <v>4118</v>
      </c>
      <c r="B2814" s="2">
        <v>110</v>
      </c>
      <c r="C2814" s="2">
        <v>2365931</v>
      </c>
      <c r="D2814" s="3" t="s">
        <v>6112</v>
      </c>
      <c r="E2814" s="2" t="s">
        <v>5190</v>
      </c>
      <c r="F2814" s="2" t="s">
        <v>10</v>
      </c>
      <c r="G2814" s="2" t="s">
        <v>11</v>
      </c>
      <c r="H2814" s="2">
        <v>1500000</v>
      </c>
      <c r="I2814" s="2">
        <v>7.5</v>
      </c>
      <c r="J2814" s="3">
        <v>54758461</v>
      </c>
      <c r="K2814">
        <f t="shared" si="94"/>
        <v>1.3775047412552699E-3</v>
      </c>
      <c r="R2814" s="12" t="str">
        <f ca="1">IFERROR(__xludf.DUMMYFUNCTION("""COMPUTED_VALUE"""),"Big Eyes ")</f>
        <v>Big Eyes </v>
      </c>
      <c r="S2814" s="12">
        <f t="shared" si="95"/>
        <v>27000000</v>
      </c>
    </row>
    <row r="2815" spans="1:19" x14ac:dyDescent="0.3">
      <c r="A2815" s="2" t="s">
        <v>3511</v>
      </c>
      <c r="B2815" s="2">
        <v>116</v>
      </c>
      <c r="C2815" s="3">
        <v>70236496</v>
      </c>
      <c r="D2815" s="3" t="s">
        <v>5778</v>
      </c>
      <c r="E2815" s="2" t="s">
        <v>3512</v>
      </c>
      <c r="F2815" s="2" t="s">
        <v>10</v>
      </c>
      <c r="G2815" s="2" t="s">
        <v>11</v>
      </c>
      <c r="H2815" s="2">
        <v>15000000</v>
      </c>
      <c r="I2815" s="2">
        <v>7</v>
      </c>
      <c r="J2815" s="3">
        <v>54800000</v>
      </c>
      <c r="K2815">
        <f t="shared" si="94"/>
        <v>1.3775047412552699E-3</v>
      </c>
      <c r="R2815" s="12" t="str">
        <f ca="1">IFERROR(__xludf.DUMMYFUNCTION("""COMPUTED_VALUE"""),"Very Bad Things ")</f>
        <v>Very Bad Things </v>
      </c>
      <c r="S2815" s="12">
        <f t="shared" si="95"/>
        <v>40764085</v>
      </c>
    </row>
    <row r="2816" spans="1:19" x14ac:dyDescent="0.3">
      <c r="A2816" s="2" t="s">
        <v>2431</v>
      </c>
      <c r="B2816" s="2">
        <v>92</v>
      </c>
      <c r="C2816" s="3">
        <v>3205244</v>
      </c>
      <c r="D2816" s="3" t="s">
        <v>5913</v>
      </c>
      <c r="E2816" s="2" t="s">
        <v>2432</v>
      </c>
      <c r="F2816" s="2" t="s">
        <v>10</v>
      </c>
      <c r="G2816" s="2" t="s">
        <v>16</v>
      </c>
      <c r="H2816" s="2">
        <v>15000000</v>
      </c>
      <c r="I2816" s="2">
        <v>7.4</v>
      </c>
      <c r="J2816" s="3">
        <v>54910560</v>
      </c>
      <c r="K2816">
        <f t="shared" si="94"/>
        <v>1.3775047412552699E-3</v>
      </c>
      <c r="R2816" s="12" t="str">
        <f ca="1">IFERROR(__xludf.DUMMYFUNCTION("""COMPUTED_VALUE"""),"Sleepover ")</f>
        <v>Sleepover </v>
      </c>
      <c r="S2816" s="12">
        <f t="shared" si="95"/>
        <v>5200000</v>
      </c>
    </row>
    <row r="2817" spans="1:19" x14ac:dyDescent="0.3">
      <c r="A2817" s="2" t="s">
        <v>3356</v>
      </c>
      <c r="B2817" s="2">
        <v>139</v>
      </c>
      <c r="C2817" s="3">
        <v>10214013</v>
      </c>
      <c r="D2817" s="3" t="s">
        <v>5910</v>
      </c>
      <c r="E2817" s="2" t="s">
        <v>3628</v>
      </c>
      <c r="F2817" s="2" t="s">
        <v>10</v>
      </c>
      <c r="G2817" s="2" t="s">
        <v>504</v>
      </c>
      <c r="H2817" s="2">
        <v>14000000</v>
      </c>
      <c r="I2817" s="2">
        <v>5.7</v>
      </c>
      <c r="J2817" s="3">
        <v>54967359</v>
      </c>
      <c r="K2817">
        <f t="shared" si="94"/>
        <v>1.3775047412552699E-3</v>
      </c>
      <c r="R2817" s="12" t="str">
        <f ca="1">IFERROR(__xludf.DUMMYFUNCTION("""COMPUTED_VALUE"""),"MacGruber ")</f>
        <v>MacGruber </v>
      </c>
      <c r="S2817" s="12">
        <f t="shared" si="95"/>
        <v>91219978</v>
      </c>
    </row>
    <row r="2818" spans="1:19" x14ac:dyDescent="0.3">
      <c r="A2818" s="2" t="s">
        <v>4703</v>
      </c>
      <c r="B2818" s="2">
        <v>90</v>
      </c>
      <c r="C2818" s="3">
        <v>5871603</v>
      </c>
      <c r="D2818" s="3" t="s">
        <v>5767</v>
      </c>
      <c r="E2818" s="2" t="s">
        <v>4704</v>
      </c>
      <c r="F2818" s="2" t="s">
        <v>10</v>
      </c>
      <c r="G2818" s="2" t="s">
        <v>11</v>
      </c>
      <c r="H2818" s="2">
        <v>5000000</v>
      </c>
      <c r="I2818" s="2">
        <v>7.3</v>
      </c>
      <c r="J2818" s="3">
        <v>54997476</v>
      </c>
      <c r="K2818">
        <f t="shared" ref="K2818:K2881" si="96">CORREL(H$2:H$3941,J$2:J$3941)</f>
        <v>1.3775047412552699E-3</v>
      </c>
      <c r="R2818" s="12" t="str">
        <f ca="1">IFERROR(__xludf.DUMMYFUNCTION("""COMPUTED_VALUE"""),"Dirty Pretty Things ")</f>
        <v>Dirty Pretty Things </v>
      </c>
      <c r="S2818" s="12">
        <f t="shared" si="95"/>
        <v>-94200974</v>
      </c>
    </row>
    <row r="2819" spans="1:19" x14ac:dyDescent="0.3">
      <c r="A2819" s="2" t="s">
        <v>1288</v>
      </c>
      <c r="B2819" s="2">
        <v>104</v>
      </c>
      <c r="C2819" s="3">
        <v>5895238</v>
      </c>
      <c r="D2819" s="3" t="s">
        <v>5813</v>
      </c>
      <c r="E2819" s="2" t="s">
        <v>3412</v>
      </c>
      <c r="F2819" s="2" t="s">
        <v>10</v>
      </c>
      <c r="G2819" s="2" t="s">
        <v>11</v>
      </c>
      <c r="H2819" s="2">
        <v>15000000</v>
      </c>
      <c r="I2819" s="2">
        <v>6.4</v>
      </c>
      <c r="J2819" s="3">
        <v>55092830</v>
      </c>
      <c r="K2819">
        <f t="shared" si="96"/>
        <v>1.3775047412552699E-3</v>
      </c>
      <c r="R2819" s="12" t="str">
        <f ca="1">IFERROR(__xludf.DUMMYFUNCTION("""COMPUTED_VALUE"""),"Movie 43 ")</f>
        <v>Movie 43 </v>
      </c>
      <c r="S2819" s="12">
        <f t="shared" si="95"/>
        <v>5245861</v>
      </c>
    </row>
    <row r="2820" spans="1:19" x14ac:dyDescent="0.3">
      <c r="A2820" s="2" t="s">
        <v>1354</v>
      </c>
      <c r="B2820" s="2">
        <v>113</v>
      </c>
      <c r="C2820" s="3">
        <v>125014030</v>
      </c>
      <c r="D2820" s="3" t="s">
        <v>6090</v>
      </c>
      <c r="E2820" s="2" t="s">
        <v>1713</v>
      </c>
      <c r="F2820" s="2" t="s">
        <v>10</v>
      </c>
      <c r="G2820" s="2" t="s">
        <v>16</v>
      </c>
      <c r="H2820" s="2">
        <v>30000000</v>
      </c>
      <c r="I2820" s="2">
        <v>6.9</v>
      </c>
      <c r="J2820" s="3">
        <v>55153403</v>
      </c>
      <c r="K2820">
        <f t="shared" si="96"/>
        <v>1.3775047412552699E-3</v>
      </c>
      <c r="R2820" s="12" t="str">
        <f ca="1">IFERROR(__xludf.DUMMYFUNCTION("""COMPUTED_VALUE"""),"Over Her Dead Body ")</f>
        <v>Over Her Dead Body </v>
      </c>
      <c r="S2820" s="12">
        <f t="shared" si="95"/>
        <v>-5143378</v>
      </c>
    </row>
    <row r="2821" spans="1:19" x14ac:dyDescent="0.3">
      <c r="A2821" s="2" t="s">
        <v>93</v>
      </c>
      <c r="B2821" s="2">
        <v>124</v>
      </c>
      <c r="C2821" s="3">
        <v>37617947</v>
      </c>
      <c r="D2821" s="3" t="s">
        <v>520</v>
      </c>
      <c r="E2821" s="2" t="s">
        <v>242</v>
      </c>
      <c r="F2821" s="2" t="s">
        <v>10</v>
      </c>
      <c r="G2821" s="2" t="s">
        <v>11</v>
      </c>
      <c r="H2821" s="2">
        <v>150000000</v>
      </c>
      <c r="I2821" s="2">
        <v>6.9</v>
      </c>
      <c r="J2821" s="3">
        <v>55184721</v>
      </c>
      <c r="K2821">
        <f t="shared" si="96"/>
        <v>1.3775047412552699E-3</v>
      </c>
      <c r="R2821" s="12" t="str">
        <f ca="1">IFERROR(__xludf.DUMMYFUNCTION("""COMPUTED_VALUE"""),"Seeking a Friend for the End of the World ")</f>
        <v>Seeking a Friend for the End of the World </v>
      </c>
      <c r="S2821" s="12">
        <f t="shared" si="95"/>
        <v>-6249444</v>
      </c>
    </row>
    <row r="2822" spans="1:19" x14ac:dyDescent="0.3">
      <c r="A2822" s="2" t="s">
        <v>2943</v>
      </c>
      <c r="B2822" s="2">
        <v>104</v>
      </c>
      <c r="C2822" s="3">
        <v>17266505</v>
      </c>
      <c r="D2822" s="3" t="s">
        <v>6241</v>
      </c>
      <c r="E2822" s="2" t="s">
        <v>2944</v>
      </c>
      <c r="F2822" s="2" t="s">
        <v>10</v>
      </c>
      <c r="G2822" s="2" t="s">
        <v>11</v>
      </c>
      <c r="H2822" s="2">
        <v>20000000</v>
      </c>
      <c r="I2822" s="2">
        <v>6.4</v>
      </c>
      <c r="J2822" s="3">
        <v>55210049</v>
      </c>
      <c r="K2822">
        <f t="shared" si="96"/>
        <v>1.3775047412552699E-3</v>
      </c>
      <c r="R2822" s="12" t="str">
        <f ca="1">IFERROR(__xludf.DUMMYFUNCTION("""COMPUTED_VALUE"""),"American History X ")</f>
        <v>American History X </v>
      </c>
      <c r="S2822" s="12">
        <f t="shared" si="95"/>
        <v>-17599087</v>
      </c>
    </row>
    <row r="2823" spans="1:19" x14ac:dyDescent="0.3">
      <c r="A2823" s="2" t="s">
        <v>3987</v>
      </c>
      <c r="B2823" s="2">
        <v>109</v>
      </c>
      <c r="C2823" s="3">
        <v>13766014</v>
      </c>
      <c r="D2823" s="3" t="s">
        <v>5973</v>
      </c>
      <c r="E2823" s="2" t="s">
        <v>3988</v>
      </c>
      <c r="F2823" s="2" t="s">
        <v>10</v>
      </c>
      <c r="G2823" s="2" t="s">
        <v>11</v>
      </c>
      <c r="H2823" s="2">
        <v>10000000</v>
      </c>
      <c r="I2823" s="2">
        <v>6.9</v>
      </c>
      <c r="J2823" s="3">
        <v>55291815</v>
      </c>
      <c r="K2823">
        <f t="shared" si="96"/>
        <v>1.3775047412552699E-3</v>
      </c>
      <c r="R2823" s="12" t="str">
        <f ca="1">IFERROR(__xludf.DUMMYFUNCTION("""COMPUTED_VALUE"""),"The Collection ")</f>
        <v>The Collection </v>
      </c>
      <c r="S2823" s="12">
        <f t="shared" si="95"/>
        <v>60728662</v>
      </c>
    </row>
    <row r="2824" spans="1:19" x14ac:dyDescent="0.3">
      <c r="A2824" s="2" t="s">
        <v>41</v>
      </c>
      <c r="B2824" s="2">
        <v>145</v>
      </c>
      <c r="C2824" s="3">
        <v>1000000</v>
      </c>
      <c r="D2824" s="3" t="s">
        <v>6371</v>
      </c>
      <c r="E2824" s="2" t="s">
        <v>636</v>
      </c>
      <c r="F2824" s="2" t="s">
        <v>10</v>
      </c>
      <c r="G2824" s="2" t="s">
        <v>11</v>
      </c>
      <c r="H2824" s="2">
        <v>85000000</v>
      </c>
      <c r="I2824" s="2">
        <v>7.3</v>
      </c>
      <c r="J2824" s="3">
        <v>55350897</v>
      </c>
      <c r="K2824">
        <f t="shared" si="96"/>
        <v>1.3775047412552699E-3</v>
      </c>
      <c r="R2824" s="12" t="str">
        <f ca="1">IFERROR(__xludf.DUMMYFUNCTION("""COMPUTED_VALUE"""),"Teacher's Pet ")</f>
        <v>Teacher's Pet </v>
      </c>
      <c r="S2824" s="12">
        <f t="shared" si="95"/>
        <v>-5181319</v>
      </c>
    </row>
    <row r="2825" spans="1:19" x14ac:dyDescent="0.3">
      <c r="A2825" s="2" t="s">
        <v>2429</v>
      </c>
      <c r="B2825" s="2">
        <v>161</v>
      </c>
      <c r="C2825" s="3">
        <v>28328132</v>
      </c>
      <c r="D2825" s="3" t="s">
        <v>5940</v>
      </c>
      <c r="E2825" s="2" t="s">
        <v>4919</v>
      </c>
      <c r="F2825" s="2" t="s">
        <v>10</v>
      </c>
      <c r="G2825" s="2" t="s">
        <v>16</v>
      </c>
      <c r="H2825" s="2">
        <v>3000000</v>
      </c>
      <c r="I2825" s="2">
        <v>8.1999999999999993</v>
      </c>
      <c r="J2825" s="3">
        <v>55461307</v>
      </c>
      <c r="K2825">
        <f t="shared" si="96"/>
        <v>1.3775047412552699E-3</v>
      </c>
      <c r="R2825" s="12" t="str">
        <f ca="1">IFERROR(__xludf.DUMMYFUNCTION("""COMPUTED_VALUE"""),"The Red Violin ")</f>
        <v>The Red Violin </v>
      </c>
      <c r="S2825" s="12">
        <f t="shared" si="95"/>
        <v>-84785353</v>
      </c>
    </row>
    <row r="2826" spans="1:19" x14ac:dyDescent="0.3">
      <c r="A2826" s="2" t="s">
        <v>4612</v>
      </c>
      <c r="B2826" s="2">
        <v>83</v>
      </c>
      <c r="C2826" s="3">
        <v>4535117</v>
      </c>
      <c r="D2826" s="3" t="s">
        <v>5767</v>
      </c>
      <c r="E2826" s="2" t="s">
        <v>4613</v>
      </c>
      <c r="F2826" s="2" t="s">
        <v>10</v>
      </c>
      <c r="G2826" s="2" t="s">
        <v>11</v>
      </c>
      <c r="H2826" s="3">
        <v>173005002</v>
      </c>
      <c r="I2826" s="2">
        <v>5.2</v>
      </c>
      <c r="J2826" s="3">
        <v>55473600</v>
      </c>
      <c r="K2826">
        <f t="shared" si="96"/>
        <v>1.3775047412552699E-3</v>
      </c>
      <c r="R2826" s="12" t="str">
        <f ca="1">IFERROR(__xludf.DUMMYFUNCTION("""COMPUTED_VALUE"""),"The Straight Story ")</f>
        <v>The Straight Story </v>
      </c>
      <c r="S2826" s="12">
        <f t="shared" si="95"/>
        <v>11161406</v>
      </c>
    </row>
    <row r="2827" spans="1:19" x14ac:dyDescent="0.3">
      <c r="A2827" s="2" t="s">
        <v>4871</v>
      </c>
      <c r="B2827" s="2">
        <v>106</v>
      </c>
      <c r="C2827" s="3">
        <v>13060843</v>
      </c>
      <c r="D2827" s="3" t="s">
        <v>5892</v>
      </c>
      <c r="E2827" s="2" t="s">
        <v>4872</v>
      </c>
      <c r="F2827" s="2" t="s">
        <v>723</v>
      </c>
      <c r="G2827" s="2" t="s">
        <v>3044</v>
      </c>
      <c r="H2827" s="2">
        <v>3500000</v>
      </c>
      <c r="I2827" s="2">
        <v>6.8</v>
      </c>
      <c r="J2827" s="3">
        <v>55500000</v>
      </c>
      <c r="K2827">
        <f t="shared" si="96"/>
        <v>1.3775047412552699E-3</v>
      </c>
      <c r="R2827" s="12" t="str">
        <f ca="1">IFERROR(__xludf.DUMMYFUNCTION("""COMPUTED_VALUE"""),"Deuces Wild ")</f>
        <v>Deuces Wild </v>
      </c>
      <c r="S2827" s="12">
        <f t="shared" si="95"/>
        <v>22168395</v>
      </c>
    </row>
    <row r="2828" spans="1:19" x14ac:dyDescent="0.3">
      <c r="A2828" s="2" t="s">
        <v>840</v>
      </c>
      <c r="B2828" s="2">
        <v>91</v>
      </c>
      <c r="C2828" s="3">
        <v>1430185</v>
      </c>
      <c r="D2828" s="3" t="s">
        <v>6049</v>
      </c>
      <c r="E2828" s="2" t="s">
        <v>2466</v>
      </c>
      <c r="F2828" s="2" t="s">
        <v>10</v>
      </c>
      <c r="G2828" s="2" t="s">
        <v>11</v>
      </c>
      <c r="H2828" s="2">
        <v>26000000</v>
      </c>
      <c r="I2828" s="2">
        <v>5.2</v>
      </c>
      <c r="J2828" s="3">
        <v>55585389</v>
      </c>
      <c r="K2828">
        <f t="shared" si="96"/>
        <v>1.3775047412552699E-3</v>
      </c>
      <c r="R2828" s="12" t="str">
        <f ca="1">IFERROR(__xludf.DUMMYFUNCTION("""COMPUTED_VALUE"""),"Bad Words ")</f>
        <v>Bad Words </v>
      </c>
      <c r="S2828" s="12">
        <f t="shared" si="95"/>
        <v>17776259</v>
      </c>
    </row>
    <row r="2829" spans="1:19" x14ac:dyDescent="0.3">
      <c r="A2829" s="2" t="s">
        <v>695</v>
      </c>
      <c r="B2829" s="2">
        <v>91</v>
      </c>
      <c r="C2829" s="3">
        <v>2353728</v>
      </c>
      <c r="D2829" s="3" t="s">
        <v>5767</v>
      </c>
      <c r="E2829" s="2" t="s">
        <v>3027</v>
      </c>
      <c r="F2829" s="2" t="s">
        <v>10</v>
      </c>
      <c r="G2829" s="2" t="s">
        <v>11</v>
      </c>
      <c r="H2829" s="2">
        <v>20000000</v>
      </c>
      <c r="I2829" s="2">
        <v>4.5</v>
      </c>
      <c r="J2829" s="3">
        <v>55637680</v>
      </c>
      <c r="K2829">
        <f t="shared" si="96"/>
        <v>1.3775047412552699E-3</v>
      </c>
      <c r="R2829" s="12" t="str">
        <f ca="1">IFERROR(__xludf.DUMMYFUNCTION("""COMPUTED_VALUE"""),"Black or White ")</f>
        <v>Black or White </v>
      </c>
      <c r="S2829" s="12">
        <f t="shared" si="95"/>
        <v>-9693553</v>
      </c>
    </row>
    <row r="2830" spans="1:19" x14ac:dyDescent="0.3">
      <c r="A2830" s="2" t="s">
        <v>2113</v>
      </c>
      <c r="B2830" s="2">
        <v>103</v>
      </c>
      <c r="C2830" s="3">
        <v>296665</v>
      </c>
      <c r="D2830" s="3" t="s">
        <v>5872</v>
      </c>
      <c r="E2830" s="2" t="s">
        <v>2114</v>
      </c>
      <c r="F2830" s="2" t="s">
        <v>10</v>
      </c>
      <c r="G2830" s="2" t="s">
        <v>11</v>
      </c>
      <c r="H2830" s="2">
        <v>29000000</v>
      </c>
      <c r="I2830" s="2">
        <v>6.2</v>
      </c>
      <c r="J2830" s="3">
        <v>55673333</v>
      </c>
      <c r="K2830">
        <f t="shared" si="96"/>
        <v>1.3775047412552699E-3</v>
      </c>
      <c r="R2830" s="12" t="str">
        <f ca="1">IFERROR(__xludf.DUMMYFUNCTION("""COMPUTED_VALUE"""),"On the Line ")</f>
        <v>On the Line </v>
      </c>
      <c r="S2830" s="12">
        <f t="shared" si="95"/>
        <v>-1702103</v>
      </c>
    </row>
    <row r="2831" spans="1:19" x14ac:dyDescent="0.3">
      <c r="A2831" s="2" t="s">
        <v>5275</v>
      </c>
      <c r="B2831" s="2">
        <v>73</v>
      </c>
      <c r="C2831" s="3">
        <v>5881504</v>
      </c>
      <c r="D2831" s="3" t="s">
        <v>6136</v>
      </c>
      <c r="E2831" s="2" t="s">
        <v>5276</v>
      </c>
      <c r="F2831" s="2" t="s">
        <v>10</v>
      </c>
      <c r="G2831" s="2" t="s">
        <v>71</v>
      </c>
      <c r="H2831" s="2">
        <v>1600000</v>
      </c>
      <c r="I2831" s="2">
        <v>7</v>
      </c>
      <c r="J2831" s="3">
        <v>55682070</v>
      </c>
      <c r="K2831">
        <f t="shared" si="96"/>
        <v>1.3775047412552699E-3</v>
      </c>
      <c r="R2831" s="12" t="str">
        <f ca="1">IFERROR(__xludf.DUMMYFUNCTION("""COMPUTED_VALUE"""),"Rescue Dawn ")</f>
        <v>Rescue Dawn </v>
      </c>
      <c r="S2831" s="12">
        <f t="shared" si="95"/>
        <v>-10629943</v>
      </c>
    </row>
    <row r="2832" spans="1:19" x14ac:dyDescent="0.3">
      <c r="A2832" s="2" t="s">
        <v>2843</v>
      </c>
      <c r="B2832" s="2">
        <v>127</v>
      </c>
      <c r="C2832" s="3">
        <v>4505922</v>
      </c>
      <c r="D2832" s="3" t="s">
        <v>6100</v>
      </c>
      <c r="E2832" s="2" t="s">
        <v>2844</v>
      </c>
      <c r="F2832" s="2" t="s">
        <v>10</v>
      </c>
      <c r="G2832" s="2" t="s">
        <v>504</v>
      </c>
      <c r="H2832" s="2">
        <v>20000000</v>
      </c>
      <c r="I2832" s="2">
        <v>7.1</v>
      </c>
      <c r="J2832" s="3">
        <v>55747724</v>
      </c>
      <c r="K2832">
        <f t="shared" si="96"/>
        <v>1.3775047412552699E-3</v>
      </c>
      <c r="R2832" s="12" t="str">
        <f ca="1">IFERROR(__xludf.DUMMYFUNCTION("""COMPUTED_VALUE"""),"Danny Collins ")</f>
        <v>Danny Collins </v>
      </c>
      <c r="S2832" s="12">
        <f t="shared" si="95"/>
        <v>-64907170</v>
      </c>
    </row>
    <row r="2833" spans="1:19" x14ac:dyDescent="0.3">
      <c r="A2833" s="2" t="s">
        <v>812</v>
      </c>
      <c r="B2833" s="2">
        <v>134</v>
      </c>
      <c r="C2833" s="3">
        <v>26096584</v>
      </c>
      <c r="D2833" s="3" t="s">
        <v>5940</v>
      </c>
      <c r="E2833" s="2" t="s">
        <v>813</v>
      </c>
      <c r="F2833" s="2" t="s">
        <v>10</v>
      </c>
      <c r="G2833" s="2" t="s">
        <v>11</v>
      </c>
      <c r="H2833" s="2">
        <v>55000000</v>
      </c>
      <c r="I2833" s="2">
        <v>5.9</v>
      </c>
      <c r="J2833" s="3">
        <v>55762229</v>
      </c>
      <c r="K2833">
        <f t="shared" si="96"/>
        <v>1.3775047412552699E-3</v>
      </c>
      <c r="R2833" s="12" t="str">
        <f ca="1">IFERROR(__xludf.DUMMYFUNCTION("""COMPUTED_VALUE"""),"Jeff, Who Lives at Home ")</f>
        <v>Jeff, Who Lives at Home </v>
      </c>
      <c r="S2833" s="12">
        <f t="shared" si="95"/>
        <v>-9181033</v>
      </c>
    </row>
    <row r="2834" spans="1:19" x14ac:dyDescent="0.3">
      <c r="A2834" s="2" t="s">
        <v>3842</v>
      </c>
      <c r="B2834" s="2">
        <v>119</v>
      </c>
      <c r="C2834" s="3">
        <v>13763130</v>
      </c>
      <c r="D2834" s="3" t="s">
        <v>5910</v>
      </c>
      <c r="E2834" s="2" t="s">
        <v>4227</v>
      </c>
      <c r="F2834" s="2" t="s">
        <v>10</v>
      </c>
      <c r="G2834" s="2" t="s">
        <v>16</v>
      </c>
      <c r="H2834" s="2">
        <v>8500000</v>
      </c>
      <c r="I2834" s="2">
        <v>7</v>
      </c>
      <c r="J2834" s="3">
        <v>55802754</v>
      </c>
      <c r="K2834">
        <f t="shared" si="96"/>
        <v>1.3775047412552699E-3</v>
      </c>
      <c r="R2834" s="12" t="str">
        <f ca="1">IFERROR(__xludf.DUMMYFUNCTION("""COMPUTED_VALUE"""),"I Am Love ")</f>
        <v>I Am Love </v>
      </c>
      <c r="S2834" s="12">
        <f t="shared" si="95"/>
        <v>-17212239</v>
      </c>
    </row>
    <row r="2835" spans="1:19" x14ac:dyDescent="0.3">
      <c r="A2835" s="2" t="s">
        <v>2141</v>
      </c>
      <c r="B2835" s="2">
        <v>132</v>
      </c>
      <c r="C2835" s="3">
        <v>1250798</v>
      </c>
      <c r="D2835" s="3" t="s">
        <v>520</v>
      </c>
      <c r="E2835" s="2" t="s">
        <v>2142</v>
      </c>
      <c r="F2835" s="2" t="s">
        <v>10</v>
      </c>
      <c r="G2835" s="2" t="s">
        <v>11</v>
      </c>
      <c r="H2835" s="2">
        <v>32000000</v>
      </c>
      <c r="I2835" s="2">
        <v>6.9</v>
      </c>
      <c r="J2835" s="3">
        <v>55808744</v>
      </c>
      <c r="K2835">
        <f t="shared" si="96"/>
        <v>1.3775047412552699E-3</v>
      </c>
      <c r="R2835" s="12" t="str">
        <f ca="1">IFERROR(__xludf.DUMMYFUNCTION("""COMPUTED_VALUE"""),"Atlas Shrugged II: The Strike ")</f>
        <v>Atlas Shrugged II: The Strike </v>
      </c>
      <c r="S2835" s="12">
        <f t="shared" si="95"/>
        <v>38300000</v>
      </c>
    </row>
    <row r="2836" spans="1:19" x14ac:dyDescent="0.3">
      <c r="A2836" s="2" t="s">
        <v>112</v>
      </c>
      <c r="B2836" s="2">
        <v>129</v>
      </c>
      <c r="C2836" s="3">
        <v>19281235</v>
      </c>
      <c r="D2836" s="3" t="s">
        <v>5767</v>
      </c>
      <c r="E2836" s="2" t="s">
        <v>5110</v>
      </c>
      <c r="F2836" s="2" t="s">
        <v>10</v>
      </c>
      <c r="G2836" s="2" t="s">
        <v>11</v>
      </c>
      <c r="H2836" s="2">
        <v>13500000</v>
      </c>
      <c r="I2836" s="2">
        <v>4.5</v>
      </c>
      <c r="J2836" s="3">
        <v>55845943</v>
      </c>
      <c r="K2836">
        <f t="shared" si="96"/>
        <v>1.3775047412552699E-3</v>
      </c>
      <c r="R2836" s="12" t="str">
        <f ca="1">IFERROR(__xludf.DUMMYFUNCTION("""COMPUTED_VALUE"""),"Romeo Is Bleeding ")</f>
        <v>Romeo Is Bleeding </v>
      </c>
      <c r="S2836" s="12">
        <f t="shared" si="95"/>
        <v>865931</v>
      </c>
    </row>
    <row r="2837" spans="1:19" x14ac:dyDescent="0.3">
      <c r="A2837" s="2" t="s">
        <v>1881</v>
      </c>
      <c r="B2837" s="2">
        <v>118</v>
      </c>
      <c r="C2837" s="3">
        <v>51432423</v>
      </c>
      <c r="D2837" s="3" t="s">
        <v>5869</v>
      </c>
      <c r="E2837" s="2" t="s">
        <v>1882</v>
      </c>
      <c r="F2837" s="2" t="s">
        <v>10</v>
      </c>
      <c r="G2837" s="2" t="s">
        <v>11</v>
      </c>
      <c r="H2837" s="2">
        <v>37000000</v>
      </c>
      <c r="I2837" s="2">
        <v>6.4</v>
      </c>
      <c r="J2837" s="3">
        <v>55865715</v>
      </c>
      <c r="K2837">
        <f t="shared" si="96"/>
        <v>1.3775047412552699E-3</v>
      </c>
      <c r="R2837" s="12" t="str">
        <f ca="1">IFERROR(__xludf.DUMMYFUNCTION("""COMPUTED_VALUE"""),"The Limey ")</f>
        <v>The Limey </v>
      </c>
      <c r="S2837" s="12">
        <f t="shared" si="95"/>
        <v>55236496</v>
      </c>
    </row>
    <row r="2838" spans="1:19" x14ac:dyDescent="0.3">
      <c r="A2838" s="2" t="s">
        <v>1386</v>
      </c>
      <c r="B2838" s="2">
        <v>113</v>
      </c>
      <c r="C2838" s="3">
        <v>1865774</v>
      </c>
      <c r="D2838" s="3" t="s">
        <v>5873</v>
      </c>
      <c r="E2838" s="2" t="s">
        <v>1387</v>
      </c>
      <c r="F2838" s="2" t="s">
        <v>10</v>
      </c>
      <c r="G2838" s="2" t="s">
        <v>11</v>
      </c>
      <c r="H2838" s="2">
        <v>50000000</v>
      </c>
      <c r="I2838" s="2">
        <v>6.7</v>
      </c>
      <c r="J2838" s="3">
        <v>55942830</v>
      </c>
      <c r="K2838">
        <f t="shared" si="96"/>
        <v>1.3775047412552699E-3</v>
      </c>
      <c r="R2838" s="12" t="str">
        <f ca="1">IFERROR(__xludf.DUMMYFUNCTION("""COMPUTED_VALUE"""),"Crash ")</f>
        <v>Crash </v>
      </c>
      <c r="S2838" s="12">
        <f t="shared" si="95"/>
        <v>-11794756</v>
      </c>
    </row>
    <row r="2839" spans="1:19" x14ac:dyDescent="0.3">
      <c r="A2839" s="2" t="s">
        <v>2704</v>
      </c>
      <c r="B2839" s="2">
        <v>110</v>
      </c>
      <c r="C2839" s="3">
        <v>22235901</v>
      </c>
      <c r="D2839" s="3" t="s">
        <v>5991</v>
      </c>
      <c r="E2839" s="2" t="s">
        <v>2902</v>
      </c>
      <c r="F2839" s="2" t="s">
        <v>10</v>
      </c>
      <c r="G2839" s="2" t="s">
        <v>11</v>
      </c>
      <c r="H2839" s="2">
        <v>22000000</v>
      </c>
      <c r="I2839" s="2">
        <v>6.1</v>
      </c>
      <c r="J2839" s="3">
        <v>55973336</v>
      </c>
      <c r="K2839">
        <f t="shared" si="96"/>
        <v>1.3775047412552699E-3</v>
      </c>
      <c r="R2839" s="12" t="str">
        <f ca="1">IFERROR(__xludf.DUMMYFUNCTION("""COMPUTED_VALUE"""),"The House of Mirth ")</f>
        <v>The House of Mirth </v>
      </c>
      <c r="S2839" s="12">
        <f t="shared" si="95"/>
        <v>-3785987</v>
      </c>
    </row>
    <row r="2840" spans="1:19" x14ac:dyDescent="0.3">
      <c r="A2840" s="2" t="s">
        <v>1189</v>
      </c>
      <c r="B2840" s="2">
        <v>95</v>
      </c>
      <c r="C2840" s="3">
        <v>3203044</v>
      </c>
      <c r="D2840" s="3" t="s">
        <v>885</v>
      </c>
      <c r="E2840" s="2" t="s">
        <v>1452</v>
      </c>
      <c r="F2840" s="2" t="s">
        <v>10</v>
      </c>
      <c r="G2840" s="2" t="s">
        <v>11</v>
      </c>
      <c r="H2840" s="2">
        <v>50000000</v>
      </c>
      <c r="I2840" s="2">
        <v>5.8</v>
      </c>
      <c r="J2840" s="3">
        <v>55994557</v>
      </c>
      <c r="K2840">
        <f t="shared" si="96"/>
        <v>1.3775047412552699E-3</v>
      </c>
      <c r="R2840" s="12" t="str">
        <f ca="1">IFERROR(__xludf.DUMMYFUNCTION("""COMPUTED_VALUE"""),"Malone ")</f>
        <v>Malone </v>
      </c>
      <c r="S2840" s="12">
        <f t="shared" si="95"/>
        <v>871603</v>
      </c>
    </row>
    <row r="2841" spans="1:19" x14ac:dyDescent="0.3">
      <c r="A2841" s="2" t="s">
        <v>5216</v>
      </c>
      <c r="B2841" s="2">
        <v>90</v>
      </c>
      <c r="C2841" s="3">
        <v>17120019</v>
      </c>
      <c r="D2841" s="3" t="s">
        <v>6136</v>
      </c>
      <c r="E2841" s="2" t="s">
        <v>5217</v>
      </c>
      <c r="F2841" s="2" t="s">
        <v>10</v>
      </c>
      <c r="G2841" s="2" t="s">
        <v>11</v>
      </c>
      <c r="H2841" s="2">
        <v>2000000</v>
      </c>
      <c r="I2841" s="2">
        <v>6.7</v>
      </c>
      <c r="J2841" s="3">
        <v>56044241</v>
      </c>
      <c r="K2841">
        <f t="shared" si="96"/>
        <v>1.3775047412552699E-3</v>
      </c>
      <c r="R2841" s="12" t="str">
        <f ca="1">IFERROR(__xludf.DUMMYFUNCTION("""COMPUTED_VALUE"""),"Peaceful Warrior ")</f>
        <v>Peaceful Warrior </v>
      </c>
      <c r="S2841" s="12">
        <f t="shared" ref="S2841:S2904" si="97">C2819-H2819</f>
        <v>-9104762</v>
      </c>
    </row>
    <row r="2842" spans="1:19" x14ac:dyDescent="0.3">
      <c r="A2842" s="2" t="s">
        <v>427</v>
      </c>
      <c r="B2842" s="2">
        <v>102</v>
      </c>
      <c r="C2842" s="3">
        <v>17300889</v>
      </c>
      <c r="D2842" s="3" t="s">
        <v>5857</v>
      </c>
      <c r="E2842" s="2" t="s">
        <v>711</v>
      </c>
      <c r="F2842" s="2" t="s">
        <v>10</v>
      </c>
      <c r="G2842" s="2" t="s">
        <v>11</v>
      </c>
      <c r="H2842" s="2">
        <v>80000000</v>
      </c>
      <c r="I2842" s="2">
        <v>5.2</v>
      </c>
      <c r="J2842" s="3">
        <v>56068547</v>
      </c>
      <c r="K2842">
        <f t="shared" si="96"/>
        <v>1.3775047412552699E-3</v>
      </c>
      <c r="R2842" s="12" t="str">
        <f ca="1">IFERROR(__xludf.DUMMYFUNCTION("""COMPUTED_VALUE"""),"Bucky Larson: Born to Be a Star ")</f>
        <v>Bucky Larson: Born to Be a Star </v>
      </c>
      <c r="S2842" s="12">
        <f t="shared" si="97"/>
        <v>95014030</v>
      </c>
    </row>
    <row r="2843" spans="1:19" x14ac:dyDescent="0.3">
      <c r="A2843" s="2" t="s">
        <v>940</v>
      </c>
      <c r="B2843" s="2">
        <v>121</v>
      </c>
      <c r="C2843" s="3">
        <v>9190525</v>
      </c>
      <c r="D2843" s="3" t="s">
        <v>5940</v>
      </c>
      <c r="E2843" s="2" t="s">
        <v>941</v>
      </c>
      <c r="F2843" s="2" t="s">
        <v>10</v>
      </c>
      <c r="G2843" s="2" t="s">
        <v>11</v>
      </c>
      <c r="H2843" s="2">
        <v>66000000</v>
      </c>
      <c r="I2843" s="2">
        <v>7</v>
      </c>
      <c r="J2843" s="3">
        <v>56083966</v>
      </c>
      <c r="K2843">
        <f t="shared" si="96"/>
        <v>1.3775047412552699E-3</v>
      </c>
      <c r="R2843" s="12" t="str">
        <f ca="1">IFERROR(__xludf.DUMMYFUNCTION("""COMPUTED_VALUE"""),"Bamboozled ")</f>
        <v>Bamboozled </v>
      </c>
      <c r="S2843" s="12">
        <f t="shared" si="97"/>
        <v>-112382053</v>
      </c>
    </row>
    <row r="2844" spans="1:19" x14ac:dyDescent="0.3">
      <c r="A2844" s="2" t="s">
        <v>4965</v>
      </c>
      <c r="B2844" s="2">
        <v>93</v>
      </c>
      <c r="C2844" s="3">
        <v>171988</v>
      </c>
      <c r="D2844" s="3" t="s">
        <v>6408</v>
      </c>
      <c r="E2844" s="2" t="s">
        <v>4966</v>
      </c>
      <c r="F2844" s="2" t="s">
        <v>10</v>
      </c>
      <c r="G2844" s="2" t="s">
        <v>11</v>
      </c>
      <c r="H2844" s="2">
        <v>3000000</v>
      </c>
      <c r="I2844" s="2">
        <v>5.3</v>
      </c>
      <c r="J2844" s="3">
        <v>56114221</v>
      </c>
      <c r="K2844">
        <f t="shared" si="96"/>
        <v>1.3775047412552699E-3</v>
      </c>
      <c r="R2844" s="12" t="str">
        <f ca="1">IFERROR(__xludf.DUMMYFUNCTION("""COMPUTED_VALUE"""),"The Forest ")</f>
        <v>The Forest </v>
      </c>
      <c r="S2844" s="12">
        <f t="shared" si="97"/>
        <v>-2733495</v>
      </c>
    </row>
    <row r="2845" spans="1:19" x14ac:dyDescent="0.3">
      <c r="A2845" s="2" t="s">
        <v>549</v>
      </c>
      <c r="B2845" s="2">
        <v>108</v>
      </c>
      <c r="C2845" s="3">
        <v>32279955</v>
      </c>
      <c r="D2845" s="3" t="s">
        <v>6360</v>
      </c>
      <c r="E2845" s="2" t="s">
        <v>3009</v>
      </c>
      <c r="F2845" s="2" t="s">
        <v>10</v>
      </c>
      <c r="G2845" s="2" t="s">
        <v>11</v>
      </c>
      <c r="H2845" s="2">
        <v>22000000</v>
      </c>
      <c r="I2845" s="2">
        <v>5.6</v>
      </c>
      <c r="J2845" s="3">
        <v>56127162</v>
      </c>
      <c r="K2845">
        <f t="shared" si="96"/>
        <v>1.3775047412552699E-3</v>
      </c>
      <c r="R2845" s="12" t="str">
        <f ca="1">IFERROR(__xludf.DUMMYFUNCTION("""COMPUTED_VALUE"""),"Sphinx ")</f>
        <v>Sphinx </v>
      </c>
      <c r="S2845" s="12">
        <f t="shared" si="97"/>
        <v>3766014</v>
      </c>
    </row>
    <row r="2846" spans="1:19" x14ac:dyDescent="0.3">
      <c r="A2846" s="2" t="s">
        <v>1272</v>
      </c>
      <c r="B2846" s="2">
        <v>114</v>
      </c>
      <c r="C2846" s="3">
        <v>28133159</v>
      </c>
      <c r="D2846" s="3" t="s">
        <v>6041</v>
      </c>
      <c r="E2846" s="2" t="s">
        <v>4003</v>
      </c>
      <c r="F2846" s="2" t="s">
        <v>10</v>
      </c>
      <c r="G2846" s="2" t="s">
        <v>11</v>
      </c>
      <c r="H2846" s="2">
        <v>10000000</v>
      </c>
      <c r="I2846" s="2">
        <v>7.2</v>
      </c>
      <c r="J2846" s="3">
        <v>56154094</v>
      </c>
      <c r="K2846">
        <f t="shared" si="96"/>
        <v>1.3775047412552699E-3</v>
      </c>
      <c r="R2846" s="12" t="str">
        <f ca="1">IFERROR(__xludf.DUMMYFUNCTION("""COMPUTED_VALUE"""),"While We're Young ")</f>
        <v>While We're Young </v>
      </c>
      <c r="S2846" s="12">
        <f t="shared" si="97"/>
        <v>-84000000</v>
      </c>
    </row>
    <row r="2847" spans="1:19" x14ac:dyDescent="0.3">
      <c r="A2847" s="2" t="s">
        <v>717</v>
      </c>
      <c r="B2847" s="2">
        <v>74</v>
      </c>
      <c r="C2847" s="3">
        <v>28064226</v>
      </c>
      <c r="D2847" s="3" t="s">
        <v>5818</v>
      </c>
      <c r="E2847" s="2" t="s">
        <v>718</v>
      </c>
      <c r="F2847" s="2" t="s">
        <v>10</v>
      </c>
      <c r="G2847" s="2" t="s">
        <v>11</v>
      </c>
      <c r="H2847" s="2">
        <v>80000000</v>
      </c>
      <c r="I2847" s="2">
        <v>7.3</v>
      </c>
      <c r="J2847" s="3">
        <v>56362352</v>
      </c>
      <c r="K2847">
        <f t="shared" si="96"/>
        <v>1.3775047412552699E-3</v>
      </c>
      <c r="R2847" s="12" t="str">
        <f ca="1">IFERROR(__xludf.DUMMYFUNCTION("""COMPUTED_VALUE"""),"A Better Life ")</f>
        <v>A Better Life </v>
      </c>
      <c r="S2847" s="12">
        <f t="shared" si="97"/>
        <v>25328132</v>
      </c>
    </row>
    <row r="2848" spans="1:19" x14ac:dyDescent="0.3">
      <c r="A2848" s="2" t="s">
        <v>976</v>
      </c>
      <c r="B2848" s="2">
        <v>118</v>
      </c>
      <c r="C2848" s="2">
        <v>85911262</v>
      </c>
      <c r="D2848" s="3" t="s">
        <v>5898</v>
      </c>
      <c r="E2848" s="2" t="s">
        <v>977</v>
      </c>
      <c r="F2848" s="2" t="s">
        <v>10</v>
      </c>
      <c r="G2848" s="2" t="s">
        <v>11</v>
      </c>
      <c r="H2848" s="2">
        <v>65000000</v>
      </c>
      <c r="I2848" s="2">
        <v>5.2</v>
      </c>
      <c r="J2848" s="3">
        <v>56398162</v>
      </c>
      <c r="K2848">
        <f t="shared" si="96"/>
        <v>1.3775047412552699E-3</v>
      </c>
      <c r="R2848" s="12" t="str">
        <f ca="1">IFERROR(__xludf.DUMMYFUNCTION("""COMPUTED_VALUE"""),"Spider ")</f>
        <v>Spider </v>
      </c>
      <c r="S2848" s="12">
        <f t="shared" si="97"/>
        <v>-168469885</v>
      </c>
    </row>
    <row r="2849" spans="1:19" x14ac:dyDescent="0.3">
      <c r="A2849" s="2" t="s">
        <v>69</v>
      </c>
      <c r="B2849" s="2">
        <v>101</v>
      </c>
      <c r="C2849" s="3">
        <v>37567440</v>
      </c>
      <c r="D2849" s="3" t="s">
        <v>520</v>
      </c>
      <c r="E2849" s="2" t="s">
        <v>490</v>
      </c>
      <c r="F2849" s="2" t="s">
        <v>10</v>
      </c>
      <c r="G2849" s="2" t="s">
        <v>11</v>
      </c>
      <c r="H2849" s="2">
        <v>100000000</v>
      </c>
      <c r="I2849" s="2">
        <v>6</v>
      </c>
      <c r="J2849" s="3">
        <v>56437947</v>
      </c>
      <c r="K2849">
        <f t="shared" si="96"/>
        <v>1.3775047412552699E-3</v>
      </c>
      <c r="R2849" s="12" t="str">
        <f ca="1">IFERROR(__xludf.DUMMYFUNCTION("""COMPUTED_VALUE"""),"Gun Shy ")</f>
        <v>Gun Shy </v>
      </c>
      <c r="S2849" s="12">
        <f t="shared" si="97"/>
        <v>9560843</v>
      </c>
    </row>
    <row r="2850" spans="1:19" x14ac:dyDescent="0.3">
      <c r="A2850" s="2" t="s">
        <v>290</v>
      </c>
      <c r="B2850" s="2">
        <v>103</v>
      </c>
      <c r="C2850" s="3">
        <v>3275585</v>
      </c>
      <c r="D2850" s="3" t="s">
        <v>5940</v>
      </c>
      <c r="E2850" s="2" t="s">
        <v>1038</v>
      </c>
      <c r="F2850" s="2" t="s">
        <v>10</v>
      </c>
      <c r="G2850" s="2" t="s">
        <v>11</v>
      </c>
      <c r="H2850" s="2">
        <v>60000000</v>
      </c>
      <c r="I2850" s="2">
        <v>8.1</v>
      </c>
      <c r="J2850" s="3">
        <v>56443482</v>
      </c>
      <c r="K2850">
        <f t="shared" si="96"/>
        <v>1.3775047412552699E-3</v>
      </c>
      <c r="R2850" s="12" t="str">
        <f ca="1">IFERROR(__xludf.DUMMYFUNCTION("""COMPUTED_VALUE"""),"Nicholas Nickleby ")</f>
        <v>Nicholas Nickleby </v>
      </c>
      <c r="S2850" s="12">
        <f t="shared" si="97"/>
        <v>-24569815</v>
      </c>
    </row>
    <row r="2851" spans="1:19" x14ac:dyDescent="0.3">
      <c r="A2851" s="2" t="s">
        <v>2680</v>
      </c>
      <c r="B2851" s="2">
        <v>120</v>
      </c>
      <c r="C2851" s="2">
        <v>5484375</v>
      </c>
      <c r="D2851" s="3" t="s">
        <v>5869</v>
      </c>
      <c r="E2851" s="2" t="s">
        <v>4072</v>
      </c>
      <c r="F2851" s="2" t="s">
        <v>10</v>
      </c>
      <c r="G2851" s="2" t="s">
        <v>11</v>
      </c>
      <c r="H2851" s="2">
        <v>10000000</v>
      </c>
      <c r="I2851" s="2">
        <v>7.3</v>
      </c>
      <c r="J2851" s="3">
        <v>56505065</v>
      </c>
      <c r="K2851">
        <f t="shared" si="96"/>
        <v>1.3775047412552699E-3</v>
      </c>
      <c r="R2851" s="12" t="str">
        <f ca="1">IFERROR(__xludf.DUMMYFUNCTION("""COMPUTED_VALUE"""),"The Iceman ")</f>
        <v>The Iceman </v>
      </c>
      <c r="S2851" s="12">
        <f t="shared" si="97"/>
        <v>-17646272</v>
      </c>
    </row>
    <row r="2852" spans="1:19" x14ac:dyDescent="0.3">
      <c r="A2852" s="2" t="s">
        <v>266</v>
      </c>
      <c r="B2852" s="2">
        <v>116</v>
      </c>
      <c r="C2852" s="3">
        <v>75604320</v>
      </c>
      <c r="D2852" s="3" t="s">
        <v>5940</v>
      </c>
      <c r="E2852" s="2" t="s">
        <v>673</v>
      </c>
      <c r="F2852" s="2" t="s">
        <v>10</v>
      </c>
      <c r="G2852" s="2" t="s">
        <v>11</v>
      </c>
      <c r="H2852" s="2">
        <v>84000000</v>
      </c>
      <c r="I2852" s="2">
        <v>6.7</v>
      </c>
      <c r="J2852" s="3">
        <v>56536016</v>
      </c>
      <c r="K2852">
        <f t="shared" si="96"/>
        <v>1.3775047412552699E-3</v>
      </c>
      <c r="R2852" s="12" t="str">
        <f ca="1">IFERROR(__xludf.DUMMYFUNCTION("""COMPUTED_VALUE"""),"Cecil B. DeMented ")</f>
        <v>Cecil B. DeMented </v>
      </c>
      <c r="S2852" s="12">
        <f t="shared" si="97"/>
        <v>-28703335</v>
      </c>
    </row>
    <row r="2853" spans="1:19" x14ac:dyDescent="0.3">
      <c r="A2853" s="2" t="s">
        <v>1017</v>
      </c>
      <c r="B2853" s="2">
        <v>94</v>
      </c>
      <c r="C2853" s="3">
        <v>6857096</v>
      </c>
      <c r="D2853" s="3" t="s">
        <v>5869</v>
      </c>
      <c r="E2853" s="2" t="s">
        <v>3191</v>
      </c>
      <c r="F2853" s="2" t="s">
        <v>10</v>
      </c>
      <c r="G2853" s="2" t="s">
        <v>11</v>
      </c>
      <c r="H2853" s="2">
        <v>18000000</v>
      </c>
      <c r="I2853" s="2">
        <v>5.7</v>
      </c>
      <c r="J2853" s="3">
        <v>56607223</v>
      </c>
      <c r="K2853">
        <f t="shared" si="96"/>
        <v>1.3775047412552699E-3</v>
      </c>
      <c r="R2853" s="12" t="str">
        <f ca="1">IFERROR(__xludf.DUMMYFUNCTION("""COMPUTED_VALUE"""),"Killer Joe ")</f>
        <v>Killer Joe </v>
      </c>
      <c r="S2853" s="12">
        <f t="shared" si="97"/>
        <v>4281504</v>
      </c>
    </row>
    <row r="2854" spans="1:19" x14ac:dyDescent="0.3">
      <c r="A2854" s="2" t="s">
        <v>4523</v>
      </c>
      <c r="B2854" s="2">
        <v>102</v>
      </c>
      <c r="C2854" s="2">
        <v>26781723</v>
      </c>
      <c r="D2854" s="3" t="s">
        <v>5921</v>
      </c>
      <c r="E2854" s="2" t="s">
        <v>5010</v>
      </c>
      <c r="F2854" s="2" t="s">
        <v>10</v>
      </c>
      <c r="G2854" s="2" t="s">
        <v>11</v>
      </c>
      <c r="H2854" s="2">
        <v>2500000</v>
      </c>
      <c r="I2854" s="2">
        <v>7.6</v>
      </c>
      <c r="J2854" s="3">
        <v>56631572</v>
      </c>
      <c r="K2854">
        <f t="shared" si="96"/>
        <v>1.3775047412552699E-3</v>
      </c>
      <c r="R2854" s="12" t="str">
        <f ca="1">IFERROR(__xludf.DUMMYFUNCTION("""COMPUTED_VALUE"""),"The Joneses ")</f>
        <v>The Joneses </v>
      </c>
      <c r="S2854" s="12">
        <f t="shared" si="97"/>
        <v>-15494078</v>
      </c>
    </row>
    <row r="2855" spans="1:19" x14ac:dyDescent="0.3">
      <c r="A2855" s="2" t="s">
        <v>460</v>
      </c>
      <c r="B2855" s="2">
        <v>107</v>
      </c>
      <c r="C2855" s="3">
        <v>28031250</v>
      </c>
      <c r="D2855" s="3" t="s">
        <v>5940</v>
      </c>
      <c r="E2855" s="2" t="s">
        <v>1767</v>
      </c>
      <c r="F2855" s="2" t="s">
        <v>10</v>
      </c>
      <c r="G2855" s="2" t="s">
        <v>11</v>
      </c>
      <c r="H2855" s="2">
        <v>40000000</v>
      </c>
      <c r="I2855" s="2">
        <v>5.0999999999999996</v>
      </c>
      <c r="J2855" s="3">
        <v>56667870</v>
      </c>
      <c r="K2855">
        <f t="shared" si="96"/>
        <v>1.3775047412552699E-3</v>
      </c>
      <c r="R2855" s="12" t="str">
        <f ca="1">IFERROR(__xludf.DUMMYFUNCTION("""COMPUTED_VALUE"""),"Owning Mahowny ")</f>
        <v>Owning Mahowny </v>
      </c>
      <c r="S2855" s="12">
        <f t="shared" si="97"/>
        <v>-28903416</v>
      </c>
    </row>
    <row r="2856" spans="1:19" x14ac:dyDescent="0.3">
      <c r="A2856" s="2" t="s">
        <v>987</v>
      </c>
      <c r="B2856" s="2">
        <v>178</v>
      </c>
      <c r="C2856" s="3">
        <v>982214</v>
      </c>
      <c r="D2856" s="3" t="s">
        <v>5849</v>
      </c>
      <c r="E2856" s="2" t="s">
        <v>1691</v>
      </c>
      <c r="F2856" s="2" t="s">
        <v>10</v>
      </c>
      <c r="G2856" s="2" t="s">
        <v>11</v>
      </c>
      <c r="H2856" s="2">
        <v>40000000</v>
      </c>
      <c r="I2856" s="2">
        <v>7.7</v>
      </c>
      <c r="J2856" s="3">
        <v>56684819</v>
      </c>
      <c r="K2856">
        <f t="shared" si="96"/>
        <v>1.3775047412552699E-3</v>
      </c>
      <c r="R2856" s="12" t="str">
        <f ca="1">IFERROR(__xludf.DUMMYFUNCTION("""COMPUTED_VALUE"""),"The Brothers Solomon ")</f>
        <v>The Brothers Solomon </v>
      </c>
      <c r="S2856" s="12">
        <f t="shared" si="97"/>
        <v>5263130</v>
      </c>
    </row>
    <row r="2857" spans="1:19" x14ac:dyDescent="0.3">
      <c r="A2857" s="2" t="s">
        <v>290</v>
      </c>
      <c r="B2857" s="2">
        <v>128</v>
      </c>
      <c r="C2857" s="3">
        <v>3193102</v>
      </c>
      <c r="D2857" s="3" t="s">
        <v>6077</v>
      </c>
      <c r="E2857" s="2" t="s">
        <v>3301</v>
      </c>
      <c r="F2857" s="2" t="s">
        <v>10</v>
      </c>
      <c r="G2857" s="2" t="s">
        <v>11</v>
      </c>
      <c r="H2857" s="2">
        <v>16400000</v>
      </c>
      <c r="I2857" s="2">
        <v>8</v>
      </c>
      <c r="J2857" s="3">
        <v>56702901</v>
      </c>
      <c r="K2857">
        <f t="shared" si="96"/>
        <v>1.3775047412552699E-3</v>
      </c>
      <c r="R2857" s="12" t="str">
        <f ca="1">IFERROR(__xludf.DUMMYFUNCTION("""COMPUTED_VALUE"""),"My Blueberry Nights ")</f>
        <v>My Blueberry Nights </v>
      </c>
      <c r="S2857" s="12">
        <f t="shared" si="97"/>
        <v>-30749202</v>
      </c>
    </row>
    <row r="2858" spans="1:19" x14ac:dyDescent="0.3">
      <c r="A2858" s="2" t="s">
        <v>4279</v>
      </c>
      <c r="B2858" s="2">
        <v>111</v>
      </c>
      <c r="C2858" s="3">
        <v>51019112</v>
      </c>
      <c r="D2858" s="3" t="s">
        <v>5767</v>
      </c>
      <c r="E2858" s="2" t="s">
        <v>4280</v>
      </c>
      <c r="F2858" s="2" t="s">
        <v>751</v>
      </c>
      <c r="G2858" s="2" t="s">
        <v>504</v>
      </c>
      <c r="H2858" s="2">
        <v>8000000</v>
      </c>
      <c r="I2858" s="2">
        <v>7.1</v>
      </c>
      <c r="J2858" s="3">
        <v>56715371</v>
      </c>
      <c r="K2858">
        <f t="shared" si="96"/>
        <v>1.3775047412552699E-3</v>
      </c>
      <c r="R2858" s="12" t="str">
        <f ca="1">IFERROR(__xludf.DUMMYFUNCTION("""COMPUTED_VALUE"""),"Swept Away ")</f>
        <v>Swept Away </v>
      </c>
      <c r="S2858" s="12">
        <f t="shared" si="97"/>
        <v>5781235</v>
      </c>
    </row>
    <row r="2859" spans="1:19" x14ac:dyDescent="0.3">
      <c r="A2859" s="2" t="s">
        <v>424</v>
      </c>
      <c r="B2859" s="2">
        <v>133</v>
      </c>
      <c r="C2859" s="3">
        <v>6002756</v>
      </c>
      <c r="D2859" s="3" t="s">
        <v>520</v>
      </c>
      <c r="E2859" s="2" t="s">
        <v>2779</v>
      </c>
      <c r="F2859" s="2" t="s">
        <v>10</v>
      </c>
      <c r="G2859" s="2" t="s">
        <v>16</v>
      </c>
      <c r="H2859" s="2">
        <v>22000000</v>
      </c>
      <c r="I2859" s="2">
        <v>7</v>
      </c>
      <c r="J2859" s="3">
        <v>56724080</v>
      </c>
      <c r="K2859">
        <f t="shared" si="96"/>
        <v>1.3775047412552699E-3</v>
      </c>
      <c r="R2859" s="12" t="str">
        <f ca="1">IFERROR(__xludf.DUMMYFUNCTION("""COMPUTED_VALUE"""),"War, Inc. ")</f>
        <v>War, Inc. </v>
      </c>
      <c r="S2859" s="12">
        <f t="shared" si="97"/>
        <v>14432423</v>
      </c>
    </row>
    <row r="2860" spans="1:19" x14ac:dyDescent="0.3">
      <c r="A2860" s="2" t="s">
        <v>133</v>
      </c>
      <c r="B2860" s="2">
        <v>109</v>
      </c>
      <c r="C2860" s="3">
        <v>50807639</v>
      </c>
      <c r="D2860" s="3" t="s">
        <v>5753</v>
      </c>
      <c r="E2860" s="2" t="s">
        <v>3416</v>
      </c>
      <c r="F2860" s="2" t="s">
        <v>10</v>
      </c>
      <c r="G2860" s="2" t="s">
        <v>11</v>
      </c>
      <c r="H2860" s="3">
        <v>38105077</v>
      </c>
      <c r="I2860" s="2">
        <v>7.7</v>
      </c>
      <c r="J2860" s="3">
        <v>56729973</v>
      </c>
      <c r="K2860">
        <f t="shared" si="96"/>
        <v>1.3775047412552699E-3</v>
      </c>
      <c r="R2860" s="12" t="str">
        <f ca="1">IFERROR(__xludf.DUMMYFUNCTION("""COMPUTED_VALUE"""),"Shaolin Soccer ")</f>
        <v>Shaolin Soccer </v>
      </c>
      <c r="S2860" s="12">
        <f t="shared" si="97"/>
        <v>-48134226</v>
      </c>
    </row>
    <row r="2861" spans="1:19" x14ac:dyDescent="0.3">
      <c r="A2861" s="2" t="s">
        <v>3868</v>
      </c>
      <c r="B2861" s="2">
        <v>120</v>
      </c>
      <c r="C2861" s="3">
        <v>17174870</v>
      </c>
      <c r="D2861" s="3" t="s">
        <v>5767</v>
      </c>
      <c r="E2861" s="2" t="s">
        <v>3869</v>
      </c>
      <c r="F2861" s="2" t="s">
        <v>10</v>
      </c>
      <c r="G2861" s="2" t="s">
        <v>199</v>
      </c>
      <c r="H2861" s="2">
        <v>12000000</v>
      </c>
      <c r="I2861" s="2">
        <v>7.5</v>
      </c>
      <c r="J2861" s="3">
        <v>56816662</v>
      </c>
      <c r="K2861">
        <f t="shared" si="96"/>
        <v>1.3775047412552699E-3</v>
      </c>
      <c r="R2861" s="12" t="str">
        <f ca="1">IFERROR(__xludf.DUMMYFUNCTION("""COMPUTED_VALUE"""),"The Brown Bunny ")</f>
        <v>The Brown Bunny </v>
      </c>
      <c r="S2861" s="12">
        <f t="shared" si="97"/>
        <v>235901</v>
      </c>
    </row>
    <row r="2862" spans="1:19" x14ac:dyDescent="0.3">
      <c r="A2862" s="2" t="s">
        <v>45</v>
      </c>
      <c r="B2862" s="2">
        <v>135</v>
      </c>
      <c r="C2862" s="3">
        <v>13684949</v>
      </c>
      <c r="D2862" s="3" t="s">
        <v>6163</v>
      </c>
      <c r="E2862" s="2" t="s">
        <v>530</v>
      </c>
      <c r="F2862" s="2" t="s">
        <v>10</v>
      </c>
      <c r="G2862" s="2" t="s">
        <v>11</v>
      </c>
      <c r="H2862" s="2">
        <v>65000000</v>
      </c>
      <c r="I2862" s="2">
        <v>6.7</v>
      </c>
      <c r="J2862" s="3">
        <v>56876365</v>
      </c>
      <c r="K2862">
        <f t="shared" si="96"/>
        <v>1.3775047412552699E-3</v>
      </c>
      <c r="R2862" s="12" t="str">
        <f ca="1">IFERROR(__xludf.DUMMYFUNCTION("""COMPUTED_VALUE"""),"The Swindle ")</f>
        <v>The Swindle </v>
      </c>
      <c r="S2862" s="12">
        <f t="shared" si="97"/>
        <v>-46796956</v>
      </c>
    </row>
    <row r="2863" spans="1:19" x14ac:dyDescent="0.3">
      <c r="A2863" s="2" t="s">
        <v>1165</v>
      </c>
      <c r="B2863" s="2">
        <v>93</v>
      </c>
      <c r="C2863" s="3">
        <v>4463292</v>
      </c>
      <c r="D2863" s="3" t="s">
        <v>5844</v>
      </c>
      <c r="E2863" s="2" t="s">
        <v>4800</v>
      </c>
      <c r="F2863" s="2" t="s">
        <v>10</v>
      </c>
      <c r="G2863" s="2" t="s">
        <v>11</v>
      </c>
      <c r="H2863" s="2">
        <v>4000000</v>
      </c>
      <c r="I2863" s="2">
        <v>6.5</v>
      </c>
      <c r="J2863" s="3">
        <v>56932305</v>
      </c>
      <c r="K2863">
        <f t="shared" si="96"/>
        <v>1.3775047412552699E-3</v>
      </c>
      <c r="R2863" s="12" t="str">
        <f ca="1">IFERROR(__xludf.DUMMYFUNCTION("""COMPUTED_VALUE"""),"Rosewater ")</f>
        <v>Rosewater </v>
      </c>
      <c r="S2863" s="12">
        <f t="shared" si="97"/>
        <v>15120019</v>
      </c>
    </row>
    <row r="2864" spans="1:19" x14ac:dyDescent="0.3">
      <c r="A2864" s="2" t="s">
        <v>1225</v>
      </c>
      <c r="B2864" s="2">
        <v>110</v>
      </c>
      <c r="C2864" s="3">
        <v>617172</v>
      </c>
      <c r="D2864" s="3" t="s">
        <v>6004</v>
      </c>
      <c r="E2864" s="2" t="s">
        <v>1226</v>
      </c>
      <c r="F2864" s="2" t="s">
        <v>10</v>
      </c>
      <c r="G2864" s="2" t="s">
        <v>11</v>
      </c>
      <c r="H2864" s="2">
        <v>55000000</v>
      </c>
      <c r="I2864" s="2">
        <v>6.6</v>
      </c>
      <c r="J2864" s="3">
        <v>57010853</v>
      </c>
      <c r="K2864">
        <f t="shared" si="96"/>
        <v>1.3775047412552699E-3</v>
      </c>
      <c r="R2864" s="12" t="str">
        <f ca="1">IFERROR(__xludf.DUMMYFUNCTION("""COMPUTED_VALUE"""),"Imaginary Heroes ")</f>
        <v>Imaginary Heroes </v>
      </c>
      <c r="S2864" s="12">
        <f t="shared" si="97"/>
        <v>-62699111</v>
      </c>
    </row>
    <row r="2865" spans="1:19" x14ac:dyDescent="0.3">
      <c r="A2865" s="2" t="s">
        <v>1130</v>
      </c>
      <c r="B2865" s="2">
        <v>111</v>
      </c>
      <c r="C2865" s="3">
        <v>10300000</v>
      </c>
      <c r="D2865" s="3" t="s">
        <v>6409</v>
      </c>
      <c r="E2865" s="2" t="s">
        <v>1786</v>
      </c>
      <c r="F2865" s="2" t="s">
        <v>10</v>
      </c>
      <c r="G2865" s="2" t="s">
        <v>11</v>
      </c>
      <c r="H2865" s="2">
        <v>40000000</v>
      </c>
      <c r="I2865" s="2">
        <v>6.2</v>
      </c>
      <c r="J2865" s="3">
        <v>57011847</v>
      </c>
      <c r="K2865">
        <f t="shared" si="96"/>
        <v>1.3775047412552699E-3</v>
      </c>
      <c r="R2865" s="12" t="str">
        <f ca="1">IFERROR(__xludf.DUMMYFUNCTION("""COMPUTED_VALUE"""),"High Heels and Low Lifes ")</f>
        <v>High Heels and Low Lifes </v>
      </c>
      <c r="S2865" s="12">
        <f t="shared" si="97"/>
        <v>-56809475</v>
      </c>
    </row>
    <row r="2866" spans="1:19" x14ac:dyDescent="0.3">
      <c r="A2866" s="2" t="s">
        <v>613</v>
      </c>
      <c r="B2866" s="2">
        <v>100</v>
      </c>
      <c r="C2866" s="3">
        <v>56729973</v>
      </c>
      <c r="D2866" s="3" t="s">
        <v>5884</v>
      </c>
      <c r="E2866" s="2" t="s">
        <v>1978</v>
      </c>
      <c r="F2866" s="2" t="s">
        <v>10</v>
      </c>
      <c r="G2866" s="2" t="s">
        <v>16</v>
      </c>
      <c r="H2866" s="2">
        <v>33000000</v>
      </c>
      <c r="I2866" s="2">
        <v>6.7</v>
      </c>
      <c r="J2866" s="3">
        <v>57176582</v>
      </c>
      <c r="K2866">
        <f t="shared" si="96"/>
        <v>1.3775047412552699E-3</v>
      </c>
      <c r="R2866" s="12" t="str">
        <f ca="1">IFERROR(__xludf.DUMMYFUNCTION("""COMPUTED_VALUE"""),"Severance ")</f>
        <v>Severance </v>
      </c>
      <c r="S2866" s="12">
        <f t="shared" si="97"/>
        <v>-2828012</v>
      </c>
    </row>
    <row r="2867" spans="1:19" x14ac:dyDescent="0.3">
      <c r="A2867" s="2" t="s">
        <v>1748</v>
      </c>
      <c r="B2867" s="2">
        <v>97</v>
      </c>
      <c r="C2867" s="3">
        <v>25078937</v>
      </c>
      <c r="D2867" s="3" t="s">
        <v>5767</v>
      </c>
      <c r="E2867" s="2" t="s">
        <v>3092</v>
      </c>
      <c r="F2867" s="2" t="s">
        <v>10</v>
      </c>
      <c r="G2867" s="2" t="s">
        <v>11</v>
      </c>
      <c r="H2867" s="2">
        <v>20000000</v>
      </c>
      <c r="I2867" s="2">
        <v>5.7</v>
      </c>
      <c r="J2867" s="3">
        <v>57262492</v>
      </c>
      <c r="K2867">
        <f t="shared" si="96"/>
        <v>1.3775047412552699E-3</v>
      </c>
      <c r="R2867" s="12" t="str">
        <f ca="1">IFERROR(__xludf.DUMMYFUNCTION("""COMPUTED_VALUE"""),"Edmond ")</f>
        <v>Edmond </v>
      </c>
      <c r="S2867" s="12">
        <f t="shared" si="97"/>
        <v>10279955</v>
      </c>
    </row>
    <row r="2868" spans="1:19" x14ac:dyDescent="0.3">
      <c r="A2868" s="2" t="s">
        <v>29</v>
      </c>
      <c r="B2868" s="2">
        <v>183</v>
      </c>
      <c r="C2868" s="2">
        <v>330249062</v>
      </c>
      <c r="D2868" s="3" t="s">
        <v>6288</v>
      </c>
      <c r="E2868" s="2" t="s">
        <v>30</v>
      </c>
      <c r="F2868" s="2" t="s">
        <v>10</v>
      </c>
      <c r="G2868" s="2" t="s">
        <v>11</v>
      </c>
      <c r="H2868" s="2">
        <v>250000000</v>
      </c>
      <c r="I2868" s="2">
        <v>6.9</v>
      </c>
      <c r="J2868" s="3">
        <v>57300000</v>
      </c>
      <c r="K2868">
        <f t="shared" si="96"/>
        <v>1.3775047412552699E-3</v>
      </c>
      <c r="R2868" s="12" t="str">
        <f ca="1">IFERROR(__xludf.DUMMYFUNCTION("""COMPUTED_VALUE"""),"Police Academy: Mission to Moscow ")</f>
        <v>Police Academy: Mission to Moscow </v>
      </c>
      <c r="S2868" s="12">
        <f t="shared" si="97"/>
        <v>18133159</v>
      </c>
    </row>
    <row r="2869" spans="1:19" x14ac:dyDescent="0.3">
      <c r="A2869" s="2" t="s">
        <v>3779</v>
      </c>
      <c r="B2869" s="2">
        <v>92</v>
      </c>
      <c r="C2869" s="3">
        <v>7691700</v>
      </c>
      <c r="D2869" s="3" t="s">
        <v>6163</v>
      </c>
      <c r="E2869" s="2" t="s">
        <v>4334</v>
      </c>
      <c r="F2869" s="2" t="s">
        <v>10</v>
      </c>
      <c r="G2869" s="2" t="s">
        <v>11</v>
      </c>
      <c r="H2869" s="2">
        <v>8000000</v>
      </c>
      <c r="I2869" s="2">
        <v>6.2</v>
      </c>
      <c r="J2869" s="3">
        <v>57362581</v>
      </c>
      <c r="K2869">
        <f t="shared" si="96"/>
        <v>1.3775047412552699E-3</v>
      </c>
      <c r="R2869" s="12" t="str">
        <f ca="1">IFERROR(__xludf.DUMMYFUNCTION("""COMPUTED_VALUE"""),"Cinco de Mayo, La Batalla ")</f>
        <v>Cinco de Mayo, La Batalla </v>
      </c>
      <c r="S2869" s="12">
        <f t="shared" si="97"/>
        <v>-51935774</v>
      </c>
    </row>
    <row r="2870" spans="1:19" x14ac:dyDescent="0.3">
      <c r="A2870" s="2" t="s">
        <v>1301</v>
      </c>
      <c r="B2870" s="2">
        <v>139</v>
      </c>
      <c r="C2870" s="3">
        <v>274661</v>
      </c>
      <c r="D2870" s="3" t="s">
        <v>6051</v>
      </c>
      <c r="E2870" s="2" t="s">
        <v>2041</v>
      </c>
      <c r="F2870" s="2" t="s">
        <v>10</v>
      </c>
      <c r="G2870" s="2" t="s">
        <v>11</v>
      </c>
      <c r="H2870" s="2">
        <v>32000000</v>
      </c>
      <c r="I2870" s="2">
        <v>6.7</v>
      </c>
      <c r="J2870" s="3">
        <v>57366262</v>
      </c>
      <c r="K2870">
        <f t="shared" si="96"/>
        <v>1.3775047412552699E-3</v>
      </c>
      <c r="R2870" s="12" t="str">
        <f ca="1">IFERROR(__xludf.DUMMYFUNCTION("""COMPUTED_VALUE"""),"An Alan Smithee Film: Burn Hollywood Burn ")</f>
        <v>An Alan Smithee Film: Burn Hollywood Burn </v>
      </c>
      <c r="S2870" s="12">
        <f t="shared" si="97"/>
        <v>20911262</v>
      </c>
    </row>
    <row r="2871" spans="1:19" x14ac:dyDescent="0.3">
      <c r="A2871" s="2" t="s">
        <v>2169</v>
      </c>
      <c r="B2871" s="2">
        <v>101</v>
      </c>
      <c r="C2871" s="3">
        <v>5000000</v>
      </c>
      <c r="D2871" s="3" t="s">
        <v>6346</v>
      </c>
      <c r="E2871" s="2" t="s">
        <v>5557</v>
      </c>
      <c r="F2871" s="2" t="s">
        <v>10</v>
      </c>
      <c r="G2871" s="2" t="s">
        <v>11</v>
      </c>
      <c r="H2871" s="2">
        <v>35000000</v>
      </c>
      <c r="I2871" s="2">
        <v>6.1</v>
      </c>
      <c r="J2871" s="3">
        <v>57386369</v>
      </c>
      <c r="K2871">
        <f t="shared" si="96"/>
        <v>1.3775047412552699E-3</v>
      </c>
      <c r="R2871" s="12" t="str">
        <f ca="1">IFERROR(__xludf.DUMMYFUNCTION("""COMPUTED_VALUE"""),"The Open Road ")</f>
        <v>The Open Road </v>
      </c>
      <c r="S2871" s="12">
        <f t="shared" si="97"/>
        <v>-62432560</v>
      </c>
    </row>
    <row r="2872" spans="1:19" x14ac:dyDescent="0.3">
      <c r="A2872" s="2" t="s">
        <v>3231</v>
      </c>
      <c r="B2872" s="2">
        <v>93</v>
      </c>
      <c r="C2872" s="3">
        <v>49024969</v>
      </c>
      <c r="D2872" s="3" t="s">
        <v>5753</v>
      </c>
      <c r="E2872" s="2" t="s">
        <v>3232</v>
      </c>
      <c r="F2872" s="2" t="s">
        <v>10</v>
      </c>
      <c r="G2872" s="2" t="s">
        <v>11</v>
      </c>
      <c r="H2872" s="2">
        <v>17500000</v>
      </c>
      <c r="I2872" s="2">
        <v>4.4000000000000004</v>
      </c>
      <c r="J2872" s="3">
        <v>57469179</v>
      </c>
      <c r="K2872">
        <f t="shared" si="96"/>
        <v>1.3775047412552699E-3</v>
      </c>
      <c r="R2872" s="12" t="str">
        <f ca="1">IFERROR(__xludf.DUMMYFUNCTION("""COMPUTED_VALUE"""),"The Good Guy ")</f>
        <v>The Good Guy </v>
      </c>
      <c r="S2872" s="12">
        <f t="shared" si="97"/>
        <v>-56724415</v>
      </c>
    </row>
    <row r="2873" spans="1:19" x14ac:dyDescent="0.3">
      <c r="A2873" s="2" t="s">
        <v>3533</v>
      </c>
      <c r="B2873" s="2">
        <v>103</v>
      </c>
      <c r="C2873" s="3">
        <v>68525609</v>
      </c>
      <c r="D2873" s="3" t="s">
        <v>6128</v>
      </c>
      <c r="E2873" s="2" t="s">
        <v>3883</v>
      </c>
      <c r="F2873" s="2" t="s">
        <v>10</v>
      </c>
      <c r="G2873" s="2" t="s">
        <v>11</v>
      </c>
      <c r="H2873" s="2">
        <v>11500000</v>
      </c>
      <c r="I2873" s="2">
        <v>6.6</v>
      </c>
      <c r="J2873" s="3">
        <v>57504069</v>
      </c>
      <c r="K2873">
        <f t="shared" si="96"/>
        <v>1.3775047412552699E-3</v>
      </c>
      <c r="R2873" s="12" t="str">
        <f ca="1">IFERROR(__xludf.DUMMYFUNCTION("""COMPUTED_VALUE"""),"Motherhood ")</f>
        <v>Motherhood </v>
      </c>
      <c r="S2873" s="12">
        <f t="shared" si="97"/>
        <v>-4515625</v>
      </c>
    </row>
    <row r="2874" spans="1:19" x14ac:dyDescent="0.3">
      <c r="A2874" s="2" t="s">
        <v>774</v>
      </c>
      <c r="B2874" s="2">
        <v>98</v>
      </c>
      <c r="C2874" s="3">
        <v>136432</v>
      </c>
      <c r="D2874" s="3" t="s">
        <v>5940</v>
      </c>
      <c r="E2874" s="2" t="s">
        <v>775</v>
      </c>
      <c r="F2874" s="2" t="s">
        <v>10</v>
      </c>
      <c r="G2874" s="2" t="s">
        <v>11</v>
      </c>
      <c r="H2874" s="2">
        <v>76000000</v>
      </c>
      <c r="I2874" s="2">
        <v>7.5</v>
      </c>
      <c r="J2874" s="3">
        <v>57637485</v>
      </c>
      <c r="K2874">
        <f t="shared" si="96"/>
        <v>1.3775047412552699E-3</v>
      </c>
      <c r="R2874" s="12" t="str">
        <f ca="1">IFERROR(__xludf.DUMMYFUNCTION("""COMPUTED_VALUE"""),"Blonde Ambition ")</f>
        <v>Blonde Ambition </v>
      </c>
      <c r="S2874" s="12">
        <f t="shared" si="97"/>
        <v>-8395680</v>
      </c>
    </row>
    <row r="2875" spans="1:19" x14ac:dyDescent="0.3">
      <c r="A2875" s="2" t="s">
        <v>3742</v>
      </c>
      <c r="B2875" s="2">
        <v>101</v>
      </c>
      <c r="C2875" s="3">
        <v>13876974</v>
      </c>
      <c r="D2875" s="3" t="s">
        <v>6195</v>
      </c>
      <c r="E2875" s="2" t="s">
        <v>3743</v>
      </c>
      <c r="F2875" s="2" t="s">
        <v>10</v>
      </c>
      <c r="G2875" s="2" t="s">
        <v>11</v>
      </c>
      <c r="H2875" s="2">
        <v>16000000</v>
      </c>
      <c r="I2875" s="2">
        <v>5.0999999999999996</v>
      </c>
      <c r="J2875" s="3">
        <v>57651794</v>
      </c>
      <c r="K2875">
        <f t="shared" si="96"/>
        <v>1.3775047412552699E-3</v>
      </c>
      <c r="R2875" s="12" t="str">
        <f ca="1">IFERROR(__xludf.DUMMYFUNCTION("""COMPUTED_VALUE"""),"The Oxford Murders ")</f>
        <v>The Oxford Murders </v>
      </c>
      <c r="S2875" s="12">
        <f t="shared" si="97"/>
        <v>-11142904</v>
      </c>
    </row>
    <row r="2876" spans="1:19" x14ac:dyDescent="0.3">
      <c r="A2876" s="2" t="s">
        <v>3888</v>
      </c>
      <c r="B2876" s="2">
        <v>109</v>
      </c>
      <c r="C2876" s="3">
        <v>15738632</v>
      </c>
      <c r="D2876" s="3" t="s">
        <v>5964</v>
      </c>
      <c r="E2876" s="2" t="s">
        <v>3889</v>
      </c>
      <c r="F2876" s="2" t="s">
        <v>10</v>
      </c>
      <c r="G2876" s="2" t="s">
        <v>11</v>
      </c>
      <c r="H2876" s="2">
        <v>11500000</v>
      </c>
      <c r="I2876" s="2">
        <v>6</v>
      </c>
      <c r="J2876" s="3">
        <v>57744720</v>
      </c>
      <c r="K2876">
        <f t="shared" si="96"/>
        <v>1.3775047412552699E-3</v>
      </c>
      <c r="R2876" s="12" t="str">
        <f ca="1">IFERROR(__xludf.DUMMYFUNCTION("""COMPUTED_VALUE"""),"Eulogy ")</f>
        <v>Eulogy </v>
      </c>
      <c r="S2876" s="12">
        <f t="shared" si="97"/>
        <v>24281723</v>
      </c>
    </row>
    <row r="2877" spans="1:19" x14ac:dyDescent="0.3">
      <c r="A2877" s="2" t="s">
        <v>4527</v>
      </c>
      <c r="B2877" s="2">
        <v>95</v>
      </c>
      <c r="C2877" s="3">
        <v>8888143</v>
      </c>
      <c r="D2877" s="3" t="s">
        <v>5920</v>
      </c>
      <c r="E2877" s="2" t="s">
        <v>4528</v>
      </c>
      <c r="F2877" s="2" t="s">
        <v>10</v>
      </c>
      <c r="G2877" s="2" t="s">
        <v>11</v>
      </c>
      <c r="H2877" s="2">
        <v>6000000</v>
      </c>
      <c r="I2877" s="2">
        <v>7.8</v>
      </c>
      <c r="J2877" s="3">
        <v>57750000</v>
      </c>
      <c r="K2877">
        <f t="shared" si="96"/>
        <v>1.3775047412552699E-3</v>
      </c>
      <c r="R2877" s="12" t="str">
        <f ca="1">IFERROR(__xludf.DUMMYFUNCTION("""COMPUTED_VALUE"""),"Of Horses and Men ")</f>
        <v>Of Horses and Men </v>
      </c>
      <c r="S2877" s="12">
        <f t="shared" si="97"/>
        <v>-11968750</v>
      </c>
    </row>
    <row r="2878" spans="1:19" x14ac:dyDescent="0.3">
      <c r="A2878" s="2" t="s">
        <v>1212</v>
      </c>
      <c r="B2878" s="2">
        <v>112</v>
      </c>
      <c r="C2878" s="2">
        <v>38360195</v>
      </c>
      <c r="D2878" s="3" t="s">
        <v>5849</v>
      </c>
      <c r="E2878" s="2" t="s">
        <v>1545</v>
      </c>
      <c r="F2878" s="2" t="s">
        <v>10</v>
      </c>
      <c r="G2878" s="2" t="s">
        <v>11</v>
      </c>
      <c r="H2878" s="2">
        <v>45000000</v>
      </c>
      <c r="I2878" s="2">
        <v>6.4</v>
      </c>
      <c r="J2878" s="3">
        <v>57859105</v>
      </c>
      <c r="K2878">
        <f t="shared" si="96"/>
        <v>1.3775047412552699E-3</v>
      </c>
      <c r="R2878" s="12" t="str">
        <f ca="1">IFERROR(__xludf.DUMMYFUNCTION("""COMPUTED_VALUE"""),"The Good, the Bad, the Weird ")</f>
        <v>The Good, the Bad, the Weird </v>
      </c>
      <c r="S2878" s="12">
        <f t="shared" si="97"/>
        <v>-39017786</v>
      </c>
    </row>
    <row r="2879" spans="1:19" x14ac:dyDescent="0.3">
      <c r="A2879" s="2" t="s">
        <v>5277</v>
      </c>
      <c r="B2879" s="2">
        <v>110</v>
      </c>
      <c r="C2879" s="3">
        <v>10198766</v>
      </c>
      <c r="D2879" s="3" t="s">
        <v>6046</v>
      </c>
      <c r="E2879" s="2" t="s">
        <v>5278</v>
      </c>
      <c r="F2879" s="2" t="s">
        <v>10</v>
      </c>
      <c r="G2879" s="2" t="s">
        <v>71</v>
      </c>
      <c r="H2879" s="2">
        <v>1100000</v>
      </c>
      <c r="I2879" s="2">
        <v>6.1</v>
      </c>
      <c r="J2879" s="3">
        <v>57887882</v>
      </c>
      <c r="K2879">
        <f t="shared" si="96"/>
        <v>1.3775047412552699E-3</v>
      </c>
      <c r="R2879" s="12" t="str">
        <f ca="1">IFERROR(__xludf.DUMMYFUNCTION("""COMPUTED_VALUE"""),"The Lost City ")</f>
        <v>The Lost City </v>
      </c>
      <c r="S2879" s="12">
        <f t="shared" si="97"/>
        <v>-13206898</v>
      </c>
    </row>
    <row r="2880" spans="1:19" x14ac:dyDescent="0.3">
      <c r="A2880" s="2" t="s">
        <v>454</v>
      </c>
      <c r="B2880" s="2">
        <v>110</v>
      </c>
      <c r="C2880" s="3">
        <v>10246600</v>
      </c>
      <c r="D2880" s="3" t="s">
        <v>6041</v>
      </c>
      <c r="E2880" s="2" t="s">
        <v>3379</v>
      </c>
      <c r="F2880" s="2" t="s">
        <v>10</v>
      </c>
      <c r="G2880" s="2" t="s">
        <v>11</v>
      </c>
      <c r="H2880" s="2">
        <v>15000000</v>
      </c>
      <c r="I2880" s="2">
        <v>6.9</v>
      </c>
      <c r="J2880" s="3">
        <v>57981889</v>
      </c>
      <c r="K2880">
        <f t="shared" si="96"/>
        <v>1.3775047412552699E-3</v>
      </c>
      <c r="R2880" s="12" t="str">
        <f ca="1">IFERROR(__xludf.DUMMYFUNCTION("""COMPUTED_VALUE"""),"Next Friday ")</f>
        <v>Next Friday </v>
      </c>
      <c r="S2880" s="12">
        <f t="shared" si="97"/>
        <v>43019112</v>
      </c>
    </row>
    <row r="2881" spans="1:19" x14ac:dyDescent="0.3">
      <c r="A2881" s="2" t="s">
        <v>401</v>
      </c>
      <c r="B2881" s="2">
        <v>123</v>
      </c>
      <c r="C2881" s="3">
        <v>34468224</v>
      </c>
      <c r="D2881" s="3" t="s">
        <v>5910</v>
      </c>
      <c r="E2881" s="2" t="s">
        <v>660</v>
      </c>
      <c r="F2881" s="2" t="s">
        <v>10</v>
      </c>
      <c r="G2881" s="2" t="s">
        <v>11</v>
      </c>
      <c r="H2881" s="2">
        <v>82000000</v>
      </c>
      <c r="I2881" s="2">
        <v>5.9</v>
      </c>
      <c r="J2881" s="3">
        <v>58006147</v>
      </c>
      <c r="K2881">
        <f t="shared" si="96"/>
        <v>1.3775047412552699E-3</v>
      </c>
      <c r="R2881" s="12" t="str">
        <f ca="1">IFERROR(__xludf.DUMMYFUNCTION("""COMPUTED_VALUE"""),"You Only Live Twice ")</f>
        <v>You Only Live Twice </v>
      </c>
      <c r="S2881" s="12">
        <f t="shared" si="97"/>
        <v>-15997244</v>
      </c>
    </row>
    <row r="2882" spans="1:19" x14ac:dyDescent="0.3">
      <c r="A2882" s="2" t="s">
        <v>268</v>
      </c>
      <c r="B2882" s="2">
        <v>122</v>
      </c>
      <c r="C2882" s="3">
        <v>17114882</v>
      </c>
      <c r="D2882" s="3" t="s">
        <v>1703</v>
      </c>
      <c r="E2882" s="2" t="s">
        <v>2333</v>
      </c>
      <c r="F2882" s="2" t="s">
        <v>10</v>
      </c>
      <c r="G2882" s="2" t="s">
        <v>11</v>
      </c>
      <c r="H2882" s="2">
        <v>18000000</v>
      </c>
      <c r="I2882" s="2">
        <v>7.9</v>
      </c>
      <c r="J2882" s="3">
        <v>58156435</v>
      </c>
      <c r="K2882">
        <f t="shared" ref="K2882:K2945" si="98">CORREL(H$2:H$3941,J$2:J$3941)</f>
        <v>1.3775047412552699E-3</v>
      </c>
      <c r="R2882" s="12" t="str">
        <f ca="1">IFERROR(__xludf.DUMMYFUNCTION("""COMPUTED_VALUE"""),"Amour ")</f>
        <v>Amour </v>
      </c>
      <c r="S2882" s="12">
        <f t="shared" si="97"/>
        <v>12702562</v>
      </c>
    </row>
    <row r="2883" spans="1:19" x14ac:dyDescent="0.3">
      <c r="A2883" s="2" t="s">
        <v>21</v>
      </c>
      <c r="B2883" s="2">
        <v>135</v>
      </c>
      <c r="C2883" s="3">
        <v>199228</v>
      </c>
      <c r="D2883" s="3" t="s">
        <v>6410</v>
      </c>
      <c r="E2883" s="2" t="s">
        <v>64</v>
      </c>
      <c r="F2883" s="2" t="s">
        <v>10</v>
      </c>
      <c r="G2883" s="2" t="s">
        <v>11</v>
      </c>
      <c r="H2883" s="2">
        <v>200000000</v>
      </c>
      <c r="I2883" s="2">
        <v>7.3</v>
      </c>
      <c r="J2883" s="3">
        <v>58183966</v>
      </c>
      <c r="K2883">
        <f t="shared" si="98"/>
        <v>1.3775047412552699E-3</v>
      </c>
      <c r="R2883" s="12" t="str">
        <f ca="1">IFERROR(__xludf.DUMMYFUNCTION("""COMPUTED_VALUE"""),"Poltergeist III ")</f>
        <v>Poltergeist III </v>
      </c>
      <c r="S2883" s="12">
        <f t="shared" si="97"/>
        <v>5174870</v>
      </c>
    </row>
    <row r="2884" spans="1:19" x14ac:dyDescent="0.3">
      <c r="A2884" s="2" t="s">
        <v>2304</v>
      </c>
      <c r="B2884" s="2">
        <v>90</v>
      </c>
      <c r="C2884" s="2">
        <v>489220</v>
      </c>
      <c r="D2884" s="3" t="s">
        <v>5778</v>
      </c>
      <c r="E2884" s="2" t="s">
        <v>5597</v>
      </c>
      <c r="F2884" s="2" t="s">
        <v>10</v>
      </c>
      <c r="G2884" s="2" t="s">
        <v>71</v>
      </c>
      <c r="H2884" s="2">
        <v>365000</v>
      </c>
      <c r="I2884" s="2">
        <v>7.3</v>
      </c>
      <c r="J2884" s="3">
        <v>58220776</v>
      </c>
      <c r="K2884">
        <f t="shared" si="98"/>
        <v>1.3775047412552699E-3</v>
      </c>
      <c r="R2884" s="12" t="str">
        <f ca="1">IFERROR(__xludf.DUMMYFUNCTION("""COMPUTED_VALUE"""),"It's a Mad, Mad, Mad, Mad World ")</f>
        <v>It's a Mad, Mad, Mad, Mad World </v>
      </c>
      <c r="S2884" s="12">
        <f t="shared" si="97"/>
        <v>-51315051</v>
      </c>
    </row>
    <row r="2885" spans="1:19" x14ac:dyDescent="0.3">
      <c r="A2885" s="2" t="s">
        <v>14</v>
      </c>
      <c r="B2885" s="2">
        <v>125</v>
      </c>
      <c r="C2885" s="3">
        <v>410241</v>
      </c>
      <c r="D2885" s="3" t="s">
        <v>5940</v>
      </c>
      <c r="E2885" s="2" t="s">
        <v>844</v>
      </c>
      <c r="F2885" s="2" t="s">
        <v>10</v>
      </c>
      <c r="G2885" s="2" t="s">
        <v>199</v>
      </c>
      <c r="H2885" s="2">
        <v>70000000</v>
      </c>
      <c r="I2885" s="2">
        <v>7.1</v>
      </c>
      <c r="J2885" s="3">
        <v>58229120</v>
      </c>
      <c r="K2885">
        <f t="shared" si="98"/>
        <v>1.3775047412552699E-3</v>
      </c>
      <c r="R2885" s="12" t="str">
        <f ca="1">IFERROR(__xludf.DUMMYFUNCTION("""COMPUTED_VALUE"""),"Richard III ")</f>
        <v>Richard III </v>
      </c>
      <c r="S2885" s="12">
        <f t="shared" si="97"/>
        <v>463292</v>
      </c>
    </row>
    <row r="2886" spans="1:19" x14ac:dyDescent="0.3">
      <c r="A2886" s="2" t="s">
        <v>4785</v>
      </c>
      <c r="B2886" s="2">
        <v>81</v>
      </c>
      <c r="C2886" s="3">
        <v>2835886</v>
      </c>
      <c r="D2886" s="3" t="s">
        <v>520</v>
      </c>
      <c r="E2886" s="2" t="s">
        <v>4786</v>
      </c>
      <c r="F2886" s="2" t="s">
        <v>10</v>
      </c>
      <c r="G2886" s="2" t="s">
        <v>11</v>
      </c>
      <c r="H2886" s="2">
        <v>4000000</v>
      </c>
      <c r="I2886" s="2">
        <v>5.9</v>
      </c>
      <c r="J2886" s="3">
        <v>58255287</v>
      </c>
      <c r="K2886">
        <f t="shared" si="98"/>
        <v>1.3775047412552699E-3</v>
      </c>
      <c r="R2886" s="12" t="str">
        <f ca="1">IFERROR(__xludf.DUMMYFUNCTION("""COMPUTED_VALUE"""),"Kites ")</f>
        <v>Kites </v>
      </c>
      <c r="S2886" s="12">
        <f t="shared" si="97"/>
        <v>-54382828</v>
      </c>
    </row>
    <row r="2887" spans="1:19" x14ac:dyDescent="0.3">
      <c r="A2887" s="2" t="s">
        <v>2343</v>
      </c>
      <c r="B2887" s="2">
        <v>103</v>
      </c>
      <c r="C2887" s="3">
        <v>5000000</v>
      </c>
      <c r="D2887" s="3" t="s">
        <v>5865</v>
      </c>
      <c r="E2887" s="2" t="s">
        <v>2344</v>
      </c>
      <c r="F2887" s="2" t="s">
        <v>513</v>
      </c>
      <c r="G2887" s="2" t="s">
        <v>233</v>
      </c>
      <c r="H2887" s="2">
        <v>60000000</v>
      </c>
      <c r="I2887" s="2">
        <v>5.6</v>
      </c>
      <c r="J2887" s="3">
        <v>58297830</v>
      </c>
      <c r="K2887">
        <f t="shared" si="98"/>
        <v>1.3775047412552699E-3</v>
      </c>
      <c r="R2887" s="12" t="str">
        <f ca="1">IFERROR(__xludf.DUMMYFUNCTION("""COMPUTED_VALUE"""),"Melancholia ")</f>
        <v>Melancholia </v>
      </c>
      <c r="S2887" s="12">
        <f t="shared" si="97"/>
        <v>-29700000</v>
      </c>
    </row>
    <row r="2888" spans="1:19" x14ac:dyDescent="0.3">
      <c r="A2888" s="2" t="s">
        <v>2203</v>
      </c>
      <c r="B2888" s="2">
        <v>88</v>
      </c>
      <c r="C2888" s="3">
        <v>21009180</v>
      </c>
      <c r="D2888" s="3" t="s">
        <v>5849</v>
      </c>
      <c r="E2888" s="2" t="s">
        <v>2342</v>
      </c>
      <c r="F2888" s="2" t="s">
        <v>10</v>
      </c>
      <c r="G2888" s="2" t="s">
        <v>16</v>
      </c>
      <c r="H2888" s="2">
        <v>30000000</v>
      </c>
      <c r="I2888" s="2">
        <v>7</v>
      </c>
      <c r="J2888" s="3">
        <v>58328680</v>
      </c>
      <c r="K2888">
        <f t="shared" si="98"/>
        <v>1.3775047412552699E-3</v>
      </c>
      <c r="R2888" s="12" t="str">
        <f ca="1">IFERROR(__xludf.DUMMYFUNCTION("""COMPUTED_VALUE"""),"Jab Tak Hai Jaan ")</f>
        <v>Jab Tak Hai Jaan </v>
      </c>
      <c r="S2888" s="12">
        <f t="shared" si="97"/>
        <v>23729973</v>
      </c>
    </row>
    <row r="2889" spans="1:19" x14ac:dyDescent="0.3">
      <c r="A2889" s="2" t="s">
        <v>1572</v>
      </c>
      <c r="B2889" s="2">
        <v>100</v>
      </c>
      <c r="C2889" s="3">
        <v>5844929</v>
      </c>
      <c r="D2889" s="3" t="s">
        <v>6201</v>
      </c>
      <c r="E2889" s="2" t="s">
        <v>1573</v>
      </c>
      <c r="F2889" s="2" t="s">
        <v>10</v>
      </c>
      <c r="G2889" s="2" t="s">
        <v>98</v>
      </c>
      <c r="H2889" s="2">
        <v>45000000</v>
      </c>
      <c r="I2889" s="2">
        <v>4.9000000000000004</v>
      </c>
      <c r="J2889" s="3">
        <v>58336565</v>
      </c>
      <c r="K2889">
        <f t="shared" si="98"/>
        <v>1.3775047412552699E-3</v>
      </c>
      <c r="R2889" s="12" t="str">
        <f ca="1">IFERROR(__xludf.DUMMYFUNCTION("""COMPUTED_VALUE"""),"Alien ")</f>
        <v>Alien </v>
      </c>
      <c r="S2889" s="12">
        <f t="shared" si="97"/>
        <v>5078937</v>
      </c>
    </row>
    <row r="2890" spans="1:19" x14ac:dyDescent="0.3">
      <c r="A2890" s="2" t="s">
        <v>2429</v>
      </c>
      <c r="B2890" s="2">
        <v>164</v>
      </c>
      <c r="C2890" s="3">
        <v>60984028</v>
      </c>
      <c r="D2890" s="3" t="s">
        <v>6040</v>
      </c>
      <c r="E2890" s="2" t="s">
        <v>2430</v>
      </c>
      <c r="F2890" s="2" t="s">
        <v>10</v>
      </c>
      <c r="G2890" s="2" t="s">
        <v>16</v>
      </c>
      <c r="H2890" s="2">
        <v>16000000</v>
      </c>
      <c r="I2890" s="2">
        <v>7.4</v>
      </c>
      <c r="J2890" s="3">
        <v>58401464</v>
      </c>
      <c r="K2890">
        <f t="shared" si="98"/>
        <v>1.3775047412552699E-3</v>
      </c>
      <c r="R2890" s="12" t="str">
        <f ca="1">IFERROR(__xludf.DUMMYFUNCTION("""COMPUTED_VALUE"""),"The Texas Chain Saw Massacre ")</f>
        <v>The Texas Chain Saw Massacre </v>
      </c>
      <c r="S2890" s="12">
        <f t="shared" si="97"/>
        <v>80249062</v>
      </c>
    </row>
    <row r="2891" spans="1:19" x14ac:dyDescent="0.3">
      <c r="A2891" s="2" t="s">
        <v>4342</v>
      </c>
      <c r="B2891" s="2">
        <v>89</v>
      </c>
      <c r="C2891" s="2">
        <v>4443403</v>
      </c>
      <c r="D2891" s="3" t="s">
        <v>5825</v>
      </c>
      <c r="E2891" s="2" t="s">
        <v>4343</v>
      </c>
      <c r="F2891" s="2" t="s">
        <v>751</v>
      </c>
      <c r="G2891" s="2" t="s">
        <v>504</v>
      </c>
      <c r="H2891" s="2">
        <v>7300000</v>
      </c>
      <c r="I2891" s="2">
        <v>8</v>
      </c>
      <c r="J2891" s="3">
        <v>58422650</v>
      </c>
      <c r="K2891">
        <f t="shared" si="98"/>
        <v>1.3775047412552699E-3</v>
      </c>
      <c r="R2891" s="12" t="str">
        <f ca="1">IFERROR(__xludf.DUMMYFUNCTION("""COMPUTED_VALUE"""),"The Runaways ")</f>
        <v>The Runaways </v>
      </c>
      <c r="S2891" s="12">
        <f t="shared" si="97"/>
        <v>-308300</v>
      </c>
    </row>
    <row r="2892" spans="1:19" x14ac:dyDescent="0.3">
      <c r="A2892" s="2" t="s">
        <v>3527</v>
      </c>
      <c r="B2892" s="2">
        <v>91</v>
      </c>
      <c r="C2892" s="3">
        <v>32101000</v>
      </c>
      <c r="D2892" s="3" t="s">
        <v>1703</v>
      </c>
      <c r="E2892" s="2" t="s">
        <v>4851</v>
      </c>
      <c r="F2892" s="2" t="s">
        <v>10</v>
      </c>
      <c r="G2892" s="2" t="s">
        <v>16</v>
      </c>
      <c r="H2892" s="2">
        <v>3500000</v>
      </c>
      <c r="I2892" s="2">
        <v>7.2</v>
      </c>
      <c r="J2892" s="3">
        <v>58571513</v>
      </c>
      <c r="K2892">
        <f t="shared" si="98"/>
        <v>1.3775047412552699E-3</v>
      </c>
      <c r="R2892" s="12" t="str">
        <f ca="1">IFERROR(__xludf.DUMMYFUNCTION("""COMPUTED_VALUE"""),"Fiddler on the Roof ")</f>
        <v>Fiddler on the Roof </v>
      </c>
      <c r="S2892" s="12">
        <f t="shared" si="97"/>
        <v>-31725339</v>
      </c>
    </row>
    <row r="2893" spans="1:19" x14ac:dyDescent="0.3">
      <c r="A2893" s="2" t="s">
        <v>549</v>
      </c>
      <c r="B2893" s="2">
        <v>101</v>
      </c>
      <c r="C2893" s="3">
        <v>140244</v>
      </c>
      <c r="D2893" s="3" t="s">
        <v>885</v>
      </c>
      <c r="E2893" s="2" t="s">
        <v>2463</v>
      </c>
      <c r="F2893" s="2" t="s">
        <v>10</v>
      </c>
      <c r="G2893" s="2" t="s">
        <v>11</v>
      </c>
      <c r="H2893" s="2">
        <v>27000000</v>
      </c>
      <c r="I2893" s="2">
        <v>6.4</v>
      </c>
      <c r="J2893" s="3">
        <v>58607007</v>
      </c>
      <c r="K2893">
        <f t="shared" si="98"/>
        <v>1.3775047412552699E-3</v>
      </c>
      <c r="R2893" s="12" t="str">
        <f ca="1">IFERROR(__xludf.DUMMYFUNCTION("""COMPUTED_VALUE"""),"Thunderball ")</f>
        <v>Thunderball </v>
      </c>
      <c r="S2893" s="12">
        <f t="shared" si="97"/>
        <v>-30000000</v>
      </c>
    </row>
    <row r="2894" spans="1:19" x14ac:dyDescent="0.3">
      <c r="A2894" s="2" t="s">
        <v>1838</v>
      </c>
      <c r="B2894" s="2">
        <v>126</v>
      </c>
      <c r="C2894" s="3">
        <v>12372410</v>
      </c>
      <c r="D2894" s="3" t="s">
        <v>885</v>
      </c>
      <c r="E2894" s="2" t="s">
        <v>1839</v>
      </c>
      <c r="F2894" s="2" t="s">
        <v>10</v>
      </c>
      <c r="G2894" s="2" t="s">
        <v>1840</v>
      </c>
      <c r="H2894" s="2">
        <v>39200000</v>
      </c>
      <c r="I2894" s="2">
        <v>7</v>
      </c>
      <c r="J2894" s="3">
        <v>58700247</v>
      </c>
      <c r="K2894">
        <f t="shared" si="98"/>
        <v>1.3775047412552699E-3</v>
      </c>
      <c r="R2894" s="12" t="str">
        <f ca="1">IFERROR(__xludf.DUMMYFUNCTION("""COMPUTED_VALUE"""),"Set It Off ")</f>
        <v>Set It Off </v>
      </c>
      <c r="S2894" s="12">
        <f t="shared" si="97"/>
        <v>31524969</v>
      </c>
    </row>
    <row r="2895" spans="1:19" x14ac:dyDescent="0.3">
      <c r="A2895" s="2" t="s">
        <v>2290</v>
      </c>
      <c r="B2895" s="2">
        <v>107</v>
      </c>
      <c r="C2895" s="3">
        <v>17104669</v>
      </c>
      <c r="D2895" s="3" t="s">
        <v>6186</v>
      </c>
      <c r="E2895" s="2" t="s">
        <v>3072</v>
      </c>
      <c r="F2895" s="2" t="s">
        <v>10</v>
      </c>
      <c r="G2895" s="2" t="s">
        <v>11</v>
      </c>
      <c r="H2895" s="2">
        <v>20000000</v>
      </c>
      <c r="I2895" s="2">
        <v>7.5</v>
      </c>
      <c r="J2895" s="3">
        <v>58715510</v>
      </c>
      <c r="K2895">
        <f t="shared" si="98"/>
        <v>1.3775047412552699E-3</v>
      </c>
      <c r="R2895" s="12" t="str">
        <f ca="1">IFERROR(__xludf.DUMMYFUNCTION("""COMPUTED_VALUE"""),"The Best Man ")</f>
        <v>The Best Man </v>
      </c>
      <c r="S2895" s="12">
        <f t="shared" si="97"/>
        <v>57025609</v>
      </c>
    </row>
    <row r="2896" spans="1:19" x14ac:dyDescent="0.3">
      <c r="A2896" s="2" t="s">
        <v>3855</v>
      </c>
      <c r="B2896" s="2">
        <v>120</v>
      </c>
      <c r="C2896" s="3">
        <v>74158157</v>
      </c>
      <c r="D2896" s="3" t="s">
        <v>5916</v>
      </c>
      <c r="E2896" s="2" t="s">
        <v>4956</v>
      </c>
      <c r="F2896" s="2" t="s">
        <v>3760</v>
      </c>
      <c r="G2896" s="2" t="s">
        <v>1840</v>
      </c>
      <c r="H2896" s="2">
        <v>3000000</v>
      </c>
      <c r="I2896" s="2">
        <v>8.4</v>
      </c>
      <c r="J2896" s="3">
        <v>58800000</v>
      </c>
      <c r="K2896">
        <f t="shared" si="98"/>
        <v>1.3775047412552699E-3</v>
      </c>
      <c r="R2896" s="12" t="str">
        <f ca="1">IFERROR(__xludf.DUMMYFUNCTION("""COMPUTED_VALUE"""),"Child's Play ")</f>
        <v>Child's Play </v>
      </c>
      <c r="S2896" s="12">
        <f t="shared" si="97"/>
        <v>-75863568</v>
      </c>
    </row>
    <row r="2897" spans="1:19" x14ac:dyDescent="0.3">
      <c r="A2897" s="2" t="s">
        <v>1170</v>
      </c>
      <c r="B2897" s="2">
        <v>103</v>
      </c>
      <c r="C2897" s="3">
        <v>327919</v>
      </c>
      <c r="D2897" s="3" t="s">
        <v>6348</v>
      </c>
      <c r="E2897" s="2" t="s">
        <v>1798</v>
      </c>
      <c r="F2897" s="2" t="s">
        <v>10</v>
      </c>
      <c r="G2897" s="2" t="s">
        <v>11</v>
      </c>
      <c r="H2897" s="2">
        <v>40000000</v>
      </c>
      <c r="I2897" s="2">
        <v>5.8</v>
      </c>
      <c r="J2897" s="3">
        <v>58867694</v>
      </c>
      <c r="K2897">
        <f t="shared" si="98"/>
        <v>1.3775047412552699E-3</v>
      </c>
      <c r="R2897" s="12" t="str">
        <f ca="1">IFERROR(__xludf.DUMMYFUNCTION("""COMPUTED_VALUE"""),"Sicko ")</f>
        <v>Sicko </v>
      </c>
      <c r="S2897" s="12">
        <f t="shared" si="97"/>
        <v>-2123026</v>
      </c>
    </row>
    <row r="2898" spans="1:19" x14ac:dyDescent="0.3">
      <c r="A2898" s="2" t="s">
        <v>99</v>
      </c>
      <c r="B2898" s="2">
        <v>147</v>
      </c>
      <c r="C2898" s="3">
        <v>16298046</v>
      </c>
      <c r="D2898" s="3" t="s">
        <v>6046</v>
      </c>
      <c r="E2898" s="2" t="s">
        <v>1977</v>
      </c>
      <c r="F2898" s="2" t="s">
        <v>10</v>
      </c>
      <c r="G2898" s="2" t="s">
        <v>11</v>
      </c>
      <c r="H2898" s="2">
        <v>35000000</v>
      </c>
      <c r="I2898" s="2">
        <v>7.8</v>
      </c>
      <c r="J2898" s="3">
        <v>58879132</v>
      </c>
      <c r="K2898">
        <f t="shared" si="98"/>
        <v>1.3775047412552699E-3</v>
      </c>
      <c r="R2898" s="12" t="str">
        <f ca="1">IFERROR(__xludf.DUMMYFUNCTION("""COMPUTED_VALUE"""),"The Purge: Anarchy ")</f>
        <v>The Purge: Anarchy </v>
      </c>
      <c r="S2898" s="12">
        <f t="shared" si="97"/>
        <v>4238632</v>
      </c>
    </row>
    <row r="2899" spans="1:19" x14ac:dyDescent="0.3">
      <c r="A2899" s="2" t="s">
        <v>427</v>
      </c>
      <c r="B2899" s="2">
        <v>107</v>
      </c>
      <c r="C2899" s="3">
        <v>19377727</v>
      </c>
      <c r="D2899" s="3" t="s">
        <v>5921</v>
      </c>
      <c r="E2899" s="2" t="s">
        <v>655</v>
      </c>
      <c r="F2899" s="2" t="s">
        <v>10</v>
      </c>
      <c r="G2899" s="2" t="s">
        <v>11</v>
      </c>
      <c r="H2899" s="2">
        <v>70000000</v>
      </c>
      <c r="I2899" s="2">
        <v>6.4</v>
      </c>
      <c r="J2899" s="3">
        <v>58885635</v>
      </c>
      <c r="K2899">
        <f t="shared" si="98"/>
        <v>1.3775047412552699E-3</v>
      </c>
      <c r="R2899" s="12" t="str">
        <f ca="1">IFERROR(__xludf.DUMMYFUNCTION("""COMPUTED_VALUE"""),"Down to You ")</f>
        <v>Down to You </v>
      </c>
      <c r="S2899" s="12">
        <f t="shared" si="97"/>
        <v>2888143</v>
      </c>
    </row>
    <row r="2900" spans="1:19" x14ac:dyDescent="0.3">
      <c r="A2900" s="2" t="s">
        <v>1975</v>
      </c>
      <c r="B2900" s="2">
        <v>98</v>
      </c>
      <c r="C2900" s="3">
        <v>7204138</v>
      </c>
      <c r="D2900" s="3" t="s">
        <v>5773</v>
      </c>
      <c r="E2900" s="2" t="s">
        <v>1976</v>
      </c>
      <c r="F2900" s="2" t="s">
        <v>10</v>
      </c>
      <c r="G2900" s="2" t="s">
        <v>11</v>
      </c>
      <c r="H2900" s="2">
        <v>30000000</v>
      </c>
      <c r="I2900" s="2">
        <v>5.9</v>
      </c>
      <c r="J2900" s="3">
        <v>58918501</v>
      </c>
      <c r="K2900">
        <f t="shared" si="98"/>
        <v>1.3775047412552699E-3</v>
      </c>
      <c r="R2900" s="12" t="str">
        <f ca="1">IFERROR(__xludf.DUMMYFUNCTION("""COMPUTED_VALUE"""),"Harold &amp; Kumar Go to White Castle ")</f>
        <v>Harold &amp; Kumar Go to White Castle </v>
      </c>
      <c r="S2900" s="12">
        <f t="shared" si="97"/>
        <v>-6639805</v>
      </c>
    </row>
    <row r="2901" spans="1:19" x14ac:dyDescent="0.3">
      <c r="A2901" s="2" t="s">
        <v>2434</v>
      </c>
      <c r="B2901" s="2">
        <v>116</v>
      </c>
      <c r="C2901" s="3">
        <v>3169424</v>
      </c>
      <c r="D2901" s="3" t="s">
        <v>6207</v>
      </c>
      <c r="E2901" s="2" t="s">
        <v>3771</v>
      </c>
      <c r="F2901" s="2" t="s">
        <v>10</v>
      </c>
      <c r="G2901" s="2" t="s">
        <v>11</v>
      </c>
      <c r="H2901" s="2">
        <v>11000000</v>
      </c>
      <c r="I2901" s="2">
        <v>7.7</v>
      </c>
      <c r="J2901" s="3">
        <v>59035104</v>
      </c>
      <c r="K2901">
        <f t="shared" si="98"/>
        <v>1.3775047412552699E-3</v>
      </c>
      <c r="R2901" s="12" t="str">
        <f ca="1">IFERROR(__xludf.DUMMYFUNCTION("""COMPUTED_VALUE"""),"The Contender ")</f>
        <v>The Contender </v>
      </c>
      <c r="S2901" s="12">
        <f t="shared" si="97"/>
        <v>9098766</v>
      </c>
    </row>
    <row r="2902" spans="1:19" x14ac:dyDescent="0.3">
      <c r="A2902" s="2" t="s">
        <v>454</v>
      </c>
      <c r="B2902" s="2">
        <v>106</v>
      </c>
      <c r="C2902" s="3">
        <v>10174663</v>
      </c>
      <c r="D2902" s="3" t="s">
        <v>6207</v>
      </c>
      <c r="E2902" s="2" t="s">
        <v>455</v>
      </c>
      <c r="F2902" s="2" t="s">
        <v>10</v>
      </c>
      <c r="G2902" s="2" t="s">
        <v>11</v>
      </c>
      <c r="H2902" s="2">
        <v>100000000</v>
      </c>
      <c r="I2902" s="2">
        <v>6.4</v>
      </c>
      <c r="J2902" s="3">
        <v>59068786</v>
      </c>
      <c r="K2902">
        <f t="shared" si="98"/>
        <v>1.3775047412552699E-3</v>
      </c>
      <c r="R2902" s="12" t="str">
        <f ca="1">IFERROR(__xludf.DUMMYFUNCTION("""COMPUTED_VALUE"""),"Boiler Room ")</f>
        <v>Boiler Room </v>
      </c>
      <c r="S2902" s="12">
        <f t="shared" si="97"/>
        <v>-4753400</v>
      </c>
    </row>
    <row r="2903" spans="1:19" x14ac:dyDescent="0.3">
      <c r="A2903" s="2" t="s">
        <v>27</v>
      </c>
      <c r="B2903" s="2">
        <v>138</v>
      </c>
      <c r="C2903" s="3">
        <v>16264475</v>
      </c>
      <c r="D2903" s="3" t="s">
        <v>520</v>
      </c>
      <c r="E2903" s="2" t="s">
        <v>200</v>
      </c>
      <c r="F2903" s="2" t="s">
        <v>10</v>
      </c>
      <c r="G2903" s="2" t="s">
        <v>16</v>
      </c>
      <c r="H2903" s="2">
        <v>150000000</v>
      </c>
      <c r="I2903" s="2">
        <v>7.5</v>
      </c>
      <c r="J2903" s="3">
        <v>59073773</v>
      </c>
      <c r="K2903">
        <f t="shared" si="98"/>
        <v>1.3775047412552699E-3</v>
      </c>
      <c r="R2903" s="12" t="str">
        <f ca="1">IFERROR(__xludf.DUMMYFUNCTION("""COMPUTED_VALUE"""),"Black Christmas ")</f>
        <v>Black Christmas </v>
      </c>
      <c r="S2903" s="12">
        <f t="shared" si="97"/>
        <v>-47531776</v>
      </c>
    </row>
    <row r="2904" spans="1:19" x14ac:dyDescent="0.3">
      <c r="A2904" s="2" t="s">
        <v>5633</v>
      </c>
      <c r="B2904" s="2">
        <v>101</v>
      </c>
      <c r="C2904" s="3">
        <v>7605668</v>
      </c>
      <c r="D2904" s="3" t="s">
        <v>5940</v>
      </c>
      <c r="E2904" s="2" t="s">
        <v>5634</v>
      </c>
      <c r="F2904" s="2" t="s">
        <v>10</v>
      </c>
      <c r="G2904" s="2" t="s">
        <v>11</v>
      </c>
      <c r="H2904" s="3">
        <v>474544677</v>
      </c>
      <c r="I2904" s="2">
        <v>6.4</v>
      </c>
      <c r="J2904" s="3">
        <v>59365105</v>
      </c>
      <c r="K2904">
        <f t="shared" si="98"/>
        <v>1.3775047412552699E-3</v>
      </c>
      <c r="R2904" s="12" t="str">
        <f ca="1">IFERROR(__xludf.DUMMYFUNCTION("""COMPUTED_VALUE"""),"Henry V ")</f>
        <v>Henry V </v>
      </c>
      <c r="S2904" s="12">
        <f t="shared" si="97"/>
        <v>-885118</v>
      </c>
    </row>
    <row r="2905" spans="1:19" x14ac:dyDescent="0.3">
      <c r="A2905" s="2" t="s">
        <v>1492</v>
      </c>
      <c r="B2905" s="2">
        <v>100</v>
      </c>
      <c r="C2905" s="3">
        <v>333658</v>
      </c>
      <c r="D2905" s="3" t="s">
        <v>520</v>
      </c>
      <c r="E2905" s="2" t="s">
        <v>2758</v>
      </c>
      <c r="F2905" s="2" t="s">
        <v>10</v>
      </c>
      <c r="G2905" s="2" t="s">
        <v>16</v>
      </c>
      <c r="H2905" s="2">
        <v>23000000</v>
      </c>
      <c r="I2905" s="2">
        <v>6.2</v>
      </c>
      <c r="J2905" s="3">
        <v>59475623</v>
      </c>
      <c r="K2905">
        <f t="shared" si="98"/>
        <v>1.3775047412552699E-3</v>
      </c>
      <c r="R2905" s="12" t="str">
        <f ca="1">IFERROR(__xludf.DUMMYFUNCTION("""COMPUTED_VALUE"""),"The Way of the Gun ")</f>
        <v>The Way of the Gun </v>
      </c>
      <c r="S2905" s="12">
        <f t="shared" ref="S2905:S2968" si="99">C2883-H2883</f>
        <v>-199800772</v>
      </c>
    </row>
    <row r="2906" spans="1:19" x14ac:dyDescent="0.3">
      <c r="A2906" s="2" t="s">
        <v>350</v>
      </c>
      <c r="B2906" s="2">
        <v>81</v>
      </c>
      <c r="C2906" s="3">
        <v>33000377</v>
      </c>
      <c r="D2906" s="3" t="s">
        <v>6207</v>
      </c>
      <c r="E2906" s="2" t="s">
        <v>3898</v>
      </c>
      <c r="F2906" s="2" t="s">
        <v>10</v>
      </c>
      <c r="G2906" s="2" t="s">
        <v>11</v>
      </c>
      <c r="H2906" s="2">
        <v>13000000</v>
      </c>
      <c r="I2906" s="2">
        <v>7.1</v>
      </c>
      <c r="J2906" s="3">
        <v>59573085</v>
      </c>
      <c r="K2906">
        <f t="shared" si="98"/>
        <v>1.3775047412552699E-3</v>
      </c>
      <c r="R2906" s="12" t="str">
        <f ca="1">IFERROR(__xludf.DUMMYFUNCTION("""COMPUTED_VALUE"""),"Igby Goes Down ")</f>
        <v>Igby Goes Down </v>
      </c>
      <c r="S2906" s="12">
        <f t="shared" si="99"/>
        <v>124220</v>
      </c>
    </row>
    <row r="2907" spans="1:19" x14ac:dyDescent="0.3">
      <c r="A2907" s="2" t="s">
        <v>1709</v>
      </c>
      <c r="B2907" s="2">
        <v>98</v>
      </c>
      <c r="C2907" s="3">
        <v>10494494</v>
      </c>
      <c r="D2907" s="3" t="s">
        <v>6151</v>
      </c>
      <c r="E2907" s="2" t="s">
        <v>1710</v>
      </c>
      <c r="F2907" s="2" t="s">
        <v>10</v>
      </c>
      <c r="G2907" s="2" t="s">
        <v>11</v>
      </c>
      <c r="H2907" s="2">
        <v>40000000</v>
      </c>
      <c r="I2907" s="2">
        <v>5.2</v>
      </c>
      <c r="J2907" s="3">
        <v>59588068</v>
      </c>
      <c r="K2907">
        <f t="shared" si="98"/>
        <v>1.3775047412552699E-3</v>
      </c>
      <c r="R2907" s="12" t="str">
        <f ca="1">IFERROR(__xludf.DUMMYFUNCTION("""COMPUTED_VALUE"""),"PCU ")</f>
        <v>PCU </v>
      </c>
      <c r="S2907" s="12">
        <f t="shared" si="99"/>
        <v>-69589759</v>
      </c>
    </row>
    <row r="2908" spans="1:19" x14ac:dyDescent="0.3">
      <c r="A2908" s="2" t="s">
        <v>131</v>
      </c>
      <c r="B2908" s="2">
        <v>106</v>
      </c>
      <c r="C2908" s="3">
        <v>2344847</v>
      </c>
      <c r="D2908" s="3" t="s">
        <v>5881</v>
      </c>
      <c r="E2908" s="2" t="s">
        <v>3417</v>
      </c>
      <c r="F2908" s="2" t="s">
        <v>10</v>
      </c>
      <c r="G2908" s="2" t="s">
        <v>11</v>
      </c>
      <c r="H2908" s="2">
        <v>15000000</v>
      </c>
      <c r="I2908" s="2">
        <v>5.6</v>
      </c>
      <c r="J2908" s="3">
        <v>59617068</v>
      </c>
      <c r="K2908">
        <f t="shared" si="98"/>
        <v>1.3775047412552699E-3</v>
      </c>
      <c r="R2908" s="12" t="str">
        <f ca="1">IFERROR(__xludf.DUMMYFUNCTION("""COMPUTED_VALUE"""),"Gracie ")</f>
        <v>Gracie </v>
      </c>
      <c r="S2908" s="12">
        <f t="shared" si="99"/>
        <v>-1164114</v>
      </c>
    </row>
    <row r="2909" spans="1:19" x14ac:dyDescent="0.3">
      <c r="A2909" s="2" t="s">
        <v>4306</v>
      </c>
      <c r="B2909" s="2">
        <v>107</v>
      </c>
      <c r="C2909" s="3">
        <v>26236603</v>
      </c>
      <c r="D2909" s="3" t="s">
        <v>5820</v>
      </c>
      <c r="E2909" s="2" t="s">
        <v>4307</v>
      </c>
      <c r="F2909" s="2" t="s">
        <v>10</v>
      </c>
      <c r="G2909" s="2" t="s">
        <v>11</v>
      </c>
      <c r="H2909" s="2">
        <v>8000000</v>
      </c>
      <c r="I2909" s="2">
        <v>6.4</v>
      </c>
      <c r="J2909" s="3">
        <v>59696176</v>
      </c>
      <c r="K2909">
        <f t="shared" si="98"/>
        <v>1.3775047412552699E-3</v>
      </c>
      <c r="R2909" s="12" t="str">
        <f ca="1">IFERROR(__xludf.DUMMYFUNCTION("""COMPUTED_VALUE"""),"Trust the Man ")</f>
        <v>Trust the Man </v>
      </c>
      <c r="S2909" s="12">
        <f t="shared" si="99"/>
        <v>-55000000</v>
      </c>
    </row>
    <row r="2910" spans="1:19" x14ac:dyDescent="0.3">
      <c r="A2910" s="2" t="s">
        <v>4832</v>
      </c>
      <c r="B2910" s="2">
        <v>106</v>
      </c>
      <c r="C2910" s="3">
        <v>13746550</v>
      </c>
      <c r="D2910" s="3" t="s">
        <v>5881</v>
      </c>
      <c r="E2910" s="2" t="s">
        <v>4833</v>
      </c>
      <c r="F2910" s="2" t="s">
        <v>4437</v>
      </c>
      <c r="G2910" s="2" t="s">
        <v>4438</v>
      </c>
      <c r="H2910" s="2">
        <v>4000000</v>
      </c>
      <c r="I2910" s="2">
        <v>6.1</v>
      </c>
      <c r="J2910" s="3">
        <v>59699513</v>
      </c>
      <c r="K2910">
        <f t="shared" si="98"/>
        <v>1.3775047412552699E-3</v>
      </c>
      <c r="R2910" s="12" t="str">
        <f ca="1">IFERROR(__xludf.DUMMYFUNCTION("""COMPUTED_VALUE"""),"Hamlet 2 ")</f>
        <v>Hamlet 2 </v>
      </c>
      <c r="S2910" s="12">
        <f t="shared" si="99"/>
        <v>-8990820</v>
      </c>
    </row>
    <row r="2911" spans="1:19" x14ac:dyDescent="0.3">
      <c r="A2911" s="2" t="s">
        <v>1075</v>
      </c>
      <c r="B2911" s="2">
        <v>106</v>
      </c>
      <c r="C2911" s="3">
        <v>33048353</v>
      </c>
      <c r="D2911" s="3" t="s">
        <v>6411</v>
      </c>
      <c r="E2911" s="2" t="s">
        <v>2832</v>
      </c>
      <c r="F2911" s="2" t="s">
        <v>10</v>
      </c>
      <c r="G2911" s="2" t="s">
        <v>11</v>
      </c>
      <c r="H2911" s="2">
        <v>21000000</v>
      </c>
      <c r="I2911" s="2">
        <v>6.3</v>
      </c>
      <c r="J2911" s="3">
        <v>59735548</v>
      </c>
      <c r="K2911">
        <f t="shared" si="98"/>
        <v>1.3775047412552699E-3</v>
      </c>
      <c r="R2911" s="12" t="str">
        <f ca="1">IFERROR(__xludf.DUMMYFUNCTION("""COMPUTED_VALUE"""),"Glee: The 3D Concert Movie ")</f>
        <v>Glee: The 3D Concert Movie </v>
      </c>
      <c r="S2911" s="12">
        <f t="shared" si="99"/>
        <v>-39155071</v>
      </c>
    </row>
    <row r="2912" spans="1:19" x14ac:dyDescent="0.3">
      <c r="A2912" s="2" t="s">
        <v>50</v>
      </c>
      <c r="B2912" s="2">
        <v>151</v>
      </c>
      <c r="C2912" s="3">
        <v>35400000</v>
      </c>
      <c r="D2912" s="3" t="s">
        <v>5894</v>
      </c>
      <c r="E2912" s="2" t="s">
        <v>438</v>
      </c>
      <c r="F2912" s="2" t="s">
        <v>10</v>
      </c>
      <c r="G2912" s="2" t="s">
        <v>11</v>
      </c>
      <c r="H2912" s="2">
        <v>108000000</v>
      </c>
      <c r="I2912" s="2">
        <v>8.1</v>
      </c>
      <c r="J2912" s="3">
        <v>59847242</v>
      </c>
      <c r="K2912">
        <f t="shared" si="98"/>
        <v>1.3775047412552699E-3</v>
      </c>
      <c r="R2912" s="12" t="str">
        <f ca="1">IFERROR(__xludf.DUMMYFUNCTION("""COMPUTED_VALUE"""),"The Legend of Suriyothai ")</f>
        <v>The Legend of Suriyothai </v>
      </c>
      <c r="S2912" s="12">
        <f t="shared" si="99"/>
        <v>44984028</v>
      </c>
    </row>
    <row r="2913" spans="1:19" x14ac:dyDescent="0.3">
      <c r="A2913" s="2" t="s">
        <v>4629</v>
      </c>
      <c r="B2913" s="2">
        <v>104</v>
      </c>
      <c r="C2913" s="3">
        <v>60054449</v>
      </c>
      <c r="D2913" s="3" t="s">
        <v>5910</v>
      </c>
      <c r="E2913" s="2" t="s">
        <v>4630</v>
      </c>
      <c r="F2913" s="2" t="s">
        <v>10</v>
      </c>
      <c r="G2913" s="2" t="s">
        <v>11</v>
      </c>
      <c r="H2913" s="2">
        <v>4500000</v>
      </c>
      <c r="I2913" s="2">
        <v>5.6</v>
      </c>
      <c r="J2913" s="3">
        <v>59889948</v>
      </c>
      <c r="K2913">
        <f t="shared" si="98"/>
        <v>1.3775047412552699E-3</v>
      </c>
      <c r="R2913" s="12" t="str">
        <f ca="1">IFERROR(__xludf.DUMMYFUNCTION("""COMPUTED_VALUE"""),"Two Evil Eyes ")</f>
        <v>Two Evil Eyes </v>
      </c>
      <c r="S2913" s="12">
        <f t="shared" si="99"/>
        <v>-2856597</v>
      </c>
    </row>
    <row r="2914" spans="1:19" x14ac:dyDescent="0.3">
      <c r="A2914" s="2" t="s">
        <v>2301</v>
      </c>
      <c r="B2914" s="2">
        <v>126</v>
      </c>
      <c r="C2914" s="3">
        <v>9030581</v>
      </c>
      <c r="D2914" s="3" t="s">
        <v>6360</v>
      </c>
      <c r="E2914" s="2" t="s">
        <v>2302</v>
      </c>
      <c r="F2914" s="2" t="s">
        <v>10</v>
      </c>
      <c r="G2914" s="2" t="s">
        <v>11</v>
      </c>
      <c r="H2914" s="2">
        <v>35000000</v>
      </c>
      <c r="I2914" s="2">
        <v>7.3</v>
      </c>
      <c r="J2914" s="3">
        <v>59992760</v>
      </c>
      <c r="K2914">
        <f t="shared" si="98"/>
        <v>1.3775047412552699E-3</v>
      </c>
      <c r="R2914" s="12" t="str">
        <f ca="1">IFERROR(__xludf.DUMMYFUNCTION("""COMPUTED_VALUE"""),"All or Nothing ")</f>
        <v>All or Nothing </v>
      </c>
      <c r="S2914" s="12">
        <f t="shared" si="99"/>
        <v>28601000</v>
      </c>
    </row>
    <row r="2915" spans="1:19" x14ac:dyDescent="0.3">
      <c r="A2915" s="2" t="s">
        <v>282</v>
      </c>
      <c r="B2915" s="2">
        <v>122</v>
      </c>
      <c r="C2915" s="3">
        <v>12188642</v>
      </c>
      <c r="D2915" s="3" t="s">
        <v>6412</v>
      </c>
      <c r="E2915" s="2" t="s">
        <v>283</v>
      </c>
      <c r="F2915" s="2" t="s">
        <v>10</v>
      </c>
      <c r="G2915" s="2" t="s">
        <v>11</v>
      </c>
      <c r="H2915" s="2">
        <v>130000000</v>
      </c>
      <c r="I2915" s="2">
        <v>5.8</v>
      </c>
      <c r="J2915" s="3">
        <v>60000000</v>
      </c>
      <c r="K2915">
        <f t="shared" si="98"/>
        <v>1.3775047412552699E-3</v>
      </c>
      <c r="R2915" s="12" t="str">
        <f ca="1">IFERROR(__xludf.DUMMYFUNCTION("""COMPUTED_VALUE"""),"Princess Kaiulani ")</f>
        <v>Princess Kaiulani </v>
      </c>
      <c r="S2915" s="12">
        <f t="shared" si="99"/>
        <v>-26859756</v>
      </c>
    </row>
    <row r="2916" spans="1:19" x14ac:dyDescent="0.3">
      <c r="A2916" s="2" t="s">
        <v>4295</v>
      </c>
      <c r="B2916" s="2">
        <v>96</v>
      </c>
      <c r="C2916" s="3">
        <v>42919096</v>
      </c>
      <c r="D2916" s="3" t="s">
        <v>6019</v>
      </c>
      <c r="E2916" s="2" t="s">
        <v>4384</v>
      </c>
      <c r="F2916" s="2" t="s">
        <v>10</v>
      </c>
      <c r="G2916" s="2" t="s">
        <v>11</v>
      </c>
      <c r="H2916" s="2">
        <v>7000000</v>
      </c>
      <c r="I2916" s="2">
        <v>6.4</v>
      </c>
      <c r="J2916" s="3">
        <v>60008303</v>
      </c>
      <c r="K2916">
        <f t="shared" si="98"/>
        <v>1.3775047412552699E-3</v>
      </c>
      <c r="R2916" s="12" t="str">
        <f ca="1">IFERROR(__xludf.DUMMYFUNCTION("""COMPUTED_VALUE"""),"Opal Dream ")</f>
        <v>Opal Dream </v>
      </c>
      <c r="S2916" s="12">
        <f t="shared" si="99"/>
        <v>-26827590</v>
      </c>
    </row>
    <row r="2917" spans="1:19" x14ac:dyDescent="0.3">
      <c r="A2917" s="2" t="s">
        <v>3406</v>
      </c>
      <c r="B2917" s="2">
        <v>94</v>
      </c>
      <c r="C2917" s="3">
        <v>17100000</v>
      </c>
      <c r="D2917" s="3" t="s">
        <v>5940</v>
      </c>
      <c r="E2917" s="2" t="s">
        <v>3407</v>
      </c>
      <c r="F2917" s="2" t="s">
        <v>10</v>
      </c>
      <c r="G2917" s="2" t="s">
        <v>11</v>
      </c>
      <c r="H2917" s="2">
        <v>17000000</v>
      </c>
      <c r="I2917" s="2">
        <v>5.3</v>
      </c>
      <c r="J2917" s="3">
        <v>60033780</v>
      </c>
      <c r="K2917">
        <f t="shared" si="98"/>
        <v>1.3775047412552699E-3</v>
      </c>
      <c r="R2917" s="12" t="str">
        <f ca="1">IFERROR(__xludf.DUMMYFUNCTION("""COMPUTED_VALUE"""),"Flame and Citron ")</f>
        <v>Flame and Citron </v>
      </c>
      <c r="S2917" s="12">
        <f t="shared" si="99"/>
        <v>-2895331</v>
      </c>
    </row>
    <row r="2918" spans="1:19" x14ac:dyDescent="0.3">
      <c r="A2918" s="2" t="s">
        <v>795</v>
      </c>
      <c r="B2918" s="2">
        <v>98</v>
      </c>
      <c r="C2918" s="3">
        <v>13640000</v>
      </c>
      <c r="D2918" s="3" t="s">
        <v>6181</v>
      </c>
      <c r="E2918" s="2" t="s">
        <v>1995</v>
      </c>
      <c r="F2918" s="2" t="s">
        <v>10</v>
      </c>
      <c r="G2918" s="2" t="s">
        <v>11</v>
      </c>
      <c r="H2918" s="2">
        <v>27000000</v>
      </c>
      <c r="I2918" s="2">
        <v>7.3</v>
      </c>
      <c r="J2918" s="3">
        <v>60054449</v>
      </c>
      <c r="K2918">
        <f t="shared" si="98"/>
        <v>1.3775047412552699E-3</v>
      </c>
      <c r="R2918" s="12" t="str">
        <f ca="1">IFERROR(__xludf.DUMMYFUNCTION("""COMPUTED_VALUE"""),"Undiscovered ")</f>
        <v>Undiscovered </v>
      </c>
      <c r="S2918" s="12">
        <f t="shared" si="99"/>
        <v>71158157</v>
      </c>
    </row>
    <row r="2919" spans="1:19" x14ac:dyDescent="0.3">
      <c r="A2919" s="2" t="s">
        <v>3527</v>
      </c>
      <c r="B2919" s="2">
        <v>102</v>
      </c>
      <c r="C2919" s="3">
        <v>32983713</v>
      </c>
      <c r="D2919" s="3" t="s">
        <v>6020</v>
      </c>
      <c r="E2919" s="2" t="s">
        <v>3528</v>
      </c>
      <c r="F2919" s="2" t="s">
        <v>10</v>
      </c>
      <c r="G2919" s="2" t="s">
        <v>11</v>
      </c>
      <c r="H2919" s="2">
        <v>15000000</v>
      </c>
      <c r="I2919" s="2">
        <v>6.2</v>
      </c>
      <c r="J2919" s="3">
        <v>60057639</v>
      </c>
      <c r="K2919">
        <f t="shared" si="98"/>
        <v>1.3775047412552699E-3</v>
      </c>
      <c r="R2919" s="12" t="str">
        <f ca="1">IFERROR(__xludf.DUMMYFUNCTION("""COMPUTED_VALUE"""),"Crocodile Dundee ")</f>
        <v>Crocodile Dundee </v>
      </c>
      <c r="S2919" s="12">
        <f t="shared" si="99"/>
        <v>-39672081</v>
      </c>
    </row>
    <row r="2920" spans="1:19" x14ac:dyDescent="0.3">
      <c r="A2920" s="2" t="s">
        <v>1291</v>
      </c>
      <c r="B2920" s="2">
        <v>110</v>
      </c>
      <c r="C2920" s="3">
        <v>28045540</v>
      </c>
      <c r="D2920" s="3" t="s">
        <v>6144</v>
      </c>
      <c r="E2920" s="2" t="s">
        <v>1648</v>
      </c>
      <c r="F2920" s="2" t="s">
        <v>10</v>
      </c>
      <c r="G2920" s="2" t="s">
        <v>11</v>
      </c>
      <c r="H2920" s="2">
        <v>41000000</v>
      </c>
      <c r="I2920" s="2">
        <v>7</v>
      </c>
      <c r="J2920" s="3">
        <v>60072596</v>
      </c>
      <c r="K2920">
        <f t="shared" si="98"/>
        <v>1.3775047412552699E-3</v>
      </c>
      <c r="R2920" s="12" t="str">
        <f ca="1">IFERROR(__xludf.DUMMYFUNCTION("""COMPUTED_VALUE"""),"Awake ")</f>
        <v>Awake </v>
      </c>
      <c r="S2920" s="12">
        <f t="shared" si="99"/>
        <v>-18701954</v>
      </c>
    </row>
    <row r="2921" spans="1:19" x14ac:dyDescent="0.3">
      <c r="A2921" s="2" t="s">
        <v>1572</v>
      </c>
      <c r="B2921" s="2">
        <v>119</v>
      </c>
      <c r="C2921" s="3">
        <v>4109095</v>
      </c>
      <c r="D2921" s="3" t="s">
        <v>5872</v>
      </c>
      <c r="E2921" s="2" t="s">
        <v>2950</v>
      </c>
      <c r="F2921" s="2" t="s">
        <v>10</v>
      </c>
      <c r="G2921" s="2" t="s">
        <v>98</v>
      </c>
      <c r="H2921" s="2">
        <v>20000000</v>
      </c>
      <c r="I2921" s="2">
        <v>6.8</v>
      </c>
      <c r="J2921" s="3">
        <v>60128566</v>
      </c>
      <c r="K2921">
        <f t="shared" si="98"/>
        <v>1.3775047412552699E-3</v>
      </c>
      <c r="R2921" s="12" t="str">
        <f ca="1">IFERROR(__xludf.DUMMYFUNCTION("""COMPUTED_VALUE"""),"Skin Trade ")</f>
        <v>Skin Trade </v>
      </c>
      <c r="S2921" s="12">
        <f t="shared" si="99"/>
        <v>-50622273</v>
      </c>
    </row>
    <row r="2922" spans="1:19" x14ac:dyDescent="0.3">
      <c r="A2922" s="2" t="s">
        <v>3094</v>
      </c>
      <c r="B2922" s="2">
        <v>100</v>
      </c>
      <c r="C2922" s="3">
        <v>7017178</v>
      </c>
      <c r="D2922" s="3" t="s">
        <v>6127</v>
      </c>
      <c r="E2922" s="2" t="s">
        <v>4019</v>
      </c>
      <c r="F2922" s="2" t="s">
        <v>10</v>
      </c>
      <c r="G2922" s="2" t="s">
        <v>11</v>
      </c>
      <c r="H2922" s="2">
        <v>25000000</v>
      </c>
      <c r="I2922" s="2">
        <v>5.5</v>
      </c>
      <c r="J2922" s="3">
        <v>60154431</v>
      </c>
      <c r="K2922">
        <f t="shared" si="98"/>
        <v>1.3775047412552699E-3</v>
      </c>
      <c r="R2922" s="12" t="str">
        <f ca="1">IFERROR(__xludf.DUMMYFUNCTION("""COMPUTED_VALUE"""),"Crazy Heart ")</f>
        <v>Crazy Heart </v>
      </c>
      <c r="S2922" s="12">
        <f t="shared" si="99"/>
        <v>-22795862</v>
      </c>
    </row>
    <row r="2923" spans="1:19" x14ac:dyDescent="0.3">
      <c r="A2923" s="2" t="s">
        <v>537</v>
      </c>
      <c r="B2923" s="2">
        <v>119</v>
      </c>
      <c r="C2923" s="2">
        <v>23014504</v>
      </c>
      <c r="D2923" s="3" t="s">
        <v>6413</v>
      </c>
      <c r="E2923" s="2" t="s">
        <v>538</v>
      </c>
      <c r="F2923" s="2" t="s">
        <v>10</v>
      </c>
      <c r="G2923" s="2" t="s">
        <v>16</v>
      </c>
      <c r="H2923" s="2">
        <v>100000000</v>
      </c>
      <c r="I2923" s="2">
        <v>6.3</v>
      </c>
      <c r="J2923" s="3">
        <v>60269340</v>
      </c>
      <c r="K2923">
        <f t="shared" si="98"/>
        <v>1.3775047412552699E-3</v>
      </c>
      <c r="R2923" s="12" t="str">
        <f ca="1">IFERROR(__xludf.DUMMYFUNCTION("""COMPUTED_VALUE"""),"The Rose ")</f>
        <v>The Rose </v>
      </c>
      <c r="S2923" s="12">
        <f t="shared" si="99"/>
        <v>-7830576</v>
      </c>
    </row>
    <row r="2924" spans="1:19" x14ac:dyDescent="0.3">
      <c r="A2924" s="2" t="s">
        <v>1962</v>
      </c>
      <c r="B2924" s="2">
        <v>109</v>
      </c>
      <c r="C2924" s="3">
        <v>15608545</v>
      </c>
      <c r="D2924" s="3" t="s">
        <v>5849</v>
      </c>
      <c r="E2924" s="2" t="s">
        <v>1963</v>
      </c>
      <c r="F2924" s="2" t="s">
        <v>10</v>
      </c>
      <c r="G2924" s="2" t="s">
        <v>11</v>
      </c>
      <c r="H2924" s="2">
        <v>35000000</v>
      </c>
      <c r="I2924" s="2">
        <v>6.9</v>
      </c>
      <c r="J2924" s="3">
        <v>60328558</v>
      </c>
      <c r="K2924">
        <f t="shared" si="98"/>
        <v>1.3775047412552699E-3</v>
      </c>
      <c r="R2924" s="12" t="str">
        <f ca="1">IFERROR(__xludf.DUMMYFUNCTION("""COMPUTED_VALUE"""),"Baggage Claim ")</f>
        <v>Baggage Claim </v>
      </c>
      <c r="S2924" s="12">
        <f t="shared" si="99"/>
        <v>-89825337</v>
      </c>
    </row>
    <row r="2925" spans="1:19" x14ac:dyDescent="0.3">
      <c r="A2925" s="2" t="s">
        <v>220</v>
      </c>
      <c r="B2925" s="2">
        <v>111</v>
      </c>
      <c r="C2925" s="3">
        <v>12947763</v>
      </c>
      <c r="D2925" s="3" t="s">
        <v>5973</v>
      </c>
      <c r="E2925" s="2" t="s">
        <v>892</v>
      </c>
      <c r="F2925" s="2" t="s">
        <v>10</v>
      </c>
      <c r="G2925" s="2" t="s">
        <v>11</v>
      </c>
      <c r="H2925" s="2">
        <v>70000000</v>
      </c>
      <c r="I2925" s="2">
        <v>5.3</v>
      </c>
      <c r="J2925" s="3">
        <v>60338891</v>
      </c>
      <c r="K2925">
        <f t="shared" si="98"/>
        <v>1.3775047412552699E-3</v>
      </c>
      <c r="R2925" s="12" t="str">
        <f ca="1">IFERROR(__xludf.DUMMYFUNCTION("""COMPUTED_VALUE"""),"Election ")</f>
        <v>Election </v>
      </c>
      <c r="S2925" s="12">
        <f t="shared" si="99"/>
        <v>-133735525</v>
      </c>
    </row>
    <row r="2926" spans="1:19" x14ac:dyDescent="0.3">
      <c r="A2926" s="2" t="s">
        <v>5711</v>
      </c>
      <c r="B2926" s="2">
        <v>65</v>
      </c>
      <c r="C2926" s="3">
        <v>19389454</v>
      </c>
      <c r="D2926" s="3" t="s">
        <v>5869</v>
      </c>
      <c r="E2926" s="2" t="s">
        <v>5712</v>
      </c>
      <c r="F2926" s="2" t="s">
        <v>10</v>
      </c>
      <c r="G2926" s="2" t="s">
        <v>11</v>
      </c>
      <c r="H2926" s="3">
        <v>474544677</v>
      </c>
      <c r="I2926" s="2">
        <v>6.7</v>
      </c>
      <c r="J2926" s="3">
        <v>60400856</v>
      </c>
      <c r="K2926">
        <f t="shared" si="98"/>
        <v>1.3775047412552699E-3</v>
      </c>
      <c r="R2926" s="12" t="str">
        <f ca="1">IFERROR(__xludf.DUMMYFUNCTION("""COMPUTED_VALUE"""),"The DUFF ")</f>
        <v>The DUFF </v>
      </c>
      <c r="S2926" s="12">
        <f t="shared" si="99"/>
        <v>-466939009</v>
      </c>
    </row>
    <row r="2927" spans="1:19" x14ac:dyDescent="0.3">
      <c r="A2927" s="2" t="s">
        <v>1557</v>
      </c>
      <c r="B2927" s="2">
        <v>133</v>
      </c>
      <c r="C2927" s="3">
        <v>22264487</v>
      </c>
      <c r="D2927" s="3" t="s">
        <v>5849</v>
      </c>
      <c r="E2927" s="2" t="s">
        <v>1558</v>
      </c>
      <c r="F2927" s="2" t="s">
        <v>10</v>
      </c>
      <c r="G2927" s="2" t="s">
        <v>11</v>
      </c>
      <c r="H2927" s="2">
        <v>45000000</v>
      </c>
      <c r="I2927" s="2">
        <v>7.4</v>
      </c>
      <c r="J2927" s="3">
        <v>60443237</v>
      </c>
      <c r="K2927">
        <f t="shared" si="98"/>
        <v>1.3775047412552699E-3</v>
      </c>
      <c r="R2927" s="12" t="str">
        <f ca="1">IFERROR(__xludf.DUMMYFUNCTION("""COMPUTED_VALUE"""),"Glitter ")</f>
        <v>Glitter </v>
      </c>
      <c r="S2927" s="12">
        <f t="shared" si="99"/>
        <v>-22666342</v>
      </c>
    </row>
    <row r="2928" spans="1:19" x14ac:dyDescent="0.3">
      <c r="A2928" s="2" t="s">
        <v>141</v>
      </c>
      <c r="B2928" s="2">
        <v>108</v>
      </c>
      <c r="C2928" s="3">
        <v>5792822</v>
      </c>
      <c r="D2928" s="3" t="s">
        <v>5753</v>
      </c>
      <c r="E2928" s="2" t="s">
        <v>4446</v>
      </c>
      <c r="F2928" s="2" t="s">
        <v>10</v>
      </c>
      <c r="G2928" s="2" t="s">
        <v>11</v>
      </c>
      <c r="H2928" s="2">
        <v>6500000</v>
      </c>
      <c r="I2928" s="2">
        <v>6.2</v>
      </c>
      <c r="J2928" s="3">
        <v>60470220</v>
      </c>
      <c r="K2928">
        <f t="shared" si="98"/>
        <v>1.3775047412552699E-3</v>
      </c>
      <c r="R2928" s="12" t="str">
        <f ca="1">IFERROR(__xludf.DUMMYFUNCTION("""COMPUTED_VALUE"""),"Bright Star ")</f>
        <v>Bright Star </v>
      </c>
      <c r="S2928" s="12">
        <f t="shared" si="99"/>
        <v>20000377</v>
      </c>
    </row>
    <row r="2929" spans="1:19" x14ac:dyDescent="0.3">
      <c r="A2929" s="2" t="s">
        <v>1059</v>
      </c>
      <c r="B2929" s="2">
        <v>170</v>
      </c>
      <c r="C2929" s="3">
        <v>20400000</v>
      </c>
      <c r="D2929" s="3" t="s">
        <v>5947</v>
      </c>
      <c r="E2929" s="2" t="s">
        <v>1060</v>
      </c>
      <c r="F2929" s="2" t="s">
        <v>10</v>
      </c>
      <c r="G2929" s="2" t="s">
        <v>11</v>
      </c>
      <c r="H2929" s="2">
        <v>60000000</v>
      </c>
      <c r="I2929" s="2">
        <v>6.5</v>
      </c>
      <c r="J2929" s="3">
        <v>60491560</v>
      </c>
      <c r="K2929">
        <f t="shared" si="98"/>
        <v>1.3775047412552699E-3</v>
      </c>
      <c r="R2929" s="12" t="str">
        <f ca="1">IFERROR(__xludf.DUMMYFUNCTION("""COMPUTED_VALUE"""),"My Name Is Khan ")</f>
        <v>My Name Is Khan </v>
      </c>
      <c r="S2929" s="12">
        <f t="shared" si="99"/>
        <v>-29505506</v>
      </c>
    </row>
    <row r="2930" spans="1:19" x14ac:dyDescent="0.3">
      <c r="A2930" s="2" t="s">
        <v>1170</v>
      </c>
      <c r="B2930" s="2">
        <v>100</v>
      </c>
      <c r="C2930" s="3">
        <v>978908</v>
      </c>
      <c r="D2930" s="3" t="s">
        <v>5849</v>
      </c>
      <c r="E2930" s="2" t="s">
        <v>1432</v>
      </c>
      <c r="F2930" s="2" t="s">
        <v>10</v>
      </c>
      <c r="G2930" s="2" t="s">
        <v>11</v>
      </c>
      <c r="H2930" s="2">
        <v>40000000</v>
      </c>
      <c r="I2930" s="2">
        <v>5.4</v>
      </c>
      <c r="J2930" s="3">
        <v>60507228</v>
      </c>
      <c r="K2930">
        <f t="shared" si="98"/>
        <v>1.3775047412552699E-3</v>
      </c>
      <c r="R2930" s="12" t="str">
        <f ca="1">IFERROR(__xludf.DUMMYFUNCTION("""COMPUTED_VALUE"""),"All Is Lost ")</f>
        <v>All Is Lost </v>
      </c>
      <c r="S2930" s="12">
        <f t="shared" si="99"/>
        <v>-12655153</v>
      </c>
    </row>
    <row r="2931" spans="1:19" x14ac:dyDescent="0.3">
      <c r="A2931" s="2" t="s">
        <v>1276</v>
      </c>
      <c r="B2931" s="2">
        <v>87</v>
      </c>
      <c r="C2931" s="3">
        <v>108662</v>
      </c>
      <c r="D2931" s="3" t="s">
        <v>5818</v>
      </c>
      <c r="E2931" s="2" t="s">
        <v>5468</v>
      </c>
      <c r="F2931" s="2" t="s">
        <v>10</v>
      </c>
      <c r="G2931" s="2" t="s">
        <v>16</v>
      </c>
      <c r="H2931" s="2">
        <v>560000</v>
      </c>
      <c r="I2931" s="2">
        <v>7.7</v>
      </c>
      <c r="J2931" s="3">
        <v>60522097</v>
      </c>
      <c r="K2931">
        <f t="shared" si="98"/>
        <v>1.3775047412552699E-3</v>
      </c>
      <c r="R2931" s="12" t="str">
        <f ca="1">IFERROR(__xludf.DUMMYFUNCTION("""COMPUTED_VALUE"""),"Limbo ")</f>
        <v>Limbo </v>
      </c>
      <c r="S2931" s="12">
        <f t="shared" si="99"/>
        <v>18236603</v>
      </c>
    </row>
    <row r="2932" spans="1:19" x14ac:dyDescent="0.3">
      <c r="A2932" s="2" t="s">
        <v>2827</v>
      </c>
      <c r="B2932" s="2">
        <v>98</v>
      </c>
      <c r="C2932" s="3">
        <v>3151130</v>
      </c>
      <c r="D2932" s="3" t="s">
        <v>5869</v>
      </c>
      <c r="E2932" s="2" t="s">
        <v>2917</v>
      </c>
      <c r="F2932" s="2" t="s">
        <v>10</v>
      </c>
      <c r="G2932" s="2" t="s">
        <v>11</v>
      </c>
      <c r="H2932" s="2">
        <v>30000000</v>
      </c>
      <c r="I2932" s="2">
        <v>7.2</v>
      </c>
      <c r="J2932" s="3">
        <v>60573641</v>
      </c>
      <c r="K2932">
        <f t="shared" si="98"/>
        <v>1.3775047412552699E-3</v>
      </c>
      <c r="R2932" s="12" t="str">
        <f ca="1">IFERROR(__xludf.DUMMYFUNCTION("""COMPUTED_VALUE"""),"Repo! The Genetic Opera ")</f>
        <v>Repo! The Genetic Opera </v>
      </c>
      <c r="S2932" s="12">
        <f t="shared" si="99"/>
        <v>9746550</v>
      </c>
    </row>
    <row r="2933" spans="1:19" x14ac:dyDescent="0.3">
      <c r="A2933" s="2" t="s">
        <v>254</v>
      </c>
      <c r="B2933" s="2">
        <v>109</v>
      </c>
      <c r="C2933" s="3">
        <v>6852144</v>
      </c>
      <c r="D2933" s="3" t="s">
        <v>5894</v>
      </c>
      <c r="E2933" s="2" t="s">
        <v>3103</v>
      </c>
      <c r="F2933" s="2" t="s">
        <v>10</v>
      </c>
      <c r="G2933" s="2" t="s">
        <v>2085</v>
      </c>
      <c r="H2933" s="2">
        <v>15000000</v>
      </c>
      <c r="I2933" s="2">
        <v>7.1</v>
      </c>
      <c r="J2933" s="3">
        <v>60652036</v>
      </c>
      <c r="K2933">
        <f t="shared" si="98"/>
        <v>1.3775047412552699E-3</v>
      </c>
      <c r="R2933" s="12" t="str">
        <f ca="1">IFERROR(__xludf.DUMMYFUNCTION("""COMPUTED_VALUE"""),"Pulp Fiction ")</f>
        <v>Pulp Fiction </v>
      </c>
      <c r="S2933" s="12">
        <f t="shared" si="99"/>
        <v>12048353</v>
      </c>
    </row>
    <row r="2934" spans="1:19" x14ac:dyDescent="0.3">
      <c r="A2934" s="2" t="s">
        <v>4381</v>
      </c>
      <c r="B2934" s="2">
        <v>99</v>
      </c>
      <c r="C2934" s="3">
        <v>34151</v>
      </c>
      <c r="D2934" s="3" t="s">
        <v>5767</v>
      </c>
      <c r="E2934" s="2" t="s">
        <v>4382</v>
      </c>
      <c r="F2934" s="2" t="s">
        <v>10</v>
      </c>
      <c r="G2934" s="2" t="s">
        <v>11</v>
      </c>
      <c r="H2934" s="2">
        <v>7000000</v>
      </c>
      <c r="I2934" s="2">
        <v>7.6</v>
      </c>
      <c r="J2934" s="3">
        <v>60655503</v>
      </c>
      <c r="K2934">
        <f t="shared" si="98"/>
        <v>1.3775047412552699E-3</v>
      </c>
      <c r="R2934" s="12" t="str">
        <f ca="1">IFERROR(__xludf.DUMMYFUNCTION("""COMPUTED_VALUE"""),"Nightcrawler ")</f>
        <v>Nightcrawler </v>
      </c>
      <c r="S2934" s="12">
        <f t="shared" si="99"/>
        <v>-72600000</v>
      </c>
    </row>
    <row r="2935" spans="1:19" x14ac:dyDescent="0.3">
      <c r="A2935" s="2" t="s">
        <v>557</v>
      </c>
      <c r="B2935" s="2">
        <v>90</v>
      </c>
      <c r="C2935" s="3">
        <v>7574066</v>
      </c>
      <c r="D2935" s="3" t="s">
        <v>5773</v>
      </c>
      <c r="E2935" s="2" t="s">
        <v>558</v>
      </c>
      <c r="F2935" s="2" t="s">
        <v>10</v>
      </c>
      <c r="G2935" s="2" t="s">
        <v>11</v>
      </c>
      <c r="H2935" s="2">
        <v>100000000</v>
      </c>
      <c r="I2935" s="2">
        <v>7</v>
      </c>
      <c r="J2935" s="3">
        <v>60786269</v>
      </c>
      <c r="K2935">
        <f t="shared" si="98"/>
        <v>1.3775047412552699E-3</v>
      </c>
      <c r="R2935" s="12" t="str">
        <f ca="1">IFERROR(__xludf.DUMMYFUNCTION("""COMPUTED_VALUE"""),"Club Dread ")</f>
        <v>Club Dread </v>
      </c>
      <c r="S2935" s="12">
        <f t="shared" si="99"/>
        <v>55554449</v>
      </c>
    </row>
    <row r="2936" spans="1:19" x14ac:dyDescent="0.3">
      <c r="A2936" s="2" t="s">
        <v>316</v>
      </c>
      <c r="B2936" s="2">
        <v>97</v>
      </c>
      <c r="C2936" s="3">
        <v>488872</v>
      </c>
      <c r="D2936" s="3" t="s">
        <v>5849</v>
      </c>
      <c r="E2936" s="2" t="s">
        <v>2568</v>
      </c>
      <c r="F2936" s="2" t="s">
        <v>10</v>
      </c>
      <c r="G2936" s="2" t="s">
        <v>2181</v>
      </c>
      <c r="H2936" s="2">
        <v>25000000</v>
      </c>
      <c r="I2936" s="2">
        <v>6.5</v>
      </c>
      <c r="J2936" s="3">
        <v>60874615</v>
      </c>
      <c r="K2936">
        <f t="shared" si="98"/>
        <v>1.3775047412552699E-3</v>
      </c>
      <c r="R2936" s="12" t="str">
        <f ca="1">IFERROR(__xludf.DUMMYFUNCTION("""COMPUTED_VALUE"""),"The Sound of Music ")</f>
        <v>The Sound of Music </v>
      </c>
      <c r="S2936" s="12">
        <f t="shared" si="99"/>
        <v>-25969419</v>
      </c>
    </row>
    <row r="2937" spans="1:19" x14ac:dyDescent="0.3">
      <c r="A2937" s="2" t="s">
        <v>131</v>
      </c>
      <c r="B2937" s="2">
        <v>91</v>
      </c>
      <c r="C2937" s="3">
        <v>7455447</v>
      </c>
      <c r="D2937" s="3" t="s">
        <v>5869</v>
      </c>
      <c r="E2937" s="2" t="s">
        <v>4773</v>
      </c>
      <c r="F2937" s="2" t="s">
        <v>10</v>
      </c>
      <c r="G2937" s="2" t="s">
        <v>11</v>
      </c>
      <c r="H2937" s="2">
        <v>4000000</v>
      </c>
      <c r="I2937" s="2">
        <v>4.5999999999999996</v>
      </c>
      <c r="J2937" s="3">
        <v>60962878</v>
      </c>
      <c r="K2937">
        <f t="shared" si="98"/>
        <v>1.3775047412552699E-3</v>
      </c>
      <c r="R2937" s="12" t="str">
        <f ca="1">IFERROR(__xludf.DUMMYFUNCTION("""COMPUTED_VALUE"""),"Splash ")</f>
        <v>Splash </v>
      </c>
      <c r="S2937" s="12">
        <f t="shared" si="99"/>
        <v>-117811358</v>
      </c>
    </row>
    <row r="2938" spans="1:19" x14ac:dyDescent="0.3">
      <c r="A2938" s="2" t="s">
        <v>1572</v>
      </c>
      <c r="B2938" s="2">
        <v>98</v>
      </c>
      <c r="C2938" s="3">
        <v>4142507</v>
      </c>
      <c r="D2938" s="3" t="s">
        <v>6414</v>
      </c>
      <c r="E2938" s="2" t="s">
        <v>2755</v>
      </c>
      <c r="F2938" s="2" t="s">
        <v>10</v>
      </c>
      <c r="G2938" s="2" t="s">
        <v>11</v>
      </c>
      <c r="H2938" s="2">
        <v>23000000</v>
      </c>
      <c r="I2938" s="2">
        <v>6</v>
      </c>
      <c r="J2938" s="3">
        <v>60984028</v>
      </c>
      <c r="K2938">
        <f t="shared" si="98"/>
        <v>1.3775047412552699E-3</v>
      </c>
      <c r="R2938" s="12" t="str">
        <f ca="1">IFERROR(__xludf.DUMMYFUNCTION("""COMPUTED_VALUE"""),"Little Miss Sunshine ")</f>
        <v>Little Miss Sunshine </v>
      </c>
      <c r="S2938" s="12">
        <f t="shared" si="99"/>
        <v>35919096</v>
      </c>
    </row>
    <row r="2939" spans="1:19" x14ac:dyDescent="0.3">
      <c r="A2939" s="2" t="s">
        <v>3963</v>
      </c>
      <c r="B2939" s="2">
        <v>85</v>
      </c>
      <c r="C2939" s="3">
        <v>10268846</v>
      </c>
      <c r="D2939" s="3" t="s">
        <v>5940</v>
      </c>
      <c r="E2939" s="2" t="s">
        <v>4913</v>
      </c>
      <c r="F2939" s="2" t="s">
        <v>10</v>
      </c>
      <c r="G2939" s="2" t="s">
        <v>11</v>
      </c>
      <c r="H2939" s="2">
        <v>3000000</v>
      </c>
      <c r="I2939" s="2">
        <v>5.7</v>
      </c>
      <c r="J2939" s="3">
        <v>61094903</v>
      </c>
      <c r="K2939">
        <f t="shared" si="98"/>
        <v>1.3775047412552699E-3</v>
      </c>
      <c r="R2939" s="12" t="str">
        <f ca="1">IFERROR(__xludf.DUMMYFUNCTION("""COMPUTED_VALUE"""),"Stand by Me ")</f>
        <v>Stand by Me </v>
      </c>
      <c r="S2939" s="12">
        <f t="shared" si="99"/>
        <v>100000</v>
      </c>
    </row>
    <row r="2940" spans="1:19" x14ac:dyDescent="0.3">
      <c r="A2940" s="2" t="s">
        <v>3568</v>
      </c>
      <c r="B2940" s="2">
        <v>95</v>
      </c>
      <c r="C2940" s="3">
        <v>3130592</v>
      </c>
      <c r="D2940" s="3" t="s">
        <v>520</v>
      </c>
      <c r="E2940" s="2" t="s">
        <v>4546</v>
      </c>
      <c r="F2940" s="2" t="s">
        <v>10</v>
      </c>
      <c r="G2940" s="2" t="s">
        <v>11</v>
      </c>
      <c r="H2940" s="2">
        <v>12000000</v>
      </c>
      <c r="I2940" s="2">
        <v>6.3</v>
      </c>
      <c r="J2940" s="3">
        <v>61112916</v>
      </c>
      <c r="K2940">
        <f t="shared" si="98"/>
        <v>1.3775047412552699E-3</v>
      </c>
      <c r="R2940" s="12" t="str">
        <f ca="1">IFERROR(__xludf.DUMMYFUNCTION("""COMPUTED_VALUE"""),"28 Days Later... ")</f>
        <v>28 Days Later... </v>
      </c>
      <c r="S2940" s="12">
        <f t="shared" si="99"/>
        <v>-13360000</v>
      </c>
    </row>
    <row r="2941" spans="1:19" x14ac:dyDescent="0.3">
      <c r="A2941" s="2" t="s">
        <v>282</v>
      </c>
      <c r="B2941" s="2">
        <v>107</v>
      </c>
      <c r="C2941" s="3">
        <v>13651662</v>
      </c>
      <c r="D2941" s="3" t="s">
        <v>6019</v>
      </c>
      <c r="E2941" s="2" t="s">
        <v>2242</v>
      </c>
      <c r="F2941" s="2" t="s">
        <v>10</v>
      </c>
      <c r="G2941" s="2" t="s">
        <v>11</v>
      </c>
      <c r="H2941" s="2">
        <v>30000000</v>
      </c>
      <c r="I2941" s="2">
        <v>6.2</v>
      </c>
      <c r="J2941" s="3">
        <v>61280963</v>
      </c>
      <c r="K2941">
        <f t="shared" si="98"/>
        <v>1.3775047412552699E-3</v>
      </c>
      <c r="R2941" s="12" t="str">
        <f ca="1">IFERROR(__xludf.DUMMYFUNCTION("""COMPUTED_VALUE"""),"You Got Served ")</f>
        <v>You Got Served </v>
      </c>
      <c r="S2941" s="12">
        <f t="shared" si="99"/>
        <v>17983713</v>
      </c>
    </row>
    <row r="2942" spans="1:19" x14ac:dyDescent="0.3">
      <c r="A2942" s="2" t="s">
        <v>738</v>
      </c>
      <c r="B2942" s="2">
        <v>101</v>
      </c>
      <c r="C2942" s="3">
        <v>480314</v>
      </c>
      <c r="D2942" s="3" t="s">
        <v>6415</v>
      </c>
      <c r="E2942" s="2" t="s">
        <v>3995</v>
      </c>
      <c r="F2942" s="2" t="s">
        <v>10</v>
      </c>
      <c r="G2942" s="2" t="s">
        <v>11</v>
      </c>
      <c r="H2942" s="2">
        <v>10000000</v>
      </c>
      <c r="I2942" s="2">
        <v>6.5</v>
      </c>
      <c r="J2942" s="3">
        <v>61355436</v>
      </c>
      <c r="K2942">
        <f t="shared" si="98"/>
        <v>1.3775047412552699E-3</v>
      </c>
      <c r="R2942" s="12" t="str">
        <f ca="1">IFERROR(__xludf.DUMMYFUNCTION("""COMPUTED_VALUE"""),"Escape from Alcatraz ")</f>
        <v>Escape from Alcatraz </v>
      </c>
      <c r="S2942" s="12">
        <f t="shared" si="99"/>
        <v>-12954460</v>
      </c>
    </row>
    <row r="2943" spans="1:19" x14ac:dyDescent="0.3">
      <c r="A2943" s="2" t="s">
        <v>79</v>
      </c>
      <c r="B2943" s="2">
        <v>125</v>
      </c>
      <c r="C2943" s="3">
        <v>40962534</v>
      </c>
      <c r="D2943" s="3" t="s">
        <v>5940</v>
      </c>
      <c r="E2943" s="2" t="s">
        <v>80</v>
      </c>
      <c r="F2943" s="2" t="s">
        <v>10</v>
      </c>
      <c r="G2943" s="2" t="s">
        <v>11</v>
      </c>
      <c r="H2943" s="2">
        <v>170000000</v>
      </c>
      <c r="I2943" s="2">
        <v>6.8</v>
      </c>
      <c r="J2943" s="3">
        <v>61356221</v>
      </c>
      <c r="K2943">
        <f t="shared" si="98"/>
        <v>1.3775047412552699E-3</v>
      </c>
      <c r="R2943" s="12" t="str">
        <f ca="1">IFERROR(__xludf.DUMMYFUNCTION("""COMPUTED_VALUE"""),"Brown Sugar ")</f>
        <v>Brown Sugar </v>
      </c>
      <c r="S2943" s="12">
        <f t="shared" si="99"/>
        <v>-15890905</v>
      </c>
    </row>
    <row r="2944" spans="1:19" x14ac:dyDescent="0.3">
      <c r="A2944" s="2" t="s">
        <v>2163</v>
      </c>
      <c r="B2944" s="2">
        <v>108</v>
      </c>
      <c r="C2944" s="3">
        <v>37553932</v>
      </c>
      <c r="D2944" s="3" t="s">
        <v>6416</v>
      </c>
      <c r="E2944" s="2" t="s">
        <v>2164</v>
      </c>
      <c r="F2944" s="2" t="s">
        <v>10</v>
      </c>
      <c r="G2944" s="2" t="s">
        <v>11</v>
      </c>
      <c r="H2944" s="2">
        <v>30000000</v>
      </c>
      <c r="I2944" s="2">
        <v>6.4</v>
      </c>
      <c r="J2944" s="3">
        <v>61400000</v>
      </c>
      <c r="K2944">
        <f t="shared" si="98"/>
        <v>1.3775047412552699E-3</v>
      </c>
      <c r="R2944" s="12" t="str">
        <f ca="1">IFERROR(__xludf.DUMMYFUNCTION("""COMPUTED_VALUE"""),"A Thin Line Between Love and Hate ")</f>
        <v>A Thin Line Between Love and Hate </v>
      </c>
      <c r="S2944" s="12">
        <f t="shared" si="99"/>
        <v>-17982822</v>
      </c>
    </row>
    <row r="2945" spans="1:19" x14ac:dyDescent="0.3">
      <c r="A2945" s="2" t="s">
        <v>4268</v>
      </c>
      <c r="B2945" s="2">
        <v>93</v>
      </c>
      <c r="C2945" s="3">
        <v>21078145</v>
      </c>
      <c r="D2945" s="3" t="s">
        <v>5776</v>
      </c>
      <c r="E2945" s="2" t="s">
        <v>4269</v>
      </c>
      <c r="F2945" s="2" t="s">
        <v>10</v>
      </c>
      <c r="G2945" s="2" t="s">
        <v>11</v>
      </c>
      <c r="H2945" s="2">
        <v>8000000</v>
      </c>
      <c r="I2945" s="2">
        <v>7.1</v>
      </c>
      <c r="J2945" s="3">
        <v>61490000</v>
      </c>
      <c r="K2945">
        <f t="shared" si="98"/>
        <v>1.3775047412552699E-3</v>
      </c>
      <c r="R2945" s="12" t="str">
        <f ca="1">IFERROR(__xludf.DUMMYFUNCTION("""COMPUTED_VALUE"""),"50/50 ")</f>
        <v>50/50 </v>
      </c>
      <c r="S2945" s="12">
        <f t="shared" si="99"/>
        <v>-76985496</v>
      </c>
    </row>
    <row r="2946" spans="1:19" x14ac:dyDescent="0.3">
      <c r="A2946" s="2" t="s">
        <v>1026</v>
      </c>
      <c r="B2946" s="2">
        <v>87</v>
      </c>
      <c r="C2946" s="3">
        <v>515005</v>
      </c>
      <c r="D2946" s="3" t="s">
        <v>5818</v>
      </c>
      <c r="E2946" s="2" t="s">
        <v>2712</v>
      </c>
      <c r="F2946" s="2" t="s">
        <v>10</v>
      </c>
      <c r="G2946" s="2" t="s">
        <v>11</v>
      </c>
      <c r="H2946" s="2">
        <v>24000000</v>
      </c>
      <c r="I2946" s="2">
        <v>6.2</v>
      </c>
      <c r="J2946" s="3">
        <v>61644321</v>
      </c>
      <c r="K2946">
        <f t="shared" ref="K2946:K3009" si="100">CORREL(H$2:H$3941,J$2:J$3941)</f>
        <v>1.3775047412552699E-3</v>
      </c>
      <c r="R2946" s="12" t="str">
        <f ca="1">IFERROR(__xludf.DUMMYFUNCTION("""COMPUTED_VALUE"""),"Shutter ")</f>
        <v>Shutter </v>
      </c>
      <c r="S2946" s="12">
        <f t="shared" si="99"/>
        <v>-19391455</v>
      </c>
    </row>
    <row r="2947" spans="1:19" x14ac:dyDescent="0.3">
      <c r="A2947" s="2" t="s">
        <v>304</v>
      </c>
      <c r="B2947" s="2">
        <v>115</v>
      </c>
      <c r="C2947" s="3">
        <v>195888</v>
      </c>
      <c r="D2947" s="3" t="s">
        <v>5849</v>
      </c>
      <c r="E2947" s="2" t="s">
        <v>305</v>
      </c>
      <c r="F2947" s="2" t="s">
        <v>10</v>
      </c>
      <c r="G2947" s="2" t="s">
        <v>11</v>
      </c>
      <c r="H2947" s="2">
        <v>110000000</v>
      </c>
      <c r="I2947" s="2">
        <v>8.1</v>
      </c>
      <c r="J2947" s="3">
        <v>61656849</v>
      </c>
      <c r="K2947">
        <f t="shared" si="100"/>
        <v>1.3775047412552699E-3</v>
      </c>
      <c r="R2947" s="12" t="str">
        <f ca="1">IFERROR(__xludf.DUMMYFUNCTION("""COMPUTED_VALUE"""),"That Awkward Moment ")</f>
        <v>That Awkward Moment </v>
      </c>
      <c r="S2947" s="12">
        <f t="shared" si="99"/>
        <v>-57052237</v>
      </c>
    </row>
    <row r="2948" spans="1:19" x14ac:dyDescent="0.3">
      <c r="A2948" s="2" t="s">
        <v>2246</v>
      </c>
      <c r="B2948" s="2">
        <v>95</v>
      </c>
      <c r="C2948" s="3">
        <v>42610000</v>
      </c>
      <c r="D2948" s="3" t="s">
        <v>5976</v>
      </c>
      <c r="E2948" s="2" t="s">
        <v>2247</v>
      </c>
      <c r="F2948" s="2" t="s">
        <v>10</v>
      </c>
      <c r="G2948" s="2" t="s">
        <v>11</v>
      </c>
      <c r="H2948" s="2">
        <v>30000000</v>
      </c>
      <c r="I2948" s="2">
        <v>7</v>
      </c>
      <c r="J2948" s="3">
        <v>61693523</v>
      </c>
      <c r="K2948">
        <f t="shared" si="100"/>
        <v>1.3775047412552699E-3</v>
      </c>
      <c r="R2948" s="12" t="str">
        <f ca="1">IFERROR(__xludf.DUMMYFUNCTION("""COMPUTED_VALUE"""),"Much Ado About Nothing ")</f>
        <v>Much Ado About Nothing </v>
      </c>
      <c r="S2948" s="12">
        <f t="shared" si="99"/>
        <v>-455155223</v>
      </c>
    </row>
    <row r="2949" spans="1:19" x14ac:dyDescent="0.3">
      <c r="A2949" s="2" t="s">
        <v>581</v>
      </c>
      <c r="B2949" s="2">
        <v>161</v>
      </c>
      <c r="C2949" s="3">
        <v>56129</v>
      </c>
      <c r="D2949" s="3" t="s">
        <v>5857</v>
      </c>
      <c r="E2949" s="2" t="s">
        <v>2150</v>
      </c>
      <c r="F2949" s="2" t="s">
        <v>10</v>
      </c>
      <c r="G2949" s="2" t="s">
        <v>11</v>
      </c>
      <c r="H2949" s="2">
        <v>31000000</v>
      </c>
      <c r="I2949" s="2">
        <v>7.2</v>
      </c>
      <c r="J2949" s="3">
        <v>61937495</v>
      </c>
      <c r="K2949">
        <f t="shared" si="100"/>
        <v>1.3775047412552699E-3</v>
      </c>
      <c r="R2949" s="12" t="str">
        <f ca="1">IFERROR(__xludf.DUMMYFUNCTION("""COMPUTED_VALUE"""),"On Her Majesty's Secret Service ")</f>
        <v>On Her Majesty's Secret Service </v>
      </c>
      <c r="S2949" s="12">
        <f t="shared" si="99"/>
        <v>-22735513</v>
      </c>
    </row>
    <row r="2950" spans="1:19" x14ac:dyDescent="0.3">
      <c r="A2950" s="2" t="s">
        <v>717</v>
      </c>
      <c r="B2950" s="2">
        <v>120</v>
      </c>
      <c r="C2950" s="3">
        <v>19447478</v>
      </c>
      <c r="D2950" s="3" t="s">
        <v>6179</v>
      </c>
      <c r="E2950" s="2" t="s">
        <v>5043</v>
      </c>
      <c r="F2950" s="2" t="s">
        <v>10</v>
      </c>
      <c r="G2950" s="2" t="s">
        <v>11</v>
      </c>
      <c r="H2950" s="2">
        <v>2280000</v>
      </c>
      <c r="I2950" s="2">
        <v>7.8</v>
      </c>
      <c r="J2950" s="3">
        <v>62300000</v>
      </c>
      <c r="K2950">
        <f t="shared" si="100"/>
        <v>1.3775047412552699E-3</v>
      </c>
      <c r="R2950" s="12" t="str">
        <f ca="1">IFERROR(__xludf.DUMMYFUNCTION("""COMPUTED_VALUE"""),"New Nightmare ")</f>
        <v>New Nightmare </v>
      </c>
      <c r="S2950" s="12">
        <f t="shared" si="99"/>
        <v>-707178</v>
      </c>
    </row>
    <row r="2951" spans="1:19" x14ac:dyDescent="0.3">
      <c r="A2951" s="2" t="s">
        <v>1248</v>
      </c>
      <c r="B2951" s="2">
        <v>84</v>
      </c>
      <c r="C2951" s="3">
        <v>8460995</v>
      </c>
      <c r="D2951" s="3" t="s">
        <v>5794</v>
      </c>
      <c r="E2951" s="2" t="s">
        <v>1616</v>
      </c>
      <c r="F2951" s="2" t="s">
        <v>10</v>
      </c>
      <c r="G2951" s="2" t="s">
        <v>16</v>
      </c>
      <c r="H2951" s="2">
        <v>45000000</v>
      </c>
      <c r="I2951" s="2">
        <v>7</v>
      </c>
      <c r="J2951" s="3">
        <v>62318875</v>
      </c>
      <c r="K2951">
        <f t="shared" si="100"/>
        <v>1.3775047412552699E-3</v>
      </c>
      <c r="R2951" s="12" t="str">
        <f ca="1">IFERROR(__xludf.DUMMYFUNCTION("""COMPUTED_VALUE"""),"Drive Me Crazy ")</f>
        <v>Drive Me Crazy </v>
      </c>
      <c r="S2951" s="12">
        <f t="shared" si="99"/>
        <v>-39600000</v>
      </c>
    </row>
    <row r="2952" spans="1:19" x14ac:dyDescent="0.3">
      <c r="A2952" s="2" t="s">
        <v>907</v>
      </c>
      <c r="B2952" s="2">
        <v>97</v>
      </c>
      <c r="C2952" s="3">
        <v>1954202</v>
      </c>
      <c r="D2952" s="3" t="s">
        <v>6144</v>
      </c>
      <c r="E2952" s="2" t="s">
        <v>908</v>
      </c>
      <c r="F2952" s="2" t="s">
        <v>10</v>
      </c>
      <c r="G2952" s="2" t="s">
        <v>11</v>
      </c>
      <c r="H2952" s="2">
        <v>70000000</v>
      </c>
      <c r="I2952" s="2">
        <v>5.8</v>
      </c>
      <c r="J2952" s="3">
        <v>62321039</v>
      </c>
      <c r="K2952">
        <f t="shared" si="100"/>
        <v>1.3775047412552699E-3</v>
      </c>
      <c r="R2952" s="12" t="str">
        <f ca="1">IFERROR(__xludf.DUMMYFUNCTION("""COMPUTED_VALUE"""),"Half Baked ")</f>
        <v>Half Baked </v>
      </c>
      <c r="S2952" s="12">
        <f t="shared" si="99"/>
        <v>-39021092</v>
      </c>
    </row>
    <row r="2953" spans="1:19" x14ac:dyDescent="0.3">
      <c r="A2953" s="2" t="s">
        <v>1788</v>
      </c>
      <c r="B2953" s="2">
        <v>97</v>
      </c>
      <c r="C2953" s="3">
        <v>3287435</v>
      </c>
      <c r="D2953" s="3" t="s">
        <v>6242</v>
      </c>
      <c r="E2953" s="2" t="s">
        <v>4409</v>
      </c>
      <c r="F2953" s="2" t="s">
        <v>10</v>
      </c>
      <c r="G2953" s="2" t="s">
        <v>11</v>
      </c>
      <c r="H2953" s="2">
        <v>7000000</v>
      </c>
      <c r="I2953" s="2">
        <v>6.3</v>
      </c>
      <c r="J2953" s="3">
        <v>62401264</v>
      </c>
      <c r="K2953">
        <f t="shared" si="100"/>
        <v>1.3775047412552699E-3</v>
      </c>
      <c r="R2953" s="12" t="str">
        <f ca="1">IFERROR(__xludf.DUMMYFUNCTION("""COMPUTED_VALUE"""),"New in Town ")</f>
        <v>New in Town </v>
      </c>
      <c r="S2953" s="12">
        <f t="shared" si="99"/>
        <v>-451338</v>
      </c>
    </row>
    <row r="2954" spans="1:19" x14ac:dyDescent="0.3">
      <c r="A2954" s="2" t="s">
        <v>1288</v>
      </c>
      <c r="B2954" s="2">
        <v>81</v>
      </c>
      <c r="C2954" s="3">
        <v>5359774</v>
      </c>
      <c r="D2954" s="3" t="s">
        <v>5894</v>
      </c>
      <c r="E2954" s="2" t="s">
        <v>5732</v>
      </c>
      <c r="F2954" s="2" t="s">
        <v>723</v>
      </c>
      <c r="G2954" s="2" t="s">
        <v>11</v>
      </c>
      <c r="H2954" s="3">
        <v>474544677</v>
      </c>
      <c r="I2954" s="2">
        <v>6.9</v>
      </c>
      <c r="J2954" s="3">
        <v>62453315</v>
      </c>
      <c r="K2954">
        <f t="shared" si="100"/>
        <v>1.3775047412552699E-3</v>
      </c>
      <c r="R2954" s="12" t="str">
        <f ca="1">IFERROR(__xludf.DUMMYFUNCTION("""COMPUTED_VALUE"""),"American Psycho ")</f>
        <v>American Psycho </v>
      </c>
      <c r="S2954" s="12">
        <f t="shared" si="99"/>
        <v>-26848870</v>
      </c>
    </row>
    <row r="2955" spans="1:19" x14ac:dyDescent="0.3">
      <c r="A2955" s="2" t="s">
        <v>3564</v>
      </c>
      <c r="B2955" s="2">
        <v>103</v>
      </c>
      <c r="C2955" s="3">
        <v>617228</v>
      </c>
      <c r="D2955" s="3" t="s">
        <v>6417</v>
      </c>
      <c r="E2955" s="2" t="s">
        <v>3565</v>
      </c>
      <c r="F2955" s="2" t="s">
        <v>10</v>
      </c>
      <c r="G2955" s="2" t="s">
        <v>11</v>
      </c>
      <c r="H2955" s="2">
        <v>15000000</v>
      </c>
      <c r="I2955" s="2">
        <v>6.1</v>
      </c>
      <c r="J2955" s="3">
        <v>62494975</v>
      </c>
      <c r="K2955">
        <f t="shared" si="100"/>
        <v>1.3775047412552699E-3</v>
      </c>
      <c r="R2955" s="12" t="str">
        <f ca="1">IFERROR(__xludf.DUMMYFUNCTION("""COMPUTED_VALUE"""),"The Good Girl ")</f>
        <v>The Good Girl </v>
      </c>
      <c r="S2955" s="12">
        <f t="shared" si="99"/>
        <v>-8147856</v>
      </c>
    </row>
    <row r="2956" spans="1:19" x14ac:dyDescent="0.3">
      <c r="A2956" s="2" t="s">
        <v>2544</v>
      </c>
      <c r="B2956" s="2">
        <v>85</v>
      </c>
      <c r="C2956" s="3">
        <v>84136909</v>
      </c>
      <c r="D2956" s="3" t="s">
        <v>6392</v>
      </c>
      <c r="E2956" s="2" t="s">
        <v>3999</v>
      </c>
      <c r="F2956" s="2" t="s">
        <v>10</v>
      </c>
      <c r="G2956" s="2" t="s">
        <v>11</v>
      </c>
      <c r="H2956" s="2">
        <v>8500000</v>
      </c>
      <c r="I2956" s="2">
        <v>5</v>
      </c>
      <c r="J2956" s="3">
        <v>62549000</v>
      </c>
      <c r="K2956">
        <f t="shared" si="100"/>
        <v>1.3775047412552699E-3</v>
      </c>
      <c r="R2956" s="12" t="str">
        <f ca="1">IFERROR(__xludf.DUMMYFUNCTION("""COMPUTED_VALUE"""),"The Boondock Saints II: All Saints Day ")</f>
        <v>The Boondock Saints II: All Saints Day </v>
      </c>
      <c r="S2956" s="12">
        <f t="shared" si="99"/>
        <v>-6965849</v>
      </c>
    </row>
    <row r="2957" spans="1:19" x14ac:dyDescent="0.3">
      <c r="A2957" s="2" t="s">
        <v>1417</v>
      </c>
      <c r="B2957" s="2">
        <v>131</v>
      </c>
      <c r="C2957" s="3">
        <v>5004648</v>
      </c>
      <c r="D2957" s="3" t="s">
        <v>5849</v>
      </c>
      <c r="E2957" s="2" t="s">
        <v>1418</v>
      </c>
      <c r="F2957" s="2" t="s">
        <v>10</v>
      </c>
      <c r="G2957" s="2" t="s">
        <v>16</v>
      </c>
      <c r="H2957" s="2">
        <v>50000000</v>
      </c>
      <c r="I2957" s="2">
        <v>6.2</v>
      </c>
      <c r="J2957" s="3">
        <v>62563543</v>
      </c>
      <c r="K2957">
        <f t="shared" si="100"/>
        <v>1.3775047412552699E-3</v>
      </c>
      <c r="R2957" s="12" t="str">
        <f ca="1">IFERROR(__xludf.DUMMYFUNCTION("""COMPUTED_VALUE"""),"Enough Said ")</f>
        <v>Enough Said </v>
      </c>
      <c r="S2957" s="12">
        <f t="shared" si="99"/>
        <v>-92425934</v>
      </c>
    </row>
    <row r="2958" spans="1:19" x14ac:dyDescent="0.3">
      <c r="A2958" s="2" t="s">
        <v>873</v>
      </c>
      <c r="B2958" s="2">
        <v>123</v>
      </c>
      <c r="C2958" s="3">
        <v>1530535</v>
      </c>
      <c r="D2958" s="3" t="s">
        <v>5874</v>
      </c>
      <c r="E2958" s="2" t="s">
        <v>1959</v>
      </c>
      <c r="F2958" s="2" t="s">
        <v>10</v>
      </c>
      <c r="G2958" s="2" t="s">
        <v>11</v>
      </c>
      <c r="H2958" s="2">
        <v>35000000</v>
      </c>
      <c r="I2958" s="2">
        <v>7.2</v>
      </c>
      <c r="J2958" s="3">
        <v>62647540</v>
      </c>
      <c r="K2958">
        <f t="shared" si="100"/>
        <v>1.3775047412552699E-3</v>
      </c>
      <c r="R2958" s="12" t="str">
        <f ca="1">IFERROR(__xludf.DUMMYFUNCTION("""COMPUTED_VALUE"""),"Easy A ")</f>
        <v>Easy A </v>
      </c>
      <c r="S2958" s="12">
        <f t="shared" si="99"/>
        <v>-24511128</v>
      </c>
    </row>
    <row r="2959" spans="1:19" x14ac:dyDescent="0.3">
      <c r="A2959" s="2" t="s">
        <v>81</v>
      </c>
      <c r="B2959" s="2">
        <v>82</v>
      </c>
      <c r="C2959" s="3">
        <v>16252765</v>
      </c>
      <c r="D2959" s="3" t="s">
        <v>6169</v>
      </c>
      <c r="E2959" s="2" t="s">
        <v>553</v>
      </c>
      <c r="F2959" s="2" t="s">
        <v>10</v>
      </c>
      <c r="G2959" s="2" t="s">
        <v>11</v>
      </c>
      <c r="H2959" s="2">
        <v>90000000</v>
      </c>
      <c r="I2959" s="2">
        <v>7.9</v>
      </c>
      <c r="J2959" s="3">
        <v>62700000</v>
      </c>
      <c r="K2959">
        <f t="shared" si="100"/>
        <v>1.3775047412552699E-3</v>
      </c>
      <c r="R2959" s="12" t="str">
        <f ca="1">IFERROR(__xludf.DUMMYFUNCTION("""COMPUTED_VALUE"""),"Shadow of the Vampire ")</f>
        <v>Shadow of the Vampire </v>
      </c>
      <c r="S2959" s="12">
        <f t="shared" si="99"/>
        <v>3455447</v>
      </c>
    </row>
    <row r="2960" spans="1:19" x14ac:dyDescent="0.3">
      <c r="A2960" s="2" t="s">
        <v>48</v>
      </c>
      <c r="B2960" s="2">
        <v>95</v>
      </c>
      <c r="C2960" s="3">
        <v>17071230</v>
      </c>
      <c r="D2960" s="3" t="s">
        <v>5910</v>
      </c>
      <c r="E2960" s="2" t="s">
        <v>4354</v>
      </c>
      <c r="F2960" s="2" t="s">
        <v>10</v>
      </c>
      <c r="G2960" s="2" t="s">
        <v>11</v>
      </c>
      <c r="H2960" s="2">
        <v>7500000</v>
      </c>
      <c r="I2960" s="2">
        <v>7.7</v>
      </c>
      <c r="J2960" s="3">
        <v>62877175</v>
      </c>
      <c r="K2960">
        <f t="shared" si="100"/>
        <v>1.3775047412552699E-3</v>
      </c>
      <c r="R2960" s="12" t="str">
        <f ca="1">IFERROR(__xludf.DUMMYFUNCTION("""COMPUTED_VALUE"""),"Prom ")</f>
        <v>Prom </v>
      </c>
      <c r="S2960" s="12">
        <f t="shared" si="99"/>
        <v>-18857493</v>
      </c>
    </row>
    <row r="2961" spans="1:19" x14ac:dyDescent="0.3">
      <c r="A2961" s="2" t="s">
        <v>429</v>
      </c>
      <c r="B2961" s="2">
        <v>133</v>
      </c>
      <c r="C2961" s="3">
        <v>28014536</v>
      </c>
      <c r="D2961" s="3" t="s">
        <v>5981</v>
      </c>
      <c r="E2961" s="2" t="s">
        <v>912</v>
      </c>
      <c r="F2961" s="2" t="s">
        <v>10</v>
      </c>
      <c r="G2961" s="2" t="s">
        <v>11</v>
      </c>
      <c r="H2961" s="2">
        <v>70000000</v>
      </c>
      <c r="I2961" s="2">
        <v>5.4</v>
      </c>
      <c r="J2961" s="3">
        <v>62933793</v>
      </c>
      <c r="K2961">
        <f t="shared" si="100"/>
        <v>1.3775047412552699E-3</v>
      </c>
      <c r="R2961" s="12" t="str">
        <f ca="1">IFERROR(__xludf.DUMMYFUNCTION("""COMPUTED_VALUE"""),"Held Up ")</f>
        <v>Held Up </v>
      </c>
      <c r="S2961" s="12">
        <f t="shared" si="99"/>
        <v>7268846</v>
      </c>
    </row>
    <row r="2962" spans="1:19" x14ac:dyDescent="0.3">
      <c r="A2962" s="2" t="s">
        <v>404</v>
      </c>
      <c r="B2962" s="2">
        <v>122</v>
      </c>
      <c r="C2962" s="3">
        <v>19067631</v>
      </c>
      <c r="D2962" s="3" t="s">
        <v>885</v>
      </c>
      <c r="E2962" s="2" t="s">
        <v>627</v>
      </c>
      <c r="F2962" s="2" t="s">
        <v>10</v>
      </c>
      <c r="G2962" s="2" t="s">
        <v>11</v>
      </c>
      <c r="H2962" s="2">
        <v>85000000</v>
      </c>
      <c r="I2962" s="2">
        <v>6.9</v>
      </c>
      <c r="J2962" s="3">
        <v>63034755</v>
      </c>
      <c r="K2962">
        <f t="shared" si="100"/>
        <v>1.3775047412552699E-3</v>
      </c>
      <c r="R2962" s="12" t="str">
        <f ca="1">IFERROR(__xludf.DUMMYFUNCTION("""COMPUTED_VALUE"""),"Woman on Top ")</f>
        <v>Woman on Top </v>
      </c>
      <c r="S2962" s="12">
        <f t="shared" si="99"/>
        <v>-8869408</v>
      </c>
    </row>
    <row r="2963" spans="1:19" x14ac:dyDescent="0.3">
      <c r="A2963" s="2" t="s">
        <v>705</v>
      </c>
      <c r="B2963" s="2">
        <v>95</v>
      </c>
      <c r="C2963" s="3">
        <v>45802315</v>
      </c>
      <c r="D2963" s="3" t="s">
        <v>6418</v>
      </c>
      <c r="E2963" s="2" t="s">
        <v>2279</v>
      </c>
      <c r="F2963" s="2" t="s">
        <v>10</v>
      </c>
      <c r="G2963" s="2" t="s">
        <v>11</v>
      </c>
      <c r="H2963" s="2">
        <v>30000000</v>
      </c>
      <c r="I2963" s="2">
        <v>5.0999999999999996</v>
      </c>
      <c r="J2963" s="3">
        <v>63071133</v>
      </c>
      <c r="K2963">
        <f t="shared" si="100"/>
        <v>1.3775047412552699E-3</v>
      </c>
      <c r="R2963" s="12" t="str">
        <f ca="1">IFERROR(__xludf.DUMMYFUNCTION("""COMPUTED_VALUE"""),"Anomalisa ")</f>
        <v>Anomalisa </v>
      </c>
      <c r="S2963" s="12">
        <f t="shared" si="99"/>
        <v>-16348338</v>
      </c>
    </row>
    <row r="2964" spans="1:19" x14ac:dyDescent="0.3">
      <c r="A2964" s="2" t="s">
        <v>978</v>
      </c>
      <c r="B2964" s="2">
        <v>102</v>
      </c>
      <c r="C2964" s="3">
        <v>32645</v>
      </c>
      <c r="D2964" s="3" t="s">
        <v>5849</v>
      </c>
      <c r="E2964" s="2" t="s">
        <v>3736</v>
      </c>
      <c r="F2964" s="2" t="s">
        <v>10</v>
      </c>
      <c r="G2964" s="2" t="s">
        <v>504</v>
      </c>
      <c r="H2964" s="2">
        <v>13000000</v>
      </c>
      <c r="I2964" s="2">
        <v>6.6</v>
      </c>
      <c r="J2964" s="3">
        <v>63143812</v>
      </c>
      <c r="K2964">
        <f t="shared" si="100"/>
        <v>1.3775047412552699E-3</v>
      </c>
      <c r="R2964" s="12" t="str">
        <f ca="1">IFERROR(__xludf.DUMMYFUNCTION("""COMPUTED_VALUE"""),"Another Year ")</f>
        <v>Another Year </v>
      </c>
      <c r="S2964" s="12">
        <f t="shared" si="99"/>
        <v>-9519686</v>
      </c>
    </row>
    <row r="2965" spans="1:19" x14ac:dyDescent="0.3">
      <c r="A2965" s="2" t="s">
        <v>4952</v>
      </c>
      <c r="B2965" s="2">
        <v>134</v>
      </c>
      <c r="C2965" s="3">
        <v>592014</v>
      </c>
      <c r="D2965" s="3" t="s">
        <v>6011</v>
      </c>
      <c r="E2965" s="2" t="s">
        <v>4953</v>
      </c>
      <c r="F2965" s="2" t="s">
        <v>10</v>
      </c>
      <c r="G2965" s="2" t="s">
        <v>11</v>
      </c>
      <c r="H2965" s="2">
        <v>3000000</v>
      </c>
      <c r="I2965" s="2">
        <v>7.8</v>
      </c>
      <c r="J2965" s="3">
        <v>63224849</v>
      </c>
      <c r="K2965">
        <f t="shared" si="100"/>
        <v>1.3775047412552699E-3</v>
      </c>
      <c r="R2965" s="12" t="str">
        <f ca="1">IFERROR(__xludf.DUMMYFUNCTION("""COMPUTED_VALUE"""),"8 Women ")</f>
        <v>8 Women </v>
      </c>
      <c r="S2965" s="12">
        <f t="shared" si="99"/>
        <v>-129037466</v>
      </c>
    </row>
    <row r="2966" spans="1:19" x14ac:dyDescent="0.3">
      <c r="A2966" s="2" t="s">
        <v>350</v>
      </c>
      <c r="B2966" s="2">
        <v>125</v>
      </c>
      <c r="C2966" s="3">
        <v>51475962</v>
      </c>
      <c r="D2966" s="3" t="s">
        <v>6036</v>
      </c>
      <c r="E2966" s="2" t="s">
        <v>352</v>
      </c>
      <c r="F2966" s="2" t="s">
        <v>10</v>
      </c>
      <c r="G2966" s="2" t="s">
        <v>11</v>
      </c>
      <c r="H2966" s="2">
        <v>125000000</v>
      </c>
      <c r="I2966" s="2">
        <v>3.7</v>
      </c>
      <c r="J2966" s="3">
        <v>63231524</v>
      </c>
      <c r="K2966">
        <f t="shared" si="100"/>
        <v>1.3775047412552699E-3</v>
      </c>
      <c r="R2966" s="12" t="str">
        <f ca="1">IFERROR(__xludf.DUMMYFUNCTION("""COMPUTED_VALUE"""),"Showdown in Little Tokyo ")</f>
        <v>Showdown in Little Tokyo </v>
      </c>
      <c r="S2966" s="12">
        <f t="shared" si="99"/>
        <v>7553932</v>
      </c>
    </row>
    <row r="2967" spans="1:19" x14ac:dyDescent="0.3">
      <c r="A2967" s="2" t="s">
        <v>295</v>
      </c>
      <c r="B2967" s="2">
        <v>92</v>
      </c>
      <c r="C2967" s="3">
        <v>51431160</v>
      </c>
      <c r="D2967" s="3" t="s">
        <v>5940</v>
      </c>
      <c r="E2967" s="2" t="s">
        <v>2835</v>
      </c>
      <c r="F2967" s="2" t="s">
        <v>10</v>
      </c>
      <c r="G2967" s="2" t="s">
        <v>504</v>
      </c>
      <c r="H2967" s="2">
        <v>21000000</v>
      </c>
      <c r="I2967" s="2">
        <v>6.8</v>
      </c>
      <c r="J2967" s="3">
        <v>63270259</v>
      </c>
      <c r="K2967">
        <f t="shared" si="100"/>
        <v>1.3775047412552699E-3</v>
      </c>
      <c r="R2967" s="12" t="str">
        <f ca="1">IFERROR(__xludf.DUMMYFUNCTION("""COMPUTED_VALUE"""),"Clay Pigeons ")</f>
        <v>Clay Pigeons </v>
      </c>
      <c r="S2967" s="12">
        <f t="shared" si="99"/>
        <v>13078145</v>
      </c>
    </row>
    <row r="2968" spans="1:19" x14ac:dyDescent="0.3">
      <c r="A2968" s="2" t="s">
        <v>1340</v>
      </c>
      <c r="B2968" s="2">
        <v>144</v>
      </c>
      <c r="C2968" s="3">
        <v>51396781</v>
      </c>
      <c r="D2968" s="3" t="s">
        <v>5912</v>
      </c>
      <c r="E2968" s="2" t="s">
        <v>1649</v>
      </c>
      <c r="F2968" s="2" t="s">
        <v>10</v>
      </c>
      <c r="G2968" s="2" t="s">
        <v>11</v>
      </c>
      <c r="H2968" s="2">
        <v>65000000</v>
      </c>
      <c r="I2968" s="2">
        <v>6.9</v>
      </c>
      <c r="J2968" s="3">
        <v>63319509</v>
      </c>
      <c r="K2968">
        <f t="shared" si="100"/>
        <v>1.3775047412552699E-3</v>
      </c>
      <c r="R2968" s="12" t="str">
        <f ca="1">IFERROR(__xludf.DUMMYFUNCTION("""COMPUTED_VALUE"""),"It's Kind of a Funny Story ")</f>
        <v>It's Kind of a Funny Story </v>
      </c>
      <c r="S2968" s="12">
        <f t="shared" si="99"/>
        <v>-23484995</v>
      </c>
    </row>
    <row r="2969" spans="1:19" x14ac:dyDescent="0.3">
      <c r="A2969" s="2" t="s">
        <v>3604</v>
      </c>
      <c r="B2969" s="2">
        <v>103</v>
      </c>
      <c r="C2969" s="3">
        <v>4443403</v>
      </c>
      <c r="D2969" s="3" t="s">
        <v>5940</v>
      </c>
      <c r="E2969" s="2" t="s">
        <v>3605</v>
      </c>
      <c r="F2969" s="2" t="s">
        <v>10</v>
      </c>
      <c r="G2969" s="2" t="s">
        <v>11</v>
      </c>
      <c r="H2969" s="2">
        <v>14000000</v>
      </c>
      <c r="I2969" s="2">
        <v>4.9000000000000004</v>
      </c>
      <c r="J2969" s="3">
        <v>63408614</v>
      </c>
      <c r="K2969">
        <f t="shared" si="100"/>
        <v>1.3775047412552699E-3</v>
      </c>
      <c r="R2969" s="12" t="str">
        <f ca="1">IFERROR(__xludf.DUMMYFUNCTION("""COMPUTED_VALUE"""),"Made in Dagenham ")</f>
        <v>Made in Dagenham </v>
      </c>
      <c r="S2969" s="12">
        <f t="shared" ref="S2969:S3032" si="101">C2947-H2947</f>
        <v>-109804112</v>
      </c>
    </row>
    <row r="2970" spans="1:19" x14ac:dyDescent="0.3">
      <c r="A2970" s="2" t="s">
        <v>220</v>
      </c>
      <c r="B2970" s="2">
        <v>122</v>
      </c>
      <c r="C2970" s="3">
        <v>12055108</v>
      </c>
      <c r="D2970" s="3" t="s">
        <v>1703</v>
      </c>
      <c r="E2970" s="2" t="s">
        <v>2358</v>
      </c>
      <c r="F2970" s="2" t="s">
        <v>10</v>
      </c>
      <c r="G2970" s="2" t="s">
        <v>11</v>
      </c>
      <c r="H2970" s="2">
        <v>35000000</v>
      </c>
      <c r="I2970" s="2">
        <v>7.7</v>
      </c>
      <c r="J2970" s="3">
        <v>63411478</v>
      </c>
      <c r="K2970">
        <f t="shared" si="100"/>
        <v>1.3775047412552699E-3</v>
      </c>
      <c r="R2970" s="12" t="str">
        <f ca="1">IFERROR(__xludf.DUMMYFUNCTION("""COMPUTED_VALUE"""),"When Did You Last See Your Father? ")</f>
        <v>When Did You Last See Your Father? </v>
      </c>
      <c r="S2970" s="12">
        <f t="shared" si="101"/>
        <v>12610000</v>
      </c>
    </row>
    <row r="2971" spans="1:19" x14ac:dyDescent="0.3">
      <c r="A2971" s="2" t="s">
        <v>248</v>
      </c>
      <c r="B2971" s="2">
        <v>111</v>
      </c>
      <c r="C2971" s="3">
        <v>17016190</v>
      </c>
      <c r="D2971" s="3" t="s">
        <v>885</v>
      </c>
      <c r="E2971" s="2" t="s">
        <v>249</v>
      </c>
      <c r="F2971" s="2" t="s">
        <v>10</v>
      </c>
      <c r="G2971" s="2" t="s">
        <v>11</v>
      </c>
      <c r="H2971" s="2">
        <v>150000000</v>
      </c>
      <c r="I2971" s="2">
        <v>5.8</v>
      </c>
      <c r="J2971" s="3">
        <v>63536011</v>
      </c>
      <c r="K2971">
        <f t="shared" si="100"/>
        <v>1.3775047412552699E-3</v>
      </c>
      <c r="R2971" s="12" t="str">
        <f ca="1">IFERROR(__xludf.DUMMYFUNCTION("""COMPUTED_VALUE"""),"Prefontaine ")</f>
        <v>Prefontaine </v>
      </c>
      <c r="S2971" s="12">
        <f t="shared" si="101"/>
        <v>-30943871</v>
      </c>
    </row>
    <row r="2972" spans="1:19" x14ac:dyDescent="0.3">
      <c r="A2972" s="2" t="s">
        <v>1453</v>
      </c>
      <c r="B2972" s="2">
        <v>123</v>
      </c>
      <c r="C2972" s="3">
        <v>336456</v>
      </c>
      <c r="D2972" s="3" t="s">
        <v>5849</v>
      </c>
      <c r="E2972" s="2" t="s">
        <v>2834</v>
      </c>
      <c r="F2972" s="2" t="s">
        <v>10</v>
      </c>
      <c r="G2972" s="2" t="s">
        <v>199</v>
      </c>
      <c r="H2972" s="2">
        <v>21000000</v>
      </c>
      <c r="I2972" s="2">
        <v>7.5</v>
      </c>
      <c r="J2972" s="3">
        <v>63540020</v>
      </c>
      <c r="K2972">
        <f t="shared" si="100"/>
        <v>1.3775047412552699E-3</v>
      </c>
      <c r="R2972" s="12" t="str">
        <f ca="1">IFERROR(__xludf.DUMMYFUNCTION("""COMPUTED_VALUE"""),"The Secret of Kells ")</f>
        <v>The Secret of Kells </v>
      </c>
      <c r="S2972" s="12">
        <f t="shared" si="101"/>
        <v>17167478</v>
      </c>
    </row>
    <row r="2973" spans="1:19" x14ac:dyDescent="0.3">
      <c r="A2973" s="2" t="s">
        <v>4023</v>
      </c>
      <c r="B2973" s="2">
        <v>84</v>
      </c>
      <c r="C2973" s="3">
        <v>57504069</v>
      </c>
      <c r="D2973" s="3" t="s">
        <v>5913</v>
      </c>
      <c r="E2973" s="2" t="s">
        <v>4024</v>
      </c>
      <c r="F2973" s="2" t="s">
        <v>10</v>
      </c>
      <c r="G2973" s="2" t="s">
        <v>11</v>
      </c>
      <c r="H2973" s="2">
        <v>12600000</v>
      </c>
      <c r="I2973" s="2">
        <v>6.1</v>
      </c>
      <c r="J2973" s="3">
        <v>63600000</v>
      </c>
      <c r="K2973">
        <f t="shared" si="100"/>
        <v>1.3775047412552699E-3</v>
      </c>
      <c r="R2973" s="12" t="str">
        <f ca="1">IFERROR(__xludf.DUMMYFUNCTION("""COMPUTED_VALUE"""),"Begin Again ")</f>
        <v>Begin Again </v>
      </c>
      <c r="S2973" s="12">
        <f t="shared" si="101"/>
        <v>-36539005</v>
      </c>
    </row>
    <row r="2974" spans="1:19" x14ac:dyDescent="0.3">
      <c r="A2974" s="2" t="s">
        <v>3118</v>
      </c>
      <c r="B2974" s="2">
        <v>105</v>
      </c>
      <c r="C2974" s="3">
        <v>2338695</v>
      </c>
      <c r="D2974" s="3" t="s">
        <v>6069</v>
      </c>
      <c r="E2974" s="2" t="s">
        <v>4011</v>
      </c>
      <c r="F2974" s="2" t="s">
        <v>10</v>
      </c>
      <c r="G2974" s="2" t="s">
        <v>11</v>
      </c>
      <c r="H2974" s="2">
        <v>10000000</v>
      </c>
      <c r="I2974" s="2">
        <v>6.8</v>
      </c>
      <c r="J2974" s="3">
        <v>63695760</v>
      </c>
      <c r="K2974">
        <f t="shared" si="100"/>
        <v>1.3775047412552699E-3</v>
      </c>
      <c r="R2974" s="12" t="str">
        <f ca="1">IFERROR(__xludf.DUMMYFUNCTION("""COMPUTED_VALUE"""),"Down in the Valley ")</f>
        <v>Down in the Valley </v>
      </c>
      <c r="S2974" s="12">
        <f t="shared" si="101"/>
        <v>-68045798</v>
      </c>
    </row>
    <row r="2975" spans="1:19" x14ac:dyDescent="0.3">
      <c r="A2975" s="2" t="s">
        <v>972</v>
      </c>
      <c r="B2975" s="2">
        <v>81</v>
      </c>
      <c r="C2975" s="3">
        <v>13630226</v>
      </c>
      <c r="D2975" s="3" t="s">
        <v>5818</v>
      </c>
      <c r="E2975" s="2" t="s">
        <v>1630</v>
      </c>
      <c r="F2975" s="2" t="s">
        <v>10</v>
      </c>
      <c r="G2975" s="2" t="s">
        <v>11</v>
      </c>
      <c r="H2975" s="2">
        <v>42000000</v>
      </c>
      <c r="I2975" s="2">
        <v>5.8</v>
      </c>
      <c r="J2975" s="3">
        <v>63826569</v>
      </c>
      <c r="K2975">
        <f t="shared" si="100"/>
        <v>1.3775047412552699E-3</v>
      </c>
      <c r="R2975" s="12" t="str">
        <f ca="1">IFERROR(__xludf.DUMMYFUNCTION("""COMPUTED_VALUE"""),"Brooklyn Rules ")</f>
        <v>Brooklyn Rules </v>
      </c>
      <c r="S2975" s="12">
        <f t="shared" si="101"/>
        <v>-3712565</v>
      </c>
    </row>
    <row r="2976" spans="1:19" x14ac:dyDescent="0.3">
      <c r="A2976" s="2" t="s">
        <v>2297</v>
      </c>
      <c r="B2976" s="2">
        <v>99</v>
      </c>
      <c r="C2976" s="3">
        <v>19445217</v>
      </c>
      <c r="D2976" s="3" t="s">
        <v>5767</v>
      </c>
      <c r="E2976" s="2" t="s">
        <v>2298</v>
      </c>
      <c r="F2976" s="2" t="s">
        <v>10</v>
      </c>
      <c r="G2976" s="2" t="s">
        <v>11</v>
      </c>
      <c r="H2976" s="2">
        <v>30000000</v>
      </c>
      <c r="I2976" s="2">
        <v>5.4</v>
      </c>
      <c r="J2976" s="3">
        <v>63910583</v>
      </c>
      <c r="K2976">
        <f t="shared" si="100"/>
        <v>1.3775047412552699E-3</v>
      </c>
      <c r="R2976" s="12" t="str">
        <f ca="1">IFERROR(__xludf.DUMMYFUNCTION("""COMPUTED_VALUE"""),"The Singing Detective ")</f>
        <v>The Singing Detective </v>
      </c>
      <c r="S2976" s="12">
        <f t="shared" si="101"/>
        <v>-469184903</v>
      </c>
    </row>
    <row r="2977" spans="1:19" x14ac:dyDescent="0.3">
      <c r="A2977" s="2" t="s">
        <v>220</v>
      </c>
      <c r="B2977" s="2">
        <v>110</v>
      </c>
      <c r="C2977" s="3">
        <v>13622333</v>
      </c>
      <c r="D2977" s="3" t="s">
        <v>6049</v>
      </c>
      <c r="E2977" s="2" t="s">
        <v>353</v>
      </c>
      <c r="F2977" s="2" t="s">
        <v>10</v>
      </c>
      <c r="G2977" s="2" t="s">
        <v>11</v>
      </c>
      <c r="H2977" s="2">
        <v>123000000</v>
      </c>
      <c r="I2977" s="2">
        <v>6</v>
      </c>
      <c r="J2977" s="3">
        <v>63939454</v>
      </c>
      <c r="K2977">
        <f t="shared" si="100"/>
        <v>1.3775047412552699E-3</v>
      </c>
      <c r="R2977" s="12" t="str">
        <f ca="1">IFERROR(__xludf.DUMMYFUNCTION("""COMPUTED_VALUE"""),"Fido ")</f>
        <v>Fido </v>
      </c>
      <c r="S2977" s="12">
        <f t="shared" si="101"/>
        <v>-14382772</v>
      </c>
    </row>
    <row r="2978" spans="1:19" x14ac:dyDescent="0.3">
      <c r="A2978" s="2" t="s">
        <v>209</v>
      </c>
      <c r="B2978" s="2">
        <v>105</v>
      </c>
      <c r="C2978" s="3">
        <v>96793</v>
      </c>
      <c r="D2978" s="3" t="s">
        <v>6413</v>
      </c>
      <c r="E2978" s="2" t="s">
        <v>210</v>
      </c>
      <c r="F2978" s="2" t="s">
        <v>10</v>
      </c>
      <c r="G2978" s="2" t="s">
        <v>11</v>
      </c>
      <c r="H2978" s="2">
        <v>150000000</v>
      </c>
      <c r="I2978" s="2">
        <v>5.9</v>
      </c>
      <c r="J2978" s="3">
        <v>63992328</v>
      </c>
      <c r="K2978">
        <f t="shared" si="100"/>
        <v>1.3775047412552699E-3</v>
      </c>
      <c r="R2978" s="12" t="str">
        <f ca="1">IFERROR(__xludf.DUMMYFUNCTION("""COMPUTED_VALUE"""),"The Wendell Baker Story ")</f>
        <v>The Wendell Baker Story </v>
      </c>
      <c r="S2978" s="12">
        <f t="shared" si="101"/>
        <v>75636909</v>
      </c>
    </row>
    <row r="2979" spans="1:19" x14ac:dyDescent="0.3">
      <c r="A2979" s="2" t="s">
        <v>2454</v>
      </c>
      <c r="B2979" s="2">
        <v>92</v>
      </c>
      <c r="C2979" s="3">
        <v>37486138</v>
      </c>
      <c r="D2979" s="3" t="s">
        <v>6419</v>
      </c>
      <c r="E2979" s="2" t="s">
        <v>4271</v>
      </c>
      <c r="F2979" s="2" t="s">
        <v>10</v>
      </c>
      <c r="G2979" s="2" t="s">
        <v>16</v>
      </c>
      <c r="H2979" s="2">
        <v>8000000</v>
      </c>
      <c r="I2979" s="2">
        <v>6.9</v>
      </c>
      <c r="J2979" s="3">
        <v>64001297</v>
      </c>
      <c r="K2979">
        <f t="shared" si="100"/>
        <v>1.3775047412552699E-3</v>
      </c>
      <c r="R2979" s="12" t="str">
        <f ca="1">IFERROR(__xludf.DUMMYFUNCTION("""COMPUTED_VALUE"""),"Wild Target ")</f>
        <v>Wild Target </v>
      </c>
      <c r="S2979" s="12">
        <f t="shared" si="101"/>
        <v>-44995352</v>
      </c>
    </row>
    <row r="2980" spans="1:19" x14ac:dyDescent="0.3">
      <c r="A2980" s="2" t="s">
        <v>3356</v>
      </c>
      <c r="B2980" s="2">
        <v>140</v>
      </c>
      <c r="C2980" s="3">
        <v>10139254</v>
      </c>
      <c r="D2980" s="3" t="s">
        <v>885</v>
      </c>
      <c r="E2980" s="2" t="s">
        <v>4996</v>
      </c>
      <c r="F2980" s="2" t="s">
        <v>10</v>
      </c>
      <c r="G2980" s="2" t="s">
        <v>16</v>
      </c>
      <c r="H2980" s="2">
        <v>2600000</v>
      </c>
      <c r="I2980" s="2">
        <v>7.8</v>
      </c>
      <c r="J2980" s="3">
        <v>64149837</v>
      </c>
      <c r="K2980">
        <f t="shared" si="100"/>
        <v>1.3775047412552699E-3</v>
      </c>
      <c r="R2980" s="12" t="str">
        <f ca="1">IFERROR(__xludf.DUMMYFUNCTION("""COMPUTED_VALUE"""),"Pathology ")</f>
        <v>Pathology </v>
      </c>
      <c r="S2980" s="12">
        <f t="shared" si="101"/>
        <v>-33469465</v>
      </c>
    </row>
    <row r="2981" spans="1:19" x14ac:dyDescent="0.3">
      <c r="A2981" s="2" t="s">
        <v>311</v>
      </c>
      <c r="B2981" s="2">
        <v>94</v>
      </c>
      <c r="C2981" s="3">
        <v>17000000</v>
      </c>
      <c r="D2981" s="3" t="s">
        <v>5954</v>
      </c>
      <c r="E2981" s="2" t="s">
        <v>312</v>
      </c>
      <c r="F2981" s="2" t="s">
        <v>10</v>
      </c>
      <c r="G2981" s="2" t="s">
        <v>11</v>
      </c>
      <c r="H2981" s="2">
        <v>135000000</v>
      </c>
      <c r="I2981" s="2">
        <v>6.7</v>
      </c>
      <c r="J2981" s="3">
        <v>64172251</v>
      </c>
      <c r="K2981">
        <f t="shared" si="100"/>
        <v>1.3775047412552699E-3</v>
      </c>
      <c r="R2981" s="12" t="str">
        <f ca="1">IFERROR(__xludf.DUMMYFUNCTION("""COMPUTED_VALUE"""),"10th &amp; Wolf ")</f>
        <v>10th &amp; Wolf </v>
      </c>
      <c r="S2981" s="12">
        <f t="shared" si="101"/>
        <v>-73747235</v>
      </c>
    </row>
    <row r="2982" spans="1:19" x14ac:dyDescent="0.3">
      <c r="A2982" s="2" t="s">
        <v>2496</v>
      </c>
      <c r="B2982" s="2">
        <v>101</v>
      </c>
      <c r="C2982" s="3">
        <v>17176900</v>
      </c>
      <c r="D2982" s="3" t="s">
        <v>6420</v>
      </c>
      <c r="E2982" s="2" t="s">
        <v>2497</v>
      </c>
      <c r="F2982" s="2" t="s">
        <v>10</v>
      </c>
      <c r="G2982" s="2" t="s">
        <v>11</v>
      </c>
      <c r="H2982" s="2">
        <v>22000000</v>
      </c>
      <c r="I2982" s="2">
        <v>6.1</v>
      </c>
      <c r="J2982" s="3">
        <v>64238770</v>
      </c>
      <c r="K2982">
        <f t="shared" si="100"/>
        <v>1.3775047412552699E-3</v>
      </c>
      <c r="R2982" s="12" t="str">
        <f ca="1">IFERROR(__xludf.DUMMYFUNCTION("""COMPUTED_VALUE"""),"Dear Wendy ")</f>
        <v>Dear Wendy </v>
      </c>
      <c r="S2982" s="12">
        <f t="shared" si="101"/>
        <v>9571230</v>
      </c>
    </row>
    <row r="2983" spans="1:19" x14ac:dyDescent="0.3">
      <c r="A2983" s="2" t="s">
        <v>1291</v>
      </c>
      <c r="B2983" s="2">
        <v>111</v>
      </c>
      <c r="C2983" s="3">
        <v>32598931</v>
      </c>
      <c r="D2983" s="3" t="s">
        <v>6163</v>
      </c>
      <c r="E2983" s="2" t="s">
        <v>1546</v>
      </c>
      <c r="F2983" s="2" t="s">
        <v>10</v>
      </c>
      <c r="G2983" s="2" t="s">
        <v>11</v>
      </c>
      <c r="H2983" s="2">
        <v>45000000</v>
      </c>
      <c r="I2983" s="2">
        <v>6.3</v>
      </c>
      <c r="J2983" s="3">
        <v>64255243</v>
      </c>
      <c r="K2983">
        <f t="shared" si="100"/>
        <v>1.3775047412552699E-3</v>
      </c>
      <c r="R2983" s="12" t="str">
        <f ca="1">IFERROR(__xludf.DUMMYFUNCTION("""COMPUTED_VALUE"""),"Aloft ")</f>
        <v>Aloft </v>
      </c>
      <c r="S2983" s="12">
        <f t="shared" si="101"/>
        <v>-41985464</v>
      </c>
    </row>
    <row r="2984" spans="1:19" x14ac:dyDescent="0.3">
      <c r="A2984" s="2" t="s">
        <v>53</v>
      </c>
      <c r="B2984" s="2">
        <v>87</v>
      </c>
      <c r="C2984" s="3">
        <v>75600000</v>
      </c>
      <c r="D2984" s="3" t="s">
        <v>5778</v>
      </c>
      <c r="E2984" s="2" t="s">
        <v>2202</v>
      </c>
      <c r="F2984" s="2" t="s">
        <v>10</v>
      </c>
      <c r="G2984" s="2" t="s">
        <v>11</v>
      </c>
      <c r="H2984" s="2">
        <v>30000000</v>
      </c>
      <c r="I2984" s="2">
        <v>5.4</v>
      </c>
      <c r="J2984" s="3">
        <v>64267897</v>
      </c>
      <c r="K2984">
        <f t="shared" si="100"/>
        <v>1.3775047412552699E-3</v>
      </c>
      <c r="R2984" s="12" t="str">
        <f ca="1">IFERROR(__xludf.DUMMYFUNCTION("""COMPUTED_VALUE"""),"Akira ")</f>
        <v>Akira </v>
      </c>
      <c r="S2984" s="12">
        <f t="shared" si="101"/>
        <v>-65932369</v>
      </c>
    </row>
    <row r="2985" spans="1:19" x14ac:dyDescent="0.3">
      <c r="A2985" s="2" t="s">
        <v>2896</v>
      </c>
      <c r="B2985" s="2">
        <v>77</v>
      </c>
      <c r="C2985" s="3">
        <v>19351569</v>
      </c>
      <c r="D2985" s="3" t="s">
        <v>5770</v>
      </c>
      <c r="E2985" s="2" t="s">
        <v>2897</v>
      </c>
      <c r="F2985" s="2" t="s">
        <v>10</v>
      </c>
      <c r="G2985" s="2" t="s">
        <v>11</v>
      </c>
      <c r="H2985" s="2">
        <v>30000000</v>
      </c>
      <c r="I2985" s="2">
        <v>6.3</v>
      </c>
      <c r="J2985" s="3">
        <v>64371181</v>
      </c>
      <c r="K2985">
        <f t="shared" si="100"/>
        <v>1.3775047412552699E-3</v>
      </c>
      <c r="R2985" s="12" t="str">
        <f ca="1">IFERROR(__xludf.DUMMYFUNCTION("""COMPUTED_VALUE"""),"Imagine Me &amp; You ")</f>
        <v>Imagine Me &amp; You </v>
      </c>
      <c r="S2985" s="12">
        <f t="shared" si="101"/>
        <v>15802315</v>
      </c>
    </row>
    <row r="2986" spans="1:19" x14ac:dyDescent="0.3">
      <c r="A2986" s="2" t="s">
        <v>128</v>
      </c>
      <c r="B2986" s="2">
        <v>164</v>
      </c>
      <c r="C2986" s="3">
        <v>95860116</v>
      </c>
      <c r="D2986" s="3" t="s">
        <v>5849</v>
      </c>
      <c r="E2986" s="2" t="s">
        <v>4383</v>
      </c>
      <c r="F2986" s="2" t="s">
        <v>10</v>
      </c>
      <c r="G2986" s="2" t="s">
        <v>11</v>
      </c>
      <c r="H2986" s="2">
        <v>7000000</v>
      </c>
      <c r="I2986" s="2">
        <v>7.6</v>
      </c>
      <c r="J2986" s="3">
        <v>64423650</v>
      </c>
      <c r="K2986">
        <f t="shared" si="100"/>
        <v>1.3775047412552699E-3</v>
      </c>
      <c r="R2986" s="12" t="str">
        <f ca="1">IFERROR(__xludf.DUMMYFUNCTION("""COMPUTED_VALUE"""),"The Blood of Heroes ")</f>
        <v>The Blood of Heroes </v>
      </c>
      <c r="S2986" s="12">
        <f t="shared" si="101"/>
        <v>-12967355</v>
      </c>
    </row>
    <row r="2987" spans="1:19" x14ac:dyDescent="0.3">
      <c r="A2987" s="2" t="s">
        <v>1260</v>
      </c>
      <c r="B2987" s="2">
        <v>100</v>
      </c>
      <c r="C2987" s="3">
        <v>64148</v>
      </c>
      <c r="D2987" s="3" t="s">
        <v>5753</v>
      </c>
      <c r="E2987" s="2" t="s">
        <v>1261</v>
      </c>
      <c r="F2987" s="2" t="s">
        <v>10</v>
      </c>
      <c r="G2987" s="2" t="s">
        <v>11</v>
      </c>
      <c r="H2987" s="2">
        <v>71000000</v>
      </c>
      <c r="I2987" s="2">
        <v>4.7</v>
      </c>
      <c r="J2987" s="3">
        <v>64459316</v>
      </c>
      <c r="K2987">
        <f t="shared" si="100"/>
        <v>1.3775047412552699E-3</v>
      </c>
      <c r="R2987" s="12" t="str">
        <f ca="1">IFERROR(__xludf.DUMMYFUNCTION("""COMPUTED_VALUE"""),"Driving Miss Daisy ")</f>
        <v>Driving Miss Daisy </v>
      </c>
      <c r="S2987" s="12">
        <f t="shared" si="101"/>
        <v>-2407986</v>
      </c>
    </row>
    <row r="2988" spans="1:19" x14ac:dyDescent="0.3">
      <c r="A2988" s="2" t="s">
        <v>1338</v>
      </c>
      <c r="B2988" s="2">
        <v>160</v>
      </c>
      <c r="C2988" s="3">
        <v>3105269</v>
      </c>
      <c r="D2988" s="3" t="s">
        <v>5894</v>
      </c>
      <c r="E2988" s="2" t="s">
        <v>1579</v>
      </c>
      <c r="F2988" s="2" t="s">
        <v>10</v>
      </c>
      <c r="G2988" s="2" t="s">
        <v>11</v>
      </c>
      <c r="H2988" s="2">
        <v>45000000</v>
      </c>
      <c r="I2988" s="2">
        <v>6</v>
      </c>
      <c r="J2988" s="3">
        <v>64505912</v>
      </c>
      <c r="K2988">
        <f t="shared" si="100"/>
        <v>1.3775047412552699E-3</v>
      </c>
      <c r="R2988" s="12" t="str">
        <f ca="1">IFERROR(__xludf.DUMMYFUNCTION("""COMPUTED_VALUE"""),"Soul Food ")</f>
        <v>Soul Food </v>
      </c>
      <c r="S2988" s="12">
        <f t="shared" si="101"/>
        <v>-73524038</v>
      </c>
    </row>
    <row r="2989" spans="1:19" x14ac:dyDescent="0.3">
      <c r="A2989" s="2" t="s">
        <v>507</v>
      </c>
      <c r="B2989" s="2">
        <v>110</v>
      </c>
      <c r="C2989" s="3">
        <v>45860039</v>
      </c>
      <c r="D2989" s="3" t="s">
        <v>6207</v>
      </c>
      <c r="E2989" s="2" t="s">
        <v>508</v>
      </c>
      <c r="F2989" s="2" t="s">
        <v>10</v>
      </c>
      <c r="G2989" s="2" t="s">
        <v>11</v>
      </c>
      <c r="H2989" s="2">
        <v>10000000</v>
      </c>
      <c r="I2989" s="2">
        <v>7.3</v>
      </c>
      <c r="J2989" s="3">
        <v>64572496</v>
      </c>
      <c r="K2989">
        <f t="shared" si="100"/>
        <v>1.3775047412552699E-3</v>
      </c>
      <c r="R2989" s="12" t="str">
        <f ca="1">IFERROR(__xludf.DUMMYFUNCTION("""COMPUTED_VALUE"""),"Rumble in the Bronx ")</f>
        <v>Rumble in the Bronx </v>
      </c>
      <c r="S2989" s="12">
        <f t="shared" si="101"/>
        <v>30431160</v>
      </c>
    </row>
    <row r="2990" spans="1:19" x14ac:dyDescent="0.3">
      <c r="A2990" s="2" t="s">
        <v>866</v>
      </c>
      <c r="B2990" s="2">
        <v>107</v>
      </c>
      <c r="C2990" s="3">
        <v>13596911</v>
      </c>
      <c r="D2990" s="3" t="s">
        <v>5849</v>
      </c>
      <c r="E2990" s="2" t="s">
        <v>1119</v>
      </c>
      <c r="F2990" s="2" t="s">
        <v>10</v>
      </c>
      <c r="G2990" s="2" t="s">
        <v>11</v>
      </c>
      <c r="H2990" s="2">
        <v>60000000</v>
      </c>
      <c r="I2990" s="2">
        <v>6.1</v>
      </c>
      <c r="J2990" s="3">
        <v>64604977</v>
      </c>
      <c r="K2990">
        <f t="shared" si="100"/>
        <v>1.3775047412552699E-3</v>
      </c>
      <c r="R2990" s="12" t="str">
        <f ca="1">IFERROR(__xludf.DUMMYFUNCTION("""COMPUTED_VALUE"""),"Thank You for Smoking ")</f>
        <v>Thank You for Smoking </v>
      </c>
      <c r="S2990" s="12">
        <f t="shared" si="101"/>
        <v>-13603219</v>
      </c>
    </row>
    <row r="2991" spans="1:19" x14ac:dyDescent="0.3">
      <c r="A2991" s="2" t="s">
        <v>2796</v>
      </c>
      <c r="B2991" s="2">
        <v>184</v>
      </c>
      <c r="C2991" s="2">
        <v>476270</v>
      </c>
      <c r="D2991" s="3" t="s">
        <v>6207</v>
      </c>
      <c r="E2991" s="2" t="s">
        <v>3089</v>
      </c>
      <c r="F2991" s="2" t="s">
        <v>3090</v>
      </c>
      <c r="G2991" s="2" t="s">
        <v>199</v>
      </c>
      <c r="H2991" s="2">
        <v>20000000</v>
      </c>
      <c r="I2991" s="2">
        <v>7.4</v>
      </c>
      <c r="J2991" s="3">
        <v>64685359</v>
      </c>
      <c r="K2991">
        <f t="shared" si="100"/>
        <v>1.3775047412552699E-3</v>
      </c>
      <c r="R2991" s="12" t="str">
        <f ca="1">IFERROR(__xludf.DUMMYFUNCTION("""COMPUTED_VALUE"""),"Hostel: Part II ")</f>
        <v>Hostel: Part II </v>
      </c>
      <c r="S2991" s="12">
        <f t="shared" si="101"/>
        <v>-9556597</v>
      </c>
    </row>
    <row r="2992" spans="1:19" x14ac:dyDescent="0.3">
      <c r="A2992" s="2" t="s">
        <v>3050</v>
      </c>
      <c r="B2992" s="2">
        <v>100</v>
      </c>
      <c r="C2992" s="3">
        <v>134904</v>
      </c>
      <c r="D2992" s="3" t="s">
        <v>5940</v>
      </c>
      <c r="E2992" s="2" t="s">
        <v>3051</v>
      </c>
      <c r="F2992" s="2" t="s">
        <v>10</v>
      </c>
      <c r="G2992" s="2" t="s">
        <v>11</v>
      </c>
      <c r="H2992" s="2">
        <v>20000000</v>
      </c>
      <c r="I2992" s="2">
        <v>6.1</v>
      </c>
      <c r="J2992" s="3">
        <v>64736114</v>
      </c>
      <c r="K2992">
        <f t="shared" si="100"/>
        <v>1.3775047412552699E-3</v>
      </c>
      <c r="R2992" s="12" t="str">
        <f ca="1">IFERROR(__xludf.DUMMYFUNCTION("""COMPUTED_VALUE"""),"An Education ")</f>
        <v>An Education </v>
      </c>
      <c r="S2992" s="12">
        <f t="shared" si="101"/>
        <v>-22944892</v>
      </c>
    </row>
    <row r="2993" spans="1:19" x14ac:dyDescent="0.3">
      <c r="A2993" s="2" t="s">
        <v>3356</v>
      </c>
      <c r="B2993" s="2">
        <v>135</v>
      </c>
      <c r="C2993" s="3">
        <v>630779</v>
      </c>
      <c r="D2993" s="3" t="s">
        <v>5973</v>
      </c>
      <c r="E2993" s="2" t="s">
        <v>3357</v>
      </c>
      <c r="F2993" s="2" t="s">
        <v>10</v>
      </c>
      <c r="G2993" s="2" t="s">
        <v>16</v>
      </c>
      <c r="H2993" s="2">
        <v>16000000</v>
      </c>
      <c r="I2993" s="2">
        <v>6.7</v>
      </c>
      <c r="J2993" s="3">
        <v>64933670</v>
      </c>
      <c r="K2993">
        <f t="shared" si="100"/>
        <v>1.3775047412552699E-3</v>
      </c>
      <c r="R2993" s="12" t="str">
        <f ca="1">IFERROR(__xludf.DUMMYFUNCTION("""COMPUTED_VALUE"""),"The Hotel New Hampshire ")</f>
        <v>The Hotel New Hampshire </v>
      </c>
      <c r="S2993" s="12">
        <f t="shared" si="101"/>
        <v>-132983810</v>
      </c>
    </row>
    <row r="2994" spans="1:19" x14ac:dyDescent="0.3">
      <c r="A2994" s="2" t="s">
        <v>1303</v>
      </c>
      <c r="B2994" s="2">
        <v>114</v>
      </c>
      <c r="C2994" s="3">
        <v>32940507</v>
      </c>
      <c r="D2994" s="3" t="s">
        <v>5753</v>
      </c>
      <c r="E2994" s="2" t="s">
        <v>1360</v>
      </c>
      <c r="F2994" s="2" t="s">
        <v>10</v>
      </c>
      <c r="G2994" s="2" t="s">
        <v>11</v>
      </c>
      <c r="H2994" s="2">
        <v>50000000</v>
      </c>
      <c r="I2994" s="2">
        <v>6.2</v>
      </c>
      <c r="J2994" s="3">
        <v>64955956</v>
      </c>
      <c r="K2994">
        <f t="shared" si="100"/>
        <v>1.3775047412552699E-3</v>
      </c>
      <c r="R2994" s="12" t="str">
        <f ca="1">IFERROR(__xludf.DUMMYFUNCTION("""COMPUTED_VALUE"""),"Narc ")</f>
        <v>Narc </v>
      </c>
      <c r="S2994" s="12">
        <f t="shared" si="101"/>
        <v>-20663544</v>
      </c>
    </row>
    <row r="2995" spans="1:19" x14ac:dyDescent="0.3">
      <c r="A2995" s="2" t="s">
        <v>1902</v>
      </c>
      <c r="B2995" s="2">
        <v>123</v>
      </c>
      <c r="C2995" s="3">
        <v>35033759</v>
      </c>
      <c r="D2995" s="3" t="s">
        <v>6214</v>
      </c>
      <c r="E2995" s="2" t="s">
        <v>4469</v>
      </c>
      <c r="F2995" s="2" t="s">
        <v>10</v>
      </c>
      <c r="G2995" s="2" t="s">
        <v>11</v>
      </c>
      <c r="H2995" s="2">
        <v>6000000</v>
      </c>
      <c r="I2995" s="2">
        <v>7.2</v>
      </c>
      <c r="J2995" s="3">
        <v>64998368</v>
      </c>
      <c r="K2995">
        <f t="shared" si="100"/>
        <v>1.3775047412552699E-3</v>
      </c>
      <c r="R2995" s="12" t="str">
        <f ca="1">IFERROR(__xludf.DUMMYFUNCTION("""COMPUTED_VALUE"""),"Men with Brooms ")</f>
        <v>Men with Brooms </v>
      </c>
      <c r="S2995" s="12">
        <f t="shared" si="101"/>
        <v>44904069</v>
      </c>
    </row>
    <row r="2996" spans="1:19" x14ac:dyDescent="0.3">
      <c r="A2996" s="2" t="s">
        <v>473</v>
      </c>
      <c r="B2996" s="2">
        <v>112</v>
      </c>
      <c r="C2996" s="3">
        <v>2848578</v>
      </c>
      <c r="D2996" s="3" t="s">
        <v>5940</v>
      </c>
      <c r="E2996" s="2" t="s">
        <v>3684</v>
      </c>
      <c r="F2996" s="2" t="s">
        <v>10</v>
      </c>
      <c r="G2996" s="2" t="s">
        <v>11</v>
      </c>
      <c r="H2996" s="2">
        <v>13000000</v>
      </c>
      <c r="I2996" s="2">
        <v>7.8</v>
      </c>
      <c r="J2996" s="3">
        <v>65000000</v>
      </c>
      <c r="K2996">
        <f t="shared" si="100"/>
        <v>1.3775047412552699E-3</v>
      </c>
      <c r="R2996" s="12" t="str">
        <f ca="1">IFERROR(__xludf.DUMMYFUNCTION("""COMPUTED_VALUE"""),"Witless Protection ")</f>
        <v>Witless Protection </v>
      </c>
      <c r="S2996" s="12">
        <f t="shared" si="101"/>
        <v>-7661305</v>
      </c>
    </row>
    <row r="2997" spans="1:19" x14ac:dyDescent="0.3">
      <c r="A2997" s="2" t="s">
        <v>1372</v>
      </c>
      <c r="B2997" s="2">
        <v>99</v>
      </c>
      <c r="C2997" s="3">
        <v>75727</v>
      </c>
      <c r="D2997" s="3" t="s">
        <v>6134</v>
      </c>
      <c r="E2997" s="2" t="s">
        <v>2650</v>
      </c>
      <c r="F2997" s="2" t="s">
        <v>10</v>
      </c>
      <c r="G2997" s="2" t="s">
        <v>11</v>
      </c>
      <c r="H2997" s="2">
        <v>25000000</v>
      </c>
      <c r="I2997" s="2">
        <v>4.9000000000000004</v>
      </c>
      <c r="J2997" s="3">
        <v>65007045</v>
      </c>
      <c r="K2997">
        <f t="shared" si="100"/>
        <v>1.3775047412552699E-3</v>
      </c>
      <c r="R2997" s="12" t="str">
        <f ca="1">IFERROR(__xludf.DUMMYFUNCTION("""COMPUTED_VALUE"""),"The Work and the Glory ")</f>
        <v>The Work and the Glory </v>
      </c>
      <c r="S2997" s="12">
        <f t="shared" si="101"/>
        <v>-28369774</v>
      </c>
    </row>
    <row r="2998" spans="1:19" x14ac:dyDescent="0.3">
      <c r="A2998" s="2" t="s">
        <v>1130</v>
      </c>
      <c r="B2998" s="2">
        <v>111</v>
      </c>
      <c r="C2998" s="3">
        <v>16991902</v>
      </c>
      <c r="D2998" s="3" t="s">
        <v>5872</v>
      </c>
      <c r="E2998" s="2" t="s">
        <v>1131</v>
      </c>
      <c r="F2998" s="2" t="s">
        <v>10</v>
      </c>
      <c r="G2998" s="2" t="s">
        <v>11</v>
      </c>
      <c r="H2998" s="2">
        <v>60000000</v>
      </c>
      <c r="I2998" s="2">
        <v>6.1</v>
      </c>
      <c r="J2998" s="3">
        <v>65010106</v>
      </c>
      <c r="K2998">
        <f t="shared" si="100"/>
        <v>1.3775047412552699E-3</v>
      </c>
      <c r="R2998" s="12" t="str">
        <f ca="1">IFERROR(__xludf.DUMMYFUNCTION("""COMPUTED_VALUE"""),"Extract ")</f>
        <v>Extract </v>
      </c>
      <c r="S2998" s="12">
        <f t="shared" si="101"/>
        <v>-10554783</v>
      </c>
    </row>
    <row r="2999" spans="1:19" x14ac:dyDescent="0.3">
      <c r="A2999" s="2" t="s">
        <v>1971</v>
      </c>
      <c r="B2999" s="2">
        <v>92</v>
      </c>
      <c r="C2999" s="3">
        <v>1779284</v>
      </c>
      <c r="D2999" s="3" t="s">
        <v>5773</v>
      </c>
      <c r="E2999" s="2" t="s">
        <v>1972</v>
      </c>
      <c r="F2999" s="2" t="s">
        <v>10</v>
      </c>
      <c r="G2999" s="2" t="s">
        <v>11</v>
      </c>
      <c r="H2999" s="2">
        <v>35000000</v>
      </c>
      <c r="I2999" s="2">
        <v>6.6</v>
      </c>
      <c r="J2999" s="3">
        <v>65012000</v>
      </c>
      <c r="K2999">
        <f t="shared" si="100"/>
        <v>1.3775047412552699E-3</v>
      </c>
      <c r="R2999" s="12" t="str">
        <f ca="1">IFERROR(__xludf.DUMMYFUNCTION("""COMPUTED_VALUE"""),"Alias Betty ")</f>
        <v>Alias Betty </v>
      </c>
      <c r="S2999" s="12">
        <f t="shared" si="101"/>
        <v>-109377667</v>
      </c>
    </row>
    <row r="3000" spans="1:19" x14ac:dyDescent="0.3">
      <c r="A3000" s="2" t="s">
        <v>5234</v>
      </c>
      <c r="B3000" s="2">
        <v>83</v>
      </c>
      <c r="C3000" s="3">
        <v>81557479</v>
      </c>
      <c r="D3000" s="3" t="s">
        <v>5755</v>
      </c>
      <c r="E3000" s="2" t="s">
        <v>5235</v>
      </c>
      <c r="F3000" s="2" t="s">
        <v>10</v>
      </c>
      <c r="G3000" s="2" t="s">
        <v>71</v>
      </c>
      <c r="H3000" s="2">
        <v>1500000</v>
      </c>
      <c r="I3000" s="2">
        <v>5.7</v>
      </c>
      <c r="J3000" s="3">
        <v>65069140</v>
      </c>
      <c r="K3000">
        <f t="shared" si="100"/>
        <v>1.3775047412552699E-3</v>
      </c>
      <c r="R3000" s="12" t="str">
        <f ca="1">IFERROR(__xludf.DUMMYFUNCTION("""COMPUTED_VALUE"""),"Code 46 ")</f>
        <v>Code 46 </v>
      </c>
      <c r="S3000" s="12">
        <f t="shared" si="101"/>
        <v>-149903207</v>
      </c>
    </row>
    <row r="3001" spans="1:19" x14ac:dyDescent="0.3">
      <c r="A3001" s="2" t="s">
        <v>1225</v>
      </c>
      <c r="B3001" s="2">
        <v>87</v>
      </c>
      <c r="C3001" s="3">
        <v>12843</v>
      </c>
      <c r="D3001" s="3" t="s">
        <v>5753</v>
      </c>
      <c r="E3001" s="2" t="s">
        <v>1412</v>
      </c>
      <c r="F3001" s="2" t="s">
        <v>10</v>
      </c>
      <c r="G3001" s="2" t="s">
        <v>11</v>
      </c>
      <c r="H3001" s="2">
        <v>50000000</v>
      </c>
      <c r="I3001" s="2">
        <v>4.2</v>
      </c>
      <c r="J3001" s="3">
        <v>65171860</v>
      </c>
      <c r="K3001">
        <f t="shared" si="100"/>
        <v>1.3775047412552699E-3</v>
      </c>
      <c r="R3001" s="12" t="str">
        <f ca="1">IFERROR(__xludf.DUMMYFUNCTION("""COMPUTED_VALUE"""),"Albert Nobbs ")</f>
        <v>Albert Nobbs </v>
      </c>
      <c r="S3001" s="12">
        <f t="shared" si="101"/>
        <v>29486138</v>
      </c>
    </row>
    <row r="3002" spans="1:19" x14ac:dyDescent="0.3">
      <c r="A3002" s="2" t="s">
        <v>4415</v>
      </c>
      <c r="B3002" s="2">
        <v>96</v>
      </c>
      <c r="C3002" s="3">
        <v>6387</v>
      </c>
      <c r="D3002" s="3" t="s">
        <v>5776</v>
      </c>
      <c r="E3002" s="2" t="s">
        <v>4416</v>
      </c>
      <c r="F3002" s="2" t="s">
        <v>10</v>
      </c>
      <c r="G3002" s="2" t="s">
        <v>16</v>
      </c>
      <c r="H3002" s="2">
        <v>7000000</v>
      </c>
      <c r="I3002" s="2">
        <v>6.7</v>
      </c>
      <c r="J3002" s="3">
        <v>65173160</v>
      </c>
      <c r="K3002">
        <f t="shared" si="100"/>
        <v>1.3775047412552699E-3</v>
      </c>
      <c r="R3002" s="12" t="str">
        <f ca="1">IFERROR(__xludf.DUMMYFUNCTION("""COMPUTED_VALUE"""),"Ta Ra Rum Pum ")</f>
        <v>Ta Ra Rum Pum </v>
      </c>
      <c r="S3002" s="12">
        <f t="shared" si="101"/>
        <v>7539254</v>
      </c>
    </row>
    <row r="3003" spans="1:19" x14ac:dyDescent="0.3">
      <c r="A3003" s="2" t="s">
        <v>4488</v>
      </c>
      <c r="B3003" s="2">
        <v>144</v>
      </c>
      <c r="C3003" s="3">
        <v>25077977</v>
      </c>
      <c r="D3003" s="3" t="s">
        <v>6234</v>
      </c>
      <c r="E3003" s="2" t="s">
        <v>4489</v>
      </c>
      <c r="F3003" s="2" t="s">
        <v>10</v>
      </c>
      <c r="G3003" s="2" t="s">
        <v>11</v>
      </c>
      <c r="H3003" s="2">
        <v>8000000</v>
      </c>
      <c r="I3003" s="2">
        <v>6.9</v>
      </c>
      <c r="J3003" s="3">
        <v>65182182</v>
      </c>
      <c r="K3003">
        <f t="shared" si="100"/>
        <v>1.3775047412552699E-3</v>
      </c>
      <c r="R3003" s="12" t="str">
        <f ca="1">IFERROR(__xludf.DUMMYFUNCTION("""COMPUTED_VALUE"""),"Persepolis ")</f>
        <v>Persepolis </v>
      </c>
      <c r="S3003" s="12">
        <f t="shared" si="101"/>
        <v>-118000000</v>
      </c>
    </row>
    <row r="3004" spans="1:19" x14ac:dyDescent="0.3">
      <c r="A3004" s="2" t="s">
        <v>4810</v>
      </c>
      <c r="B3004" s="2">
        <v>99</v>
      </c>
      <c r="C3004" s="3">
        <v>45670855</v>
      </c>
      <c r="D3004" s="3" t="s">
        <v>6148</v>
      </c>
      <c r="E3004" s="2" t="s">
        <v>4811</v>
      </c>
      <c r="F3004" s="2" t="s">
        <v>10</v>
      </c>
      <c r="G3004" s="2" t="s">
        <v>11</v>
      </c>
      <c r="H3004" s="2">
        <v>4000000</v>
      </c>
      <c r="I3004" s="2">
        <v>7</v>
      </c>
      <c r="J3004" s="3">
        <v>65269010</v>
      </c>
      <c r="K3004">
        <f t="shared" si="100"/>
        <v>1.3775047412552699E-3</v>
      </c>
      <c r="R3004" s="12" t="str">
        <f ca="1">IFERROR(__xludf.DUMMYFUNCTION("""COMPUTED_VALUE"""),"The Neon Demon ")</f>
        <v>The Neon Demon </v>
      </c>
      <c r="S3004" s="12">
        <f t="shared" si="101"/>
        <v>-4823100</v>
      </c>
    </row>
    <row r="3005" spans="1:19" x14ac:dyDescent="0.3">
      <c r="A3005" s="2" t="s">
        <v>1979</v>
      </c>
      <c r="B3005" s="2">
        <v>101</v>
      </c>
      <c r="C3005" s="3">
        <v>237301</v>
      </c>
      <c r="D3005" s="3" t="s">
        <v>520</v>
      </c>
      <c r="E3005" s="2" t="s">
        <v>4724</v>
      </c>
      <c r="F3005" s="2" t="s">
        <v>10</v>
      </c>
      <c r="G3005" s="2" t="s">
        <v>11</v>
      </c>
      <c r="H3005" s="2">
        <v>4700000</v>
      </c>
      <c r="I3005" s="2">
        <v>5.5</v>
      </c>
      <c r="J3005" s="3">
        <v>65452312</v>
      </c>
      <c r="K3005">
        <f t="shared" si="100"/>
        <v>1.3775047412552699E-3</v>
      </c>
      <c r="R3005" s="12" t="str">
        <f ca="1">IFERROR(__xludf.DUMMYFUNCTION("""COMPUTED_VALUE"""),"Harry Brown ")</f>
        <v>Harry Brown </v>
      </c>
      <c r="S3005" s="12">
        <f t="shared" si="101"/>
        <v>-12401069</v>
      </c>
    </row>
    <row r="3006" spans="1:19" x14ac:dyDescent="0.3">
      <c r="A3006" s="2" t="s">
        <v>3249</v>
      </c>
      <c r="B3006" s="2">
        <v>92</v>
      </c>
      <c r="C3006" s="3">
        <v>45542421</v>
      </c>
      <c r="D3006" s="3" t="s">
        <v>6421</v>
      </c>
      <c r="E3006" s="2" t="s">
        <v>3902</v>
      </c>
      <c r="F3006" s="2" t="s">
        <v>10</v>
      </c>
      <c r="G3006" s="2" t="s">
        <v>71</v>
      </c>
      <c r="H3006" s="2">
        <v>11000000</v>
      </c>
      <c r="I3006" s="2">
        <v>6</v>
      </c>
      <c r="J3006" s="3">
        <v>65500000</v>
      </c>
      <c r="K3006">
        <f t="shared" si="100"/>
        <v>1.3775047412552699E-3</v>
      </c>
      <c r="R3006" s="12" t="str">
        <f ca="1">IFERROR(__xludf.DUMMYFUNCTION("""COMPUTED_VALUE"""),"The Omega Code ")</f>
        <v>The Omega Code </v>
      </c>
      <c r="S3006" s="12">
        <f t="shared" si="101"/>
        <v>45600000</v>
      </c>
    </row>
    <row r="3007" spans="1:19" x14ac:dyDescent="0.3">
      <c r="A3007" s="2" t="s">
        <v>1988</v>
      </c>
      <c r="B3007" s="2">
        <v>95</v>
      </c>
      <c r="C3007" s="3">
        <v>32853640</v>
      </c>
      <c r="D3007" s="3" t="s">
        <v>6251</v>
      </c>
      <c r="E3007" s="2" t="s">
        <v>1989</v>
      </c>
      <c r="F3007" s="2" t="s">
        <v>10</v>
      </c>
      <c r="G3007" s="2" t="s">
        <v>11</v>
      </c>
      <c r="H3007" s="2">
        <v>50000000</v>
      </c>
      <c r="I3007" s="2">
        <v>4.8</v>
      </c>
      <c r="J3007" s="3">
        <v>65535067</v>
      </c>
      <c r="K3007">
        <f t="shared" si="100"/>
        <v>1.3775047412552699E-3</v>
      </c>
      <c r="R3007" s="12" t="str">
        <f ca="1">IFERROR(__xludf.DUMMYFUNCTION("""COMPUTED_VALUE"""),"Juno ")</f>
        <v>Juno </v>
      </c>
      <c r="S3007" s="12">
        <f t="shared" si="101"/>
        <v>-10648431</v>
      </c>
    </row>
    <row r="3008" spans="1:19" x14ac:dyDescent="0.3">
      <c r="A3008" s="2" t="s">
        <v>1604</v>
      </c>
      <c r="B3008" s="2">
        <v>136</v>
      </c>
      <c r="C3008" s="3">
        <v>7564000</v>
      </c>
      <c r="D3008" s="3" t="s">
        <v>5910</v>
      </c>
      <c r="E3008" s="2" t="s">
        <v>1605</v>
      </c>
      <c r="F3008" s="2" t="s">
        <v>10</v>
      </c>
      <c r="G3008" s="2" t="s">
        <v>11</v>
      </c>
      <c r="H3008" s="2">
        <v>43000000</v>
      </c>
      <c r="I3008" s="2">
        <v>7.3</v>
      </c>
      <c r="J3008" s="3">
        <v>65557989</v>
      </c>
      <c r="K3008">
        <f t="shared" si="100"/>
        <v>1.3775047412552699E-3</v>
      </c>
      <c r="R3008" s="12" t="str">
        <f ca="1">IFERROR(__xludf.DUMMYFUNCTION("""COMPUTED_VALUE"""),"Diamonds Are Forever ")</f>
        <v>Diamonds Are Forever </v>
      </c>
      <c r="S3008" s="12">
        <f t="shared" si="101"/>
        <v>88860116</v>
      </c>
    </row>
    <row r="3009" spans="1:19" x14ac:dyDescent="0.3">
      <c r="A3009" s="2" t="s">
        <v>976</v>
      </c>
      <c r="B3009" s="2">
        <v>109</v>
      </c>
      <c r="C3009" s="2">
        <v>55802754</v>
      </c>
      <c r="D3009" s="3" t="s">
        <v>1703</v>
      </c>
      <c r="E3009" s="2" t="s">
        <v>1964</v>
      </c>
      <c r="F3009" s="2" t="s">
        <v>10</v>
      </c>
      <c r="G3009" s="2" t="s">
        <v>11</v>
      </c>
      <c r="H3009" s="2">
        <v>35000000</v>
      </c>
      <c r="I3009" s="2">
        <v>6.6</v>
      </c>
      <c r="J3009" s="3">
        <v>65623128</v>
      </c>
      <c r="K3009">
        <f t="shared" si="100"/>
        <v>1.3775047412552699E-3</v>
      </c>
      <c r="R3009" s="12" t="str">
        <f ca="1">IFERROR(__xludf.DUMMYFUNCTION("""COMPUTED_VALUE"""),"The Godfather ")</f>
        <v>The Godfather </v>
      </c>
      <c r="S3009" s="12">
        <f t="shared" si="101"/>
        <v>-70935852</v>
      </c>
    </row>
    <row r="3010" spans="1:19" x14ac:dyDescent="0.3">
      <c r="A3010" s="2" t="s">
        <v>295</v>
      </c>
      <c r="B3010" s="2">
        <v>106</v>
      </c>
      <c r="C3010" s="3">
        <v>476270</v>
      </c>
      <c r="D3010" s="3" t="s">
        <v>5940</v>
      </c>
      <c r="E3010" s="2" t="s">
        <v>343</v>
      </c>
      <c r="F3010" s="2" t="s">
        <v>10</v>
      </c>
      <c r="G3010" s="2" t="s">
        <v>11</v>
      </c>
      <c r="H3010" s="2">
        <v>125000000</v>
      </c>
      <c r="I3010" s="2">
        <v>5.8</v>
      </c>
      <c r="J3010" s="3">
        <v>65653758</v>
      </c>
      <c r="K3010">
        <f t="shared" ref="K3010:K3073" si="102">CORREL(H$2:H$3941,J$2:J$3941)</f>
        <v>1.3775047412552699E-3</v>
      </c>
      <c r="R3010" s="12" t="str">
        <f ca="1">IFERROR(__xludf.DUMMYFUNCTION("""COMPUTED_VALUE"""),"Flashdance ")</f>
        <v>Flashdance </v>
      </c>
      <c r="S3010" s="12">
        <f t="shared" si="101"/>
        <v>-41894731</v>
      </c>
    </row>
    <row r="3011" spans="1:19" x14ac:dyDescent="0.3">
      <c r="A3011" s="2" t="s">
        <v>4347</v>
      </c>
      <c r="B3011" s="2">
        <v>100</v>
      </c>
      <c r="C3011" s="3">
        <v>21005329</v>
      </c>
      <c r="D3011" s="3" t="s">
        <v>6220</v>
      </c>
      <c r="E3011" s="2" t="s">
        <v>4348</v>
      </c>
      <c r="F3011" s="2" t="s">
        <v>10</v>
      </c>
      <c r="G3011" s="2" t="s">
        <v>11</v>
      </c>
      <c r="H3011" s="2">
        <v>7500000</v>
      </c>
      <c r="I3011" s="2">
        <v>3.5</v>
      </c>
      <c r="J3011" s="3">
        <v>65703412</v>
      </c>
      <c r="K3011">
        <f t="shared" si="102"/>
        <v>1.3775047412552699E-3</v>
      </c>
      <c r="R3011" s="12" t="str">
        <f ca="1">IFERROR(__xludf.DUMMYFUNCTION("""COMPUTED_VALUE"""),"500 Days of Summer ")</f>
        <v>500 Days of Summer </v>
      </c>
      <c r="S3011" s="12">
        <f t="shared" si="101"/>
        <v>35860039</v>
      </c>
    </row>
    <row r="3012" spans="1:19" x14ac:dyDescent="0.3">
      <c r="A3012" s="2" t="s">
        <v>2748</v>
      </c>
      <c r="B3012" s="2">
        <v>92</v>
      </c>
      <c r="C3012" s="3">
        <v>25556065</v>
      </c>
      <c r="D3012" s="3" t="s">
        <v>6243</v>
      </c>
      <c r="E3012" s="2" t="s">
        <v>2749</v>
      </c>
      <c r="F3012" s="2" t="s">
        <v>10</v>
      </c>
      <c r="G3012" s="2" t="s">
        <v>11</v>
      </c>
      <c r="H3012" s="2">
        <v>23000000</v>
      </c>
      <c r="I3012" s="2">
        <v>2.8</v>
      </c>
      <c r="J3012" s="3">
        <v>65807024</v>
      </c>
      <c r="K3012">
        <f t="shared" si="102"/>
        <v>1.3775047412552699E-3</v>
      </c>
      <c r="R3012" s="12" t="str">
        <f ca="1">IFERROR(__xludf.DUMMYFUNCTION("""COMPUTED_VALUE"""),"The Piano ")</f>
        <v>The Piano </v>
      </c>
      <c r="S3012" s="12">
        <f t="shared" si="101"/>
        <v>-46403089</v>
      </c>
    </row>
    <row r="3013" spans="1:19" x14ac:dyDescent="0.3">
      <c r="A3013" s="2" t="s">
        <v>974</v>
      </c>
      <c r="B3013" s="2">
        <v>161</v>
      </c>
      <c r="C3013" s="3">
        <v>952620</v>
      </c>
      <c r="D3013" s="3" t="s">
        <v>6144</v>
      </c>
      <c r="E3013" s="2" t="s">
        <v>3950</v>
      </c>
      <c r="F3013" s="2" t="s">
        <v>10</v>
      </c>
      <c r="G3013" s="2" t="s">
        <v>16</v>
      </c>
      <c r="H3013" s="2">
        <v>12000000</v>
      </c>
      <c r="I3013" s="2">
        <v>8.3000000000000007</v>
      </c>
      <c r="J3013" s="3">
        <v>65948711</v>
      </c>
      <c r="K3013">
        <f t="shared" si="102"/>
        <v>1.3775047412552699E-3</v>
      </c>
      <c r="R3013" s="12" t="str">
        <f ca="1">IFERROR(__xludf.DUMMYFUNCTION("""COMPUTED_VALUE"""),"Magic Mike ")</f>
        <v>Magic Mike </v>
      </c>
      <c r="S3013" s="12">
        <f t="shared" si="101"/>
        <v>-19523730</v>
      </c>
    </row>
    <row r="3014" spans="1:19" x14ac:dyDescent="0.3">
      <c r="A3014" s="2" t="s">
        <v>5247</v>
      </c>
      <c r="B3014" s="2">
        <v>89</v>
      </c>
      <c r="C3014" s="3">
        <v>5851188</v>
      </c>
      <c r="D3014" s="3" t="s">
        <v>5767</v>
      </c>
      <c r="E3014" s="2" t="s">
        <v>5248</v>
      </c>
      <c r="F3014" s="2" t="s">
        <v>723</v>
      </c>
      <c r="G3014" s="2" t="s">
        <v>3044</v>
      </c>
      <c r="H3014" s="2">
        <v>1300000</v>
      </c>
      <c r="I3014" s="2">
        <v>7</v>
      </c>
      <c r="J3014" s="3">
        <v>66002004</v>
      </c>
      <c r="K3014">
        <f t="shared" si="102"/>
        <v>1.3775047412552699E-3</v>
      </c>
      <c r="R3014" s="12" t="str">
        <f ca="1">IFERROR(__xludf.DUMMYFUNCTION("""COMPUTED_VALUE"""),"Darkness Falls ")</f>
        <v>Darkness Falls </v>
      </c>
      <c r="S3014" s="12">
        <f t="shared" si="101"/>
        <v>-19865096</v>
      </c>
    </row>
    <row r="3015" spans="1:19" x14ac:dyDescent="0.3">
      <c r="A3015" s="2" t="s">
        <v>69</v>
      </c>
      <c r="B3015" s="2">
        <v>104</v>
      </c>
      <c r="C3015" s="3">
        <v>190562</v>
      </c>
      <c r="D3015" s="3" t="s">
        <v>885</v>
      </c>
      <c r="E3015" s="2" t="s">
        <v>622</v>
      </c>
      <c r="F3015" s="2" t="s">
        <v>10</v>
      </c>
      <c r="G3015" s="2" t="s">
        <v>11</v>
      </c>
      <c r="H3015" s="2">
        <v>75000000</v>
      </c>
      <c r="I3015" s="2">
        <v>6.2</v>
      </c>
      <c r="J3015" s="3">
        <v>66002193</v>
      </c>
      <c r="K3015">
        <f t="shared" si="102"/>
        <v>1.3775047412552699E-3</v>
      </c>
      <c r="R3015" s="12" t="str">
        <f ca="1">IFERROR(__xludf.DUMMYFUNCTION("""COMPUTED_VALUE"""),"Live and Let Die ")</f>
        <v>Live and Let Die </v>
      </c>
      <c r="S3015" s="12">
        <f t="shared" si="101"/>
        <v>-15369221</v>
      </c>
    </row>
    <row r="3016" spans="1:19" x14ac:dyDescent="0.3">
      <c r="A3016" s="2" t="s">
        <v>4460</v>
      </c>
      <c r="B3016" s="2">
        <v>106</v>
      </c>
      <c r="C3016" s="3">
        <v>40334024</v>
      </c>
      <c r="D3016" s="3" t="s">
        <v>5849</v>
      </c>
      <c r="E3016" s="2" t="s">
        <v>4461</v>
      </c>
      <c r="F3016" s="2" t="s">
        <v>10</v>
      </c>
      <c r="G3016" s="2" t="s">
        <v>16</v>
      </c>
      <c r="H3016" s="2">
        <v>6500000</v>
      </c>
      <c r="I3016" s="2">
        <v>7.3</v>
      </c>
      <c r="J3016" s="3">
        <v>66009973</v>
      </c>
      <c r="K3016">
        <f t="shared" si="102"/>
        <v>1.3775047412552699E-3</v>
      </c>
      <c r="R3016" s="12" t="str">
        <f ca="1">IFERROR(__xludf.DUMMYFUNCTION("""COMPUTED_VALUE"""),"My Dog Skip ")</f>
        <v>My Dog Skip </v>
      </c>
      <c r="S3016" s="12">
        <f t="shared" si="101"/>
        <v>-17059493</v>
      </c>
    </row>
    <row r="3017" spans="1:19" x14ac:dyDescent="0.3">
      <c r="A3017" s="2" t="s">
        <v>549</v>
      </c>
      <c r="B3017" s="2">
        <v>124</v>
      </c>
      <c r="C3017" s="3">
        <v>4440055</v>
      </c>
      <c r="D3017" s="3" t="s">
        <v>6010</v>
      </c>
      <c r="E3017" s="2" t="s">
        <v>967</v>
      </c>
      <c r="F3017" s="2" t="s">
        <v>10</v>
      </c>
      <c r="G3017" s="2" t="s">
        <v>11</v>
      </c>
      <c r="H3017" s="2">
        <v>70000000</v>
      </c>
      <c r="I3017" s="2">
        <v>6.4</v>
      </c>
      <c r="J3017" s="3">
        <v>66207920</v>
      </c>
      <c r="K3017">
        <f t="shared" si="102"/>
        <v>1.3775047412552699E-3</v>
      </c>
      <c r="R3017" s="12" t="str">
        <f ca="1">IFERROR(__xludf.DUMMYFUNCTION("""COMPUTED_VALUE"""),"Jumping the Broom ")</f>
        <v>Jumping the Broom </v>
      </c>
      <c r="S3017" s="12">
        <f t="shared" si="101"/>
        <v>29033759</v>
      </c>
    </row>
    <row r="3018" spans="1:19" x14ac:dyDescent="0.3">
      <c r="A3018" s="2" t="s">
        <v>41</v>
      </c>
      <c r="B3018" s="2">
        <v>125</v>
      </c>
      <c r="C3018" s="3">
        <v>1768416</v>
      </c>
      <c r="D3018" s="3" t="s">
        <v>6422</v>
      </c>
      <c r="E3018" s="2" t="s">
        <v>1337</v>
      </c>
      <c r="F3018" s="2" t="s">
        <v>10</v>
      </c>
      <c r="G3018" s="2" t="s">
        <v>11</v>
      </c>
      <c r="H3018" s="2">
        <v>50000000</v>
      </c>
      <c r="I3018" s="2">
        <v>6</v>
      </c>
      <c r="J3018" s="3">
        <v>66257002</v>
      </c>
      <c r="K3018">
        <f t="shared" si="102"/>
        <v>1.3775047412552699E-3</v>
      </c>
      <c r="R3018" s="12" t="str">
        <f ca="1">IFERROR(__xludf.DUMMYFUNCTION("""COMPUTED_VALUE"""),"Good Night, and Good Luck. ")</f>
        <v>Good Night, and Good Luck. </v>
      </c>
      <c r="S3018" s="12">
        <f t="shared" si="101"/>
        <v>-10151422</v>
      </c>
    </row>
    <row r="3019" spans="1:19" x14ac:dyDescent="0.3">
      <c r="A3019" s="2" t="s">
        <v>1441</v>
      </c>
      <c r="B3019" s="2">
        <v>84</v>
      </c>
      <c r="C3019" s="3">
        <v>16999046</v>
      </c>
      <c r="D3019" s="3" t="s">
        <v>6035</v>
      </c>
      <c r="E3019" s="2" t="s">
        <v>1442</v>
      </c>
      <c r="F3019" s="2" t="s">
        <v>10</v>
      </c>
      <c r="G3019" s="2" t="s">
        <v>11</v>
      </c>
      <c r="H3019" s="2">
        <v>55000000</v>
      </c>
      <c r="I3019" s="2">
        <v>6</v>
      </c>
      <c r="J3019" s="3">
        <v>66359959</v>
      </c>
      <c r="K3019">
        <f t="shared" si="102"/>
        <v>1.3775047412552699E-3</v>
      </c>
      <c r="R3019" s="12" t="str">
        <f ca="1">IFERROR(__xludf.DUMMYFUNCTION("""COMPUTED_VALUE"""),"Capote ")</f>
        <v>Capote </v>
      </c>
      <c r="S3019" s="12">
        <f t="shared" si="101"/>
        <v>-24924273</v>
      </c>
    </row>
    <row r="3020" spans="1:19" x14ac:dyDescent="0.3">
      <c r="A3020" s="2" t="s">
        <v>1189</v>
      </c>
      <c r="B3020" s="2">
        <v>96</v>
      </c>
      <c r="C3020" s="3">
        <v>4435083</v>
      </c>
      <c r="D3020" s="3" t="s">
        <v>6423</v>
      </c>
      <c r="E3020" s="2" t="s">
        <v>3001</v>
      </c>
      <c r="F3020" s="2" t="s">
        <v>10</v>
      </c>
      <c r="G3020" s="2" t="s">
        <v>11</v>
      </c>
      <c r="H3020" s="2">
        <v>20000000</v>
      </c>
      <c r="I3020" s="2">
        <v>6.2</v>
      </c>
      <c r="J3020" s="3">
        <v>66365290</v>
      </c>
      <c r="K3020">
        <f t="shared" si="102"/>
        <v>1.3775047412552699E-3</v>
      </c>
      <c r="R3020" s="12" t="str">
        <f ca="1">IFERROR(__xludf.DUMMYFUNCTION("""COMPUTED_VALUE"""),"Desperado ")</f>
        <v>Desperado </v>
      </c>
      <c r="S3020" s="12">
        <f t="shared" si="101"/>
        <v>-43008098</v>
      </c>
    </row>
    <row r="3021" spans="1:19" x14ac:dyDescent="0.3">
      <c r="A3021" s="2" t="s">
        <v>358</v>
      </c>
      <c r="B3021" s="2">
        <v>102</v>
      </c>
      <c r="C3021" s="3">
        <v>1114943</v>
      </c>
      <c r="D3021" s="3" t="s">
        <v>6310</v>
      </c>
      <c r="E3021" s="2" t="s">
        <v>1689</v>
      </c>
      <c r="F3021" s="2" t="s">
        <v>10</v>
      </c>
      <c r="G3021" s="2" t="s">
        <v>11</v>
      </c>
      <c r="H3021" s="2">
        <v>40000000</v>
      </c>
      <c r="I3021" s="2">
        <v>5.9</v>
      </c>
      <c r="J3021" s="3">
        <v>66462600</v>
      </c>
      <c r="K3021">
        <f t="shared" si="102"/>
        <v>1.3775047412552699E-3</v>
      </c>
      <c r="R3021" s="12" t="str">
        <f ca="1">IFERROR(__xludf.DUMMYFUNCTION("""COMPUTED_VALUE"""),"Logan's Run ")</f>
        <v>Logan's Run </v>
      </c>
      <c r="S3021" s="12">
        <f t="shared" si="101"/>
        <v>-33220716</v>
      </c>
    </row>
    <row r="3022" spans="1:19" x14ac:dyDescent="0.3">
      <c r="A3022" s="2" t="s">
        <v>4683</v>
      </c>
      <c r="B3022" s="2">
        <v>110</v>
      </c>
      <c r="C3022" s="3">
        <v>10161099</v>
      </c>
      <c r="D3022" s="3" t="s">
        <v>5963</v>
      </c>
      <c r="E3022" s="2" t="s">
        <v>4684</v>
      </c>
      <c r="F3022" s="2" t="s">
        <v>10</v>
      </c>
      <c r="G3022" s="2" t="s">
        <v>11</v>
      </c>
      <c r="H3022" s="2">
        <v>5000000</v>
      </c>
      <c r="I3022" s="2">
        <v>6.8</v>
      </c>
      <c r="J3022" s="3">
        <v>66466372</v>
      </c>
      <c r="K3022">
        <f t="shared" si="102"/>
        <v>1.3775047412552699E-3</v>
      </c>
      <c r="R3022" s="12" t="str">
        <f ca="1">IFERROR(__xludf.DUMMYFUNCTION("""COMPUTED_VALUE"""),"The Man with the Golden Gun ")</f>
        <v>The Man with the Golden Gun </v>
      </c>
      <c r="S3022" s="12">
        <f t="shared" si="101"/>
        <v>80057479</v>
      </c>
    </row>
    <row r="3023" spans="1:19" x14ac:dyDescent="0.3">
      <c r="A3023" s="2" t="s">
        <v>2304</v>
      </c>
      <c r="B3023" s="2">
        <v>104</v>
      </c>
      <c r="C3023" s="2">
        <v>16999046</v>
      </c>
      <c r="D3023" s="3" t="s">
        <v>6026</v>
      </c>
      <c r="E3023" s="2" t="s">
        <v>2305</v>
      </c>
      <c r="F3023" s="2" t="s">
        <v>10</v>
      </c>
      <c r="G3023" s="2" t="s">
        <v>71</v>
      </c>
      <c r="H3023" s="2">
        <v>26000000</v>
      </c>
      <c r="I3023" s="2">
        <v>5.8</v>
      </c>
      <c r="J3023" s="3">
        <v>66468315</v>
      </c>
      <c r="K3023">
        <f t="shared" si="102"/>
        <v>1.3775047412552699E-3</v>
      </c>
      <c r="R3023" s="12" t="str">
        <f ca="1">IFERROR(__xludf.DUMMYFUNCTION("""COMPUTED_VALUE"""),"Action Jackson ")</f>
        <v>Action Jackson </v>
      </c>
      <c r="S3023" s="12">
        <f t="shared" si="101"/>
        <v>-49987157</v>
      </c>
    </row>
    <row r="3024" spans="1:19" x14ac:dyDescent="0.3">
      <c r="A3024" s="2" t="s">
        <v>1288</v>
      </c>
      <c r="B3024" s="2">
        <v>108</v>
      </c>
      <c r="C3024" s="3">
        <v>6851636</v>
      </c>
      <c r="D3024" s="3" t="s">
        <v>5849</v>
      </c>
      <c r="E3024" s="2" t="s">
        <v>2974</v>
      </c>
      <c r="F3024" s="2" t="s">
        <v>10</v>
      </c>
      <c r="G3024" s="2" t="s">
        <v>11</v>
      </c>
      <c r="H3024" s="2">
        <v>19000000</v>
      </c>
      <c r="I3024" s="2">
        <v>7.3</v>
      </c>
      <c r="J3024" s="3">
        <v>66488090</v>
      </c>
      <c r="K3024">
        <f t="shared" si="102"/>
        <v>1.3775047412552699E-3</v>
      </c>
      <c r="R3024" s="12" t="str">
        <f ca="1">IFERROR(__xludf.DUMMYFUNCTION("""COMPUTED_VALUE"""),"The Descent ")</f>
        <v>The Descent </v>
      </c>
      <c r="S3024" s="12">
        <f t="shared" si="101"/>
        <v>-6993613</v>
      </c>
    </row>
    <row r="3025" spans="1:19" x14ac:dyDescent="0.3">
      <c r="A3025" s="2" t="s">
        <v>175</v>
      </c>
      <c r="B3025" s="2">
        <v>151</v>
      </c>
      <c r="C3025" s="3">
        <v>22518325</v>
      </c>
      <c r="D3025" s="3" t="s">
        <v>6186</v>
      </c>
      <c r="E3025" s="2" t="s">
        <v>990</v>
      </c>
      <c r="F3025" s="2" t="s">
        <v>10</v>
      </c>
      <c r="G3025" s="2" t="s">
        <v>11</v>
      </c>
      <c r="H3025" s="2">
        <v>63000000</v>
      </c>
      <c r="I3025" s="2">
        <v>8.8000000000000007</v>
      </c>
      <c r="J3025" s="3">
        <v>66489425</v>
      </c>
      <c r="K3025">
        <f t="shared" si="102"/>
        <v>1.3775047412552699E-3</v>
      </c>
      <c r="R3025" s="12" t="str">
        <f ca="1">IFERROR(__xludf.DUMMYFUNCTION("""COMPUTED_VALUE"""),"Devil's Due ")</f>
        <v>Devil's Due </v>
      </c>
      <c r="S3025" s="12">
        <f t="shared" si="101"/>
        <v>17077977</v>
      </c>
    </row>
    <row r="3026" spans="1:19" x14ac:dyDescent="0.3">
      <c r="A3026" s="2" t="s">
        <v>2093</v>
      </c>
      <c r="B3026" s="2">
        <v>140</v>
      </c>
      <c r="C3026" s="3">
        <v>16969390</v>
      </c>
      <c r="D3026" s="3" t="s">
        <v>5872</v>
      </c>
      <c r="E3026" s="2" t="s">
        <v>2094</v>
      </c>
      <c r="F3026" s="2" t="s">
        <v>10</v>
      </c>
      <c r="G3026" s="2" t="s">
        <v>11</v>
      </c>
      <c r="H3026" s="2">
        <v>33000000</v>
      </c>
      <c r="I3026" s="2">
        <v>6.5</v>
      </c>
      <c r="J3026" s="3">
        <v>66528842</v>
      </c>
      <c r="K3026">
        <f t="shared" si="102"/>
        <v>1.3775047412552699E-3</v>
      </c>
      <c r="R3026" s="12" t="str">
        <f ca="1">IFERROR(__xludf.DUMMYFUNCTION("""COMPUTED_VALUE"""),"Flirting with Disaster ")</f>
        <v>Flirting with Disaster </v>
      </c>
      <c r="S3026" s="12">
        <f t="shared" si="101"/>
        <v>41670855</v>
      </c>
    </row>
    <row r="3027" spans="1:19" x14ac:dyDescent="0.3">
      <c r="A3027" s="2" t="s">
        <v>4661</v>
      </c>
      <c r="B3027" s="2">
        <v>99</v>
      </c>
      <c r="C3027" s="3">
        <v>17010646</v>
      </c>
      <c r="D3027" s="3" t="s">
        <v>5857</v>
      </c>
      <c r="E3027" s="2" t="s">
        <v>4662</v>
      </c>
      <c r="F3027" s="2" t="s">
        <v>10</v>
      </c>
      <c r="G3027" s="2" t="s">
        <v>11</v>
      </c>
      <c r="H3027" s="2">
        <v>8000000</v>
      </c>
      <c r="I3027" s="2">
        <v>6.1</v>
      </c>
      <c r="J3027" s="3">
        <v>66600000</v>
      </c>
      <c r="K3027">
        <f t="shared" si="102"/>
        <v>1.3775047412552699E-3</v>
      </c>
      <c r="R3027" s="12" t="str">
        <f ca="1">IFERROR(__xludf.DUMMYFUNCTION("""COMPUTED_VALUE"""),"The Devil's Rejects ")</f>
        <v>The Devil's Rejects </v>
      </c>
      <c r="S3027" s="12">
        <f t="shared" si="101"/>
        <v>-4462699</v>
      </c>
    </row>
    <row r="3028" spans="1:19" x14ac:dyDescent="0.3">
      <c r="A3028" s="2" t="s">
        <v>666</v>
      </c>
      <c r="B3028" s="2">
        <v>88</v>
      </c>
      <c r="C3028" s="3">
        <v>1229197</v>
      </c>
      <c r="D3028" s="3" t="s">
        <v>6041</v>
      </c>
      <c r="E3028" s="2" t="s">
        <v>2698</v>
      </c>
      <c r="F3028" s="2" t="s">
        <v>10</v>
      </c>
      <c r="G3028" s="2" t="s">
        <v>11</v>
      </c>
      <c r="H3028" s="2">
        <v>24000000</v>
      </c>
      <c r="I3028" s="2">
        <v>7.2</v>
      </c>
      <c r="J3028" s="3">
        <v>66636385</v>
      </c>
      <c r="K3028">
        <f t="shared" si="102"/>
        <v>1.3775047412552699E-3</v>
      </c>
      <c r="R3028" s="12" t="str">
        <f ca="1">IFERROR(__xludf.DUMMYFUNCTION("""COMPUTED_VALUE"""),"Dope ")</f>
        <v>Dope </v>
      </c>
      <c r="S3028" s="12">
        <f t="shared" si="101"/>
        <v>34542421</v>
      </c>
    </row>
    <row r="3029" spans="1:19" x14ac:dyDescent="0.3">
      <c r="A3029" s="2" t="s">
        <v>1461</v>
      </c>
      <c r="B3029" s="2">
        <v>104</v>
      </c>
      <c r="C3029" s="3">
        <v>4903000</v>
      </c>
      <c r="D3029" s="3" t="s">
        <v>6026</v>
      </c>
      <c r="E3029" s="2" t="s">
        <v>1462</v>
      </c>
      <c r="F3029" s="2" t="s">
        <v>10</v>
      </c>
      <c r="G3029" s="2" t="s">
        <v>11</v>
      </c>
      <c r="H3029" s="2">
        <v>50000000</v>
      </c>
      <c r="I3029" s="2">
        <v>5.5</v>
      </c>
      <c r="J3029" s="3">
        <v>66676062</v>
      </c>
      <c r="K3029">
        <f t="shared" si="102"/>
        <v>1.3775047412552699E-3</v>
      </c>
      <c r="R3029" s="12" t="str">
        <f ca="1">IFERROR(__xludf.DUMMYFUNCTION("""COMPUTED_VALUE"""),"In Too Deep ")</f>
        <v>In Too Deep </v>
      </c>
      <c r="S3029" s="12">
        <f t="shared" si="101"/>
        <v>-17146360</v>
      </c>
    </row>
    <row r="3030" spans="1:19" x14ac:dyDescent="0.3">
      <c r="A3030" s="2" t="s">
        <v>316</v>
      </c>
      <c r="B3030" s="2">
        <v>94</v>
      </c>
      <c r="C3030" s="3">
        <v>3093491</v>
      </c>
      <c r="D3030" s="3" t="s">
        <v>5767</v>
      </c>
      <c r="E3030" s="2" t="s">
        <v>4387</v>
      </c>
      <c r="F3030" s="2" t="s">
        <v>583</v>
      </c>
      <c r="G3030" s="2" t="s">
        <v>98</v>
      </c>
      <c r="H3030" s="2">
        <v>6000000</v>
      </c>
      <c r="I3030" s="2">
        <v>7.5</v>
      </c>
      <c r="J3030" s="3">
        <v>66734992</v>
      </c>
      <c r="K3030">
        <f t="shared" si="102"/>
        <v>1.3775047412552699E-3</v>
      </c>
      <c r="R3030" s="12" t="str">
        <f ca="1">IFERROR(__xludf.DUMMYFUNCTION("""COMPUTED_VALUE"""),"House of 1000 Corpses ")</f>
        <v>House of 1000 Corpses </v>
      </c>
      <c r="S3030" s="12">
        <f t="shared" si="101"/>
        <v>-35436000</v>
      </c>
    </row>
    <row r="3031" spans="1:19" x14ac:dyDescent="0.3">
      <c r="A3031" s="2" t="s">
        <v>4081</v>
      </c>
      <c r="B3031" s="2">
        <v>100</v>
      </c>
      <c r="C3031" s="3">
        <v>7563670</v>
      </c>
      <c r="D3031" s="3" t="s">
        <v>5835</v>
      </c>
      <c r="E3031" s="2" t="s">
        <v>4082</v>
      </c>
      <c r="F3031" s="2" t="s">
        <v>10</v>
      </c>
      <c r="G3031" s="2" t="s">
        <v>16</v>
      </c>
      <c r="H3031" s="2">
        <v>11500000</v>
      </c>
      <c r="I3031" s="2">
        <v>6.6</v>
      </c>
      <c r="J3031" s="3">
        <v>66790248</v>
      </c>
      <c r="K3031">
        <f t="shared" si="102"/>
        <v>1.3775047412552699E-3</v>
      </c>
      <c r="R3031" s="12" t="str">
        <f ca="1">IFERROR(__xludf.DUMMYFUNCTION("""COMPUTED_VALUE"""),"A Serious Man ")</f>
        <v>A Serious Man </v>
      </c>
      <c r="S3031" s="12">
        <f t="shared" si="101"/>
        <v>20802754</v>
      </c>
    </row>
    <row r="3032" spans="1:19" x14ac:dyDescent="0.3">
      <c r="A3032" s="2" t="s">
        <v>2404</v>
      </c>
      <c r="B3032" s="2">
        <v>115</v>
      </c>
      <c r="C3032" s="3">
        <v>10137502</v>
      </c>
      <c r="D3032" s="3" t="s">
        <v>6171</v>
      </c>
      <c r="E3032" s="2" t="s">
        <v>3074</v>
      </c>
      <c r="F3032" s="2" t="s">
        <v>10</v>
      </c>
      <c r="G3032" s="2" t="s">
        <v>11</v>
      </c>
      <c r="H3032" s="2">
        <v>24000000</v>
      </c>
      <c r="I3032" s="2">
        <v>6.4</v>
      </c>
      <c r="J3032" s="3">
        <v>66808615</v>
      </c>
      <c r="K3032">
        <f t="shared" si="102"/>
        <v>1.3775047412552699E-3</v>
      </c>
      <c r="R3032" s="12" t="str">
        <f ca="1">IFERROR(__xludf.DUMMYFUNCTION("""COMPUTED_VALUE"""),"Get Low ")</f>
        <v>Get Low </v>
      </c>
      <c r="S3032" s="12">
        <f t="shared" si="101"/>
        <v>-124523730</v>
      </c>
    </row>
    <row r="3033" spans="1:19" x14ac:dyDescent="0.3">
      <c r="A3033" s="2" t="s">
        <v>1891</v>
      </c>
      <c r="B3033" s="2">
        <v>133</v>
      </c>
      <c r="C3033" s="3">
        <v>274385</v>
      </c>
      <c r="D3033" s="3" t="s">
        <v>5940</v>
      </c>
      <c r="E3033" s="2" t="s">
        <v>1892</v>
      </c>
      <c r="F3033" s="2" t="s">
        <v>10</v>
      </c>
      <c r="G3033" s="2" t="s">
        <v>11</v>
      </c>
      <c r="H3033" s="2">
        <v>35000000</v>
      </c>
      <c r="I3033" s="2">
        <v>7.7</v>
      </c>
      <c r="J3033" s="3">
        <v>66862068</v>
      </c>
      <c r="K3033">
        <f t="shared" si="102"/>
        <v>1.3775047412552699E-3</v>
      </c>
      <c r="R3033" s="12" t="str">
        <f ca="1">IFERROR(__xludf.DUMMYFUNCTION("""COMPUTED_VALUE"""),"Warlock ")</f>
        <v>Warlock </v>
      </c>
      <c r="S3033" s="12">
        <f t="shared" ref="S3033:S3096" si="103">C3011-H3011</f>
        <v>13505329</v>
      </c>
    </row>
    <row r="3034" spans="1:19" x14ac:dyDescent="0.3">
      <c r="A3034" s="2" t="s">
        <v>316</v>
      </c>
      <c r="B3034" s="2">
        <v>117</v>
      </c>
      <c r="C3034" s="3">
        <v>578527</v>
      </c>
      <c r="D3034" s="3" t="s">
        <v>520</v>
      </c>
      <c r="E3034" s="2" t="s">
        <v>1514</v>
      </c>
      <c r="F3034" s="2" t="s">
        <v>10</v>
      </c>
      <c r="G3034" s="2" t="s">
        <v>11</v>
      </c>
      <c r="H3034" s="2">
        <v>45000000</v>
      </c>
      <c r="I3034" s="2">
        <v>6.9</v>
      </c>
      <c r="J3034" s="3">
        <v>66941559</v>
      </c>
      <c r="K3034">
        <f t="shared" si="102"/>
        <v>1.3775047412552699E-3</v>
      </c>
      <c r="R3034" s="12" t="str">
        <f ca="1">IFERROR(__xludf.DUMMYFUNCTION("""COMPUTED_VALUE"""),"Beyond the Lights ")</f>
        <v>Beyond the Lights </v>
      </c>
      <c r="S3034" s="12">
        <f t="shared" si="103"/>
        <v>2556065</v>
      </c>
    </row>
    <row r="3035" spans="1:19" x14ac:dyDescent="0.3">
      <c r="A3035" s="2" t="s">
        <v>427</v>
      </c>
      <c r="B3035" s="2">
        <v>120</v>
      </c>
      <c r="C3035" s="3">
        <v>19719930</v>
      </c>
      <c r="D3035" s="3" t="s">
        <v>885</v>
      </c>
      <c r="E3035" s="2" t="s">
        <v>428</v>
      </c>
      <c r="F3035" s="2" t="s">
        <v>10</v>
      </c>
      <c r="G3035" s="2" t="s">
        <v>11</v>
      </c>
      <c r="H3035" s="2">
        <v>110000000</v>
      </c>
      <c r="I3035" s="2">
        <v>5.8</v>
      </c>
      <c r="J3035" s="3">
        <v>66950483</v>
      </c>
      <c r="K3035">
        <f t="shared" si="102"/>
        <v>1.3775047412552699E-3</v>
      </c>
      <c r="R3035" s="12" t="str">
        <f ca="1">IFERROR(__xludf.DUMMYFUNCTION("""COMPUTED_VALUE"""),"A Single Man ")</f>
        <v>A Single Man </v>
      </c>
      <c r="S3035" s="12">
        <f t="shared" si="103"/>
        <v>-11047380</v>
      </c>
    </row>
    <row r="3036" spans="1:19" x14ac:dyDescent="0.3">
      <c r="A3036" s="2" t="s">
        <v>410</v>
      </c>
      <c r="B3036" s="2">
        <v>108</v>
      </c>
      <c r="C3036" s="3">
        <v>8378141</v>
      </c>
      <c r="D3036" s="3" t="s">
        <v>6160</v>
      </c>
      <c r="E3036" s="2" t="s">
        <v>2935</v>
      </c>
      <c r="F3036" s="2" t="s">
        <v>10</v>
      </c>
      <c r="G3036" s="2" t="s">
        <v>11</v>
      </c>
      <c r="H3036" s="2">
        <v>20000000</v>
      </c>
      <c r="I3036" s="2">
        <v>8.3000000000000007</v>
      </c>
      <c r="J3036" s="3">
        <v>67061228</v>
      </c>
      <c r="K3036">
        <f t="shared" si="102"/>
        <v>1.3775047412552699E-3</v>
      </c>
      <c r="R3036" s="12" t="str">
        <f ca="1">IFERROR(__xludf.DUMMYFUNCTION("""COMPUTED_VALUE"""),"The Last Temptation of Christ ")</f>
        <v>The Last Temptation of Christ </v>
      </c>
      <c r="S3036" s="12">
        <f t="shared" si="103"/>
        <v>4551188</v>
      </c>
    </row>
    <row r="3037" spans="1:19" x14ac:dyDescent="0.3">
      <c r="A3037" s="2" t="s">
        <v>516</v>
      </c>
      <c r="B3037" s="2">
        <v>96</v>
      </c>
      <c r="C3037" s="3">
        <v>5773519</v>
      </c>
      <c r="D3037" s="3" t="s">
        <v>5767</v>
      </c>
      <c r="E3037" s="2" t="s">
        <v>1547</v>
      </c>
      <c r="F3037" s="2" t="s">
        <v>10</v>
      </c>
      <c r="G3037" s="2" t="s">
        <v>11</v>
      </c>
      <c r="H3037" s="2">
        <v>45000000</v>
      </c>
      <c r="I3037" s="2">
        <v>5.9</v>
      </c>
      <c r="J3037" s="3">
        <v>67128202</v>
      </c>
      <c r="K3037">
        <f t="shared" si="102"/>
        <v>1.3775047412552699E-3</v>
      </c>
      <c r="R3037" s="12" t="str">
        <f ca="1">IFERROR(__xludf.DUMMYFUNCTION("""COMPUTED_VALUE"""),"Outside Providence ")</f>
        <v>Outside Providence </v>
      </c>
      <c r="S3037" s="12">
        <f t="shared" si="103"/>
        <v>-74809438</v>
      </c>
    </row>
    <row r="3038" spans="1:19" x14ac:dyDescent="0.3">
      <c r="A3038" s="2" t="s">
        <v>4999</v>
      </c>
      <c r="B3038" s="2">
        <v>66</v>
      </c>
      <c r="C3038" s="3">
        <v>163591</v>
      </c>
      <c r="D3038" s="3" t="s">
        <v>6151</v>
      </c>
      <c r="E3038" s="2" t="s">
        <v>5000</v>
      </c>
      <c r="F3038" s="2" t="s">
        <v>723</v>
      </c>
      <c r="G3038" s="2" t="s">
        <v>932</v>
      </c>
      <c r="H3038" s="2">
        <v>2600000</v>
      </c>
      <c r="I3038" s="2">
        <v>7.2</v>
      </c>
      <c r="J3038" s="3">
        <v>67155742</v>
      </c>
      <c r="K3038">
        <f t="shared" si="102"/>
        <v>1.3775047412552699E-3</v>
      </c>
      <c r="R3038" s="12" t="str">
        <f ca="1">IFERROR(__xludf.DUMMYFUNCTION("""COMPUTED_VALUE"""),"Bride &amp; Prejudice ")</f>
        <v>Bride &amp; Prejudice </v>
      </c>
      <c r="S3038" s="12">
        <f t="shared" si="103"/>
        <v>33834024</v>
      </c>
    </row>
    <row r="3039" spans="1:19" x14ac:dyDescent="0.3">
      <c r="A3039" s="2" t="s">
        <v>209</v>
      </c>
      <c r="B3039" s="2">
        <v>94</v>
      </c>
      <c r="C3039" s="3">
        <v>7563397</v>
      </c>
      <c r="D3039" s="3" t="s">
        <v>520</v>
      </c>
      <c r="E3039" s="2" t="s">
        <v>1669</v>
      </c>
      <c r="F3039" s="2" t="s">
        <v>10</v>
      </c>
      <c r="G3039" s="2" t="s">
        <v>11</v>
      </c>
      <c r="H3039" s="2">
        <v>40000000</v>
      </c>
      <c r="I3039" s="2">
        <v>5.8</v>
      </c>
      <c r="J3039" s="3">
        <v>67253092</v>
      </c>
      <c r="K3039">
        <f t="shared" si="102"/>
        <v>1.3775047412552699E-3</v>
      </c>
      <c r="R3039" s="12" t="str">
        <f ca="1">IFERROR(__xludf.DUMMYFUNCTION("""COMPUTED_VALUE"""),"Rabbit-Proof Fence ")</f>
        <v>Rabbit-Proof Fence </v>
      </c>
      <c r="S3039" s="12">
        <f t="shared" si="103"/>
        <v>-65559945</v>
      </c>
    </row>
    <row r="3040" spans="1:19" x14ac:dyDescent="0.3">
      <c r="A3040" s="2" t="s">
        <v>181</v>
      </c>
      <c r="B3040" s="2">
        <v>126</v>
      </c>
      <c r="C3040" s="3">
        <v>7156933</v>
      </c>
      <c r="D3040" s="3" t="s">
        <v>6136</v>
      </c>
      <c r="E3040" s="2" t="s">
        <v>1244</v>
      </c>
      <c r="F3040" s="2" t="s">
        <v>10</v>
      </c>
      <c r="G3040" s="2" t="s">
        <v>11</v>
      </c>
      <c r="H3040" s="2">
        <v>55000000</v>
      </c>
      <c r="I3040" s="2">
        <v>6.5</v>
      </c>
      <c r="J3040" s="3">
        <v>67263182</v>
      </c>
      <c r="K3040">
        <f t="shared" si="102"/>
        <v>1.3775047412552699E-3</v>
      </c>
      <c r="R3040" s="12" t="str">
        <f ca="1">IFERROR(__xludf.DUMMYFUNCTION("""COMPUTED_VALUE"""),"Who's Your Caddy? ")</f>
        <v>Who's Your Caddy? </v>
      </c>
      <c r="S3040" s="12">
        <f t="shared" si="103"/>
        <v>-48231584</v>
      </c>
    </row>
    <row r="3041" spans="1:19" x14ac:dyDescent="0.3">
      <c r="A3041" s="2" t="s">
        <v>185</v>
      </c>
      <c r="B3041" s="2">
        <v>103</v>
      </c>
      <c r="C3041" s="3">
        <v>19294901</v>
      </c>
      <c r="D3041" s="3" t="s">
        <v>885</v>
      </c>
      <c r="E3041" s="2" t="s">
        <v>1521</v>
      </c>
      <c r="F3041" s="2" t="s">
        <v>10</v>
      </c>
      <c r="G3041" s="2" t="s">
        <v>11</v>
      </c>
      <c r="H3041" s="2">
        <v>45000000</v>
      </c>
      <c r="I3041" s="2">
        <v>7.1</v>
      </c>
      <c r="J3041" s="3">
        <v>67266300</v>
      </c>
      <c r="K3041">
        <f t="shared" si="102"/>
        <v>1.3775047412552699E-3</v>
      </c>
      <c r="R3041" s="12" t="str">
        <f ca="1">IFERROR(__xludf.DUMMYFUNCTION("""COMPUTED_VALUE"""),"Split Second ")</f>
        <v>Split Second </v>
      </c>
      <c r="S3041" s="12">
        <f t="shared" si="103"/>
        <v>-38000954</v>
      </c>
    </row>
    <row r="3042" spans="1:19" x14ac:dyDescent="0.3">
      <c r="A3042" s="2" t="s">
        <v>5111</v>
      </c>
      <c r="B3042" s="2">
        <v>95</v>
      </c>
      <c r="C3042" s="3">
        <v>1089445</v>
      </c>
      <c r="D3042" s="3" t="s">
        <v>6424</v>
      </c>
      <c r="E3042" s="2" t="s">
        <v>5112</v>
      </c>
      <c r="F3042" s="2" t="s">
        <v>10</v>
      </c>
      <c r="G3042" s="2" t="s">
        <v>11</v>
      </c>
      <c r="H3042" s="2">
        <v>1500000</v>
      </c>
      <c r="I3042" s="2">
        <v>6.2</v>
      </c>
      <c r="J3042" s="3">
        <v>67286731</v>
      </c>
      <c r="K3042">
        <f t="shared" si="102"/>
        <v>1.3775047412552699E-3</v>
      </c>
      <c r="R3042" s="12" t="str">
        <f ca="1">IFERROR(__xludf.DUMMYFUNCTION("""COMPUTED_VALUE"""),"The Other Side of Heaven ")</f>
        <v>The Other Side of Heaven </v>
      </c>
      <c r="S3042" s="12">
        <f t="shared" si="103"/>
        <v>-15564917</v>
      </c>
    </row>
    <row r="3043" spans="1:19" x14ac:dyDescent="0.3">
      <c r="A3043" s="2" t="s">
        <v>630</v>
      </c>
      <c r="B3043" s="2">
        <v>110</v>
      </c>
      <c r="C3043" s="3">
        <v>27979400</v>
      </c>
      <c r="D3043" s="3" t="s">
        <v>520</v>
      </c>
      <c r="E3043" s="2" t="s">
        <v>3280</v>
      </c>
      <c r="F3043" s="2" t="s">
        <v>10</v>
      </c>
      <c r="G3043" s="2" t="s">
        <v>11</v>
      </c>
      <c r="H3043" s="2">
        <v>16000000</v>
      </c>
      <c r="I3043" s="2">
        <v>7.6</v>
      </c>
      <c r="J3043" s="3">
        <v>67325559</v>
      </c>
      <c r="K3043">
        <f t="shared" si="102"/>
        <v>1.3775047412552699E-3</v>
      </c>
      <c r="R3043" s="12" t="str">
        <f ca="1">IFERROR(__xludf.DUMMYFUNCTION("""COMPUTED_VALUE"""),"Veer-Zaara ")</f>
        <v>Veer-Zaara </v>
      </c>
      <c r="S3043" s="12">
        <f t="shared" si="103"/>
        <v>-38885057</v>
      </c>
    </row>
    <row r="3044" spans="1:19" x14ac:dyDescent="0.3">
      <c r="A3044" s="2" t="s">
        <v>1523</v>
      </c>
      <c r="B3044" s="2">
        <v>115</v>
      </c>
      <c r="C3044" s="3">
        <v>381186</v>
      </c>
      <c r="D3044" s="3" t="s">
        <v>6340</v>
      </c>
      <c r="E3044" s="2" t="s">
        <v>3442</v>
      </c>
      <c r="F3044" s="2" t="s">
        <v>10</v>
      </c>
      <c r="G3044" s="2" t="s">
        <v>11</v>
      </c>
      <c r="H3044" s="2">
        <v>15000000</v>
      </c>
      <c r="I3044" s="2">
        <v>6.7</v>
      </c>
      <c r="J3044" s="3">
        <v>67344392</v>
      </c>
      <c r="K3044">
        <f t="shared" si="102"/>
        <v>1.3775047412552699E-3</v>
      </c>
      <c r="R3044" s="12" t="str">
        <f ca="1">IFERROR(__xludf.DUMMYFUNCTION("""COMPUTED_VALUE"""),"Redbelt ")</f>
        <v>Redbelt </v>
      </c>
      <c r="S3044" s="12">
        <f t="shared" si="103"/>
        <v>5161099</v>
      </c>
    </row>
    <row r="3045" spans="1:19" x14ac:dyDescent="0.3">
      <c r="A3045" s="2" t="s">
        <v>2559</v>
      </c>
      <c r="B3045" s="2">
        <v>80</v>
      </c>
      <c r="C3045" s="3">
        <v>13823741</v>
      </c>
      <c r="D3045" s="3" t="s">
        <v>5940</v>
      </c>
      <c r="E3045" s="2" t="s">
        <v>2560</v>
      </c>
      <c r="F3045" s="2" t="s">
        <v>10</v>
      </c>
      <c r="G3045" s="2" t="s">
        <v>11</v>
      </c>
      <c r="H3045" s="2">
        <v>25000000</v>
      </c>
      <c r="I3045" s="2">
        <v>5.6</v>
      </c>
      <c r="J3045" s="3">
        <v>67523385</v>
      </c>
      <c r="K3045">
        <f t="shared" si="102"/>
        <v>1.3775047412552699E-3</v>
      </c>
      <c r="R3045" s="12" t="str">
        <f ca="1">IFERROR(__xludf.DUMMYFUNCTION("""COMPUTED_VALUE"""),"Cyrus ")</f>
        <v>Cyrus </v>
      </c>
      <c r="S3045" s="12">
        <f t="shared" si="103"/>
        <v>-9000954</v>
      </c>
    </row>
    <row r="3046" spans="1:19" x14ac:dyDescent="0.3">
      <c r="A3046" s="2" t="s">
        <v>4391</v>
      </c>
      <c r="B3046" s="2">
        <v>113</v>
      </c>
      <c r="C3046" s="3">
        <v>274299</v>
      </c>
      <c r="D3046" s="3" t="s">
        <v>5855</v>
      </c>
      <c r="E3046" s="2" t="s">
        <v>4392</v>
      </c>
      <c r="F3046" s="2" t="s">
        <v>10</v>
      </c>
      <c r="G3046" s="2" t="s">
        <v>11</v>
      </c>
      <c r="H3046" s="2">
        <v>7000000</v>
      </c>
      <c r="I3046" s="2">
        <v>6.5</v>
      </c>
      <c r="J3046" s="3">
        <v>67631157</v>
      </c>
      <c r="K3046">
        <f t="shared" si="102"/>
        <v>1.3775047412552699E-3</v>
      </c>
      <c r="R3046" s="12" t="str">
        <f ca="1">IFERROR(__xludf.DUMMYFUNCTION("""COMPUTED_VALUE"""),"A Dog of Flanders ")</f>
        <v>A Dog of Flanders </v>
      </c>
      <c r="S3046" s="12">
        <f t="shared" si="103"/>
        <v>-12148364</v>
      </c>
    </row>
    <row r="3047" spans="1:19" x14ac:dyDescent="0.3">
      <c r="A3047" s="2" t="s">
        <v>2689</v>
      </c>
      <c r="B3047" s="2">
        <v>119</v>
      </c>
      <c r="C3047" s="3">
        <v>5749134</v>
      </c>
      <c r="D3047" s="3" t="s">
        <v>6062</v>
      </c>
      <c r="E3047" s="2" t="s">
        <v>2690</v>
      </c>
      <c r="F3047" s="2" t="s">
        <v>10</v>
      </c>
      <c r="G3047" s="2" t="s">
        <v>11</v>
      </c>
      <c r="H3047" s="2">
        <v>25000000</v>
      </c>
      <c r="I3047" s="2">
        <v>7.3</v>
      </c>
      <c r="J3047" s="3">
        <v>67823573</v>
      </c>
      <c r="K3047">
        <f t="shared" si="102"/>
        <v>1.3775047412552699E-3</v>
      </c>
      <c r="R3047" s="12" t="str">
        <f ca="1">IFERROR(__xludf.DUMMYFUNCTION("""COMPUTED_VALUE"""),"Auto Focus ")</f>
        <v>Auto Focus </v>
      </c>
      <c r="S3047" s="12">
        <f t="shared" si="103"/>
        <v>-40481675</v>
      </c>
    </row>
    <row r="3048" spans="1:19" x14ac:dyDescent="0.3">
      <c r="A3048" s="2" t="s">
        <v>2619</v>
      </c>
      <c r="B3048" s="2">
        <v>107</v>
      </c>
      <c r="C3048" s="3">
        <v>20275446</v>
      </c>
      <c r="D3048" s="3" t="s">
        <v>6425</v>
      </c>
      <c r="E3048" s="2" t="s">
        <v>2620</v>
      </c>
      <c r="F3048" s="2" t="s">
        <v>10</v>
      </c>
      <c r="G3048" s="2" t="s">
        <v>11</v>
      </c>
      <c r="H3048" s="2">
        <v>25000000</v>
      </c>
      <c r="I3048" s="2">
        <v>5.6</v>
      </c>
      <c r="J3048" s="3">
        <v>67900000</v>
      </c>
      <c r="K3048">
        <f t="shared" si="102"/>
        <v>1.3775047412552699E-3</v>
      </c>
      <c r="R3048" s="12" t="str">
        <f ca="1">IFERROR(__xludf.DUMMYFUNCTION("""COMPUTED_VALUE"""),"Factory Girl ")</f>
        <v>Factory Girl </v>
      </c>
      <c r="S3048" s="12">
        <f t="shared" si="103"/>
        <v>-16030610</v>
      </c>
    </row>
    <row r="3049" spans="1:19" x14ac:dyDescent="0.3">
      <c r="A3049" s="2" t="s">
        <v>2894</v>
      </c>
      <c r="B3049" s="2">
        <v>96</v>
      </c>
      <c r="C3049" s="3">
        <v>13571817</v>
      </c>
      <c r="D3049" s="3" t="s">
        <v>5849</v>
      </c>
      <c r="E3049" s="2" t="s">
        <v>2895</v>
      </c>
      <c r="F3049" s="2" t="s">
        <v>10</v>
      </c>
      <c r="G3049" s="2" t="s">
        <v>11</v>
      </c>
      <c r="H3049" s="2">
        <v>20000000</v>
      </c>
      <c r="I3049" s="2">
        <v>5.9</v>
      </c>
      <c r="J3049" s="3">
        <v>67962333</v>
      </c>
      <c r="K3049">
        <f t="shared" si="102"/>
        <v>1.3775047412552699E-3</v>
      </c>
      <c r="R3049" s="12" t="str">
        <f ca="1">IFERROR(__xludf.DUMMYFUNCTION("""COMPUTED_VALUE"""),"We Need to Talk About Kevin ")</f>
        <v>We Need to Talk About Kevin </v>
      </c>
      <c r="S3049" s="12">
        <f t="shared" si="103"/>
        <v>9010646</v>
      </c>
    </row>
    <row r="3050" spans="1:19" x14ac:dyDescent="0.3">
      <c r="A3050" s="2" t="s">
        <v>2941</v>
      </c>
      <c r="B3050" s="2">
        <v>98</v>
      </c>
      <c r="C3050" s="3">
        <v>13034417</v>
      </c>
      <c r="D3050" s="3" t="s">
        <v>5778</v>
      </c>
      <c r="E3050" s="2" t="s">
        <v>2942</v>
      </c>
      <c r="F3050" s="2" t="s">
        <v>10</v>
      </c>
      <c r="G3050" s="2" t="s">
        <v>98</v>
      </c>
      <c r="H3050" s="2">
        <v>20000000</v>
      </c>
      <c r="I3050" s="2">
        <v>6.5</v>
      </c>
      <c r="J3050" s="3">
        <v>68208190</v>
      </c>
      <c r="K3050">
        <f t="shared" si="102"/>
        <v>1.3775047412552699E-3</v>
      </c>
      <c r="R3050" s="12" t="str">
        <f ca="1">IFERROR(__xludf.DUMMYFUNCTION("""COMPUTED_VALUE"""),"The Mighty Macs ")</f>
        <v>The Mighty Macs </v>
      </c>
      <c r="S3050" s="12">
        <f t="shared" si="103"/>
        <v>-22770803</v>
      </c>
    </row>
    <row r="3051" spans="1:19" x14ac:dyDescent="0.3">
      <c r="A3051" s="2" t="s">
        <v>1235</v>
      </c>
      <c r="B3051" s="2">
        <v>99</v>
      </c>
      <c r="C3051" s="3">
        <v>4485485</v>
      </c>
      <c r="D3051" s="3" t="s">
        <v>6148</v>
      </c>
      <c r="E3051" s="2" t="s">
        <v>1769</v>
      </c>
      <c r="F3051" s="2" t="s">
        <v>10</v>
      </c>
      <c r="G3051" s="2" t="s">
        <v>11</v>
      </c>
      <c r="H3051" s="2">
        <v>40000000</v>
      </c>
      <c r="I3051" s="2">
        <v>4.4000000000000004</v>
      </c>
      <c r="J3051" s="3">
        <v>68218041</v>
      </c>
      <c r="K3051">
        <f t="shared" si="102"/>
        <v>1.3775047412552699E-3</v>
      </c>
      <c r="R3051" s="12" t="str">
        <f ca="1">IFERROR(__xludf.DUMMYFUNCTION("""COMPUTED_VALUE"""),"Mother and Child ")</f>
        <v>Mother and Child </v>
      </c>
      <c r="S3051" s="12">
        <f t="shared" si="103"/>
        <v>-45097000</v>
      </c>
    </row>
    <row r="3052" spans="1:19" x14ac:dyDescent="0.3">
      <c r="A3052" s="2" t="s">
        <v>27</v>
      </c>
      <c r="B3052" s="2">
        <v>110</v>
      </c>
      <c r="C3052" s="3">
        <v>51225796</v>
      </c>
      <c r="D3052" s="3" t="s">
        <v>6426</v>
      </c>
      <c r="E3052" s="2" t="s">
        <v>118</v>
      </c>
      <c r="F3052" s="2" t="s">
        <v>10</v>
      </c>
      <c r="G3052" s="2" t="s">
        <v>11</v>
      </c>
      <c r="H3052" s="2">
        <v>180000000</v>
      </c>
      <c r="I3052" s="2">
        <v>6.6</v>
      </c>
      <c r="J3052" s="3">
        <v>68353550</v>
      </c>
      <c r="K3052">
        <f t="shared" si="102"/>
        <v>1.3775047412552699E-3</v>
      </c>
      <c r="R3052" s="12" t="str">
        <f ca="1">IFERROR(__xludf.DUMMYFUNCTION("""COMPUTED_VALUE"""),"March or Die ")</f>
        <v>March or Die </v>
      </c>
      <c r="S3052" s="12">
        <f t="shared" si="103"/>
        <v>-2906509</v>
      </c>
    </row>
    <row r="3053" spans="1:19" x14ac:dyDescent="0.3">
      <c r="A3053" s="2" t="s">
        <v>2271</v>
      </c>
      <c r="B3053" s="2">
        <v>85</v>
      </c>
      <c r="C3053" s="3">
        <v>1227508</v>
      </c>
      <c r="D3053" s="3" t="s">
        <v>5894</v>
      </c>
      <c r="E3053" s="2" t="s">
        <v>2272</v>
      </c>
      <c r="F3053" s="2" t="s">
        <v>10</v>
      </c>
      <c r="G3053" s="2" t="s">
        <v>11</v>
      </c>
      <c r="H3053" s="2">
        <v>19000000</v>
      </c>
      <c r="I3053" s="2">
        <v>3.4</v>
      </c>
      <c r="J3053" s="3">
        <v>68473360</v>
      </c>
      <c r="K3053">
        <f t="shared" si="102"/>
        <v>1.3775047412552699E-3</v>
      </c>
      <c r="R3053" s="12" t="str">
        <f ca="1">IFERROR(__xludf.DUMMYFUNCTION("""COMPUTED_VALUE"""),"Les visiteurs ")</f>
        <v>Les visiteurs </v>
      </c>
      <c r="S3053" s="12">
        <f t="shared" si="103"/>
        <v>-3936330</v>
      </c>
    </row>
    <row r="3054" spans="1:19" x14ac:dyDescent="0.3">
      <c r="A3054" s="2" t="s">
        <v>1145</v>
      </c>
      <c r="B3054" s="2">
        <v>112</v>
      </c>
      <c r="C3054" s="3">
        <v>35811509</v>
      </c>
      <c r="D3054" s="3" t="s">
        <v>6051</v>
      </c>
      <c r="E3054" s="2" t="s">
        <v>3712</v>
      </c>
      <c r="F3054" s="2" t="s">
        <v>10</v>
      </c>
      <c r="G3054" s="2" t="s">
        <v>11</v>
      </c>
      <c r="H3054" s="2">
        <v>13000000</v>
      </c>
      <c r="I3054" s="2">
        <v>6.8</v>
      </c>
      <c r="J3054" s="3">
        <v>68525609</v>
      </c>
      <c r="K3054">
        <f t="shared" si="102"/>
        <v>1.3775047412552699E-3</v>
      </c>
      <c r="R3054" s="12" t="str">
        <f ca="1">IFERROR(__xludf.DUMMYFUNCTION("""COMPUTED_VALUE"""),"Somewhere ")</f>
        <v>Somewhere </v>
      </c>
      <c r="S3054" s="12">
        <f t="shared" si="103"/>
        <v>-13862498</v>
      </c>
    </row>
    <row r="3055" spans="1:19" x14ac:dyDescent="0.3">
      <c r="A3055" s="2" t="s">
        <v>3568</v>
      </c>
      <c r="B3055" s="2">
        <v>103</v>
      </c>
      <c r="C3055" s="3">
        <v>475000</v>
      </c>
      <c r="D3055" s="3" t="s">
        <v>6427</v>
      </c>
      <c r="E3055" s="2" t="s">
        <v>5031</v>
      </c>
      <c r="F3055" s="2" t="s">
        <v>3090</v>
      </c>
      <c r="G3055" s="2" t="s">
        <v>199</v>
      </c>
      <c r="H3055" s="2">
        <v>8400000</v>
      </c>
      <c r="I3055" s="2">
        <v>6.1</v>
      </c>
      <c r="J3055" s="3">
        <v>68558662</v>
      </c>
      <c r="K3055">
        <f t="shared" si="102"/>
        <v>1.3775047412552699E-3</v>
      </c>
      <c r="R3055" s="12" t="str">
        <f ca="1">IFERROR(__xludf.DUMMYFUNCTION("""COMPUTED_VALUE"""),"Chairman of the Board ")</f>
        <v>Chairman of the Board </v>
      </c>
      <c r="S3055" s="12">
        <f t="shared" si="103"/>
        <v>-34725615</v>
      </c>
    </row>
    <row r="3056" spans="1:19" x14ac:dyDescent="0.3">
      <c r="A3056" s="2" t="s">
        <v>104</v>
      </c>
      <c r="B3056" s="2">
        <v>145</v>
      </c>
      <c r="C3056" s="3">
        <v>92362</v>
      </c>
      <c r="D3056" s="3" t="s">
        <v>6428</v>
      </c>
      <c r="E3056" s="2" t="s">
        <v>446</v>
      </c>
      <c r="F3056" s="2" t="s">
        <v>10</v>
      </c>
      <c r="G3056" s="2" t="s">
        <v>11</v>
      </c>
      <c r="H3056" s="2">
        <v>102000000</v>
      </c>
      <c r="I3056" s="2">
        <v>7.7</v>
      </c>
      <c r="J3056" s="3">
        <v>68642452</v>
      </c>
      <c r="K3056">
        <f t="shared" si="102"/>
        <v>1.3775047412552699E-3</v>
      </c>
      <c r="R3056" s="12" t="str">
        <f ca="1">IFERROR(__xludf.DUMMYFUNCTION("""COMPUTED_VALUE"""),"Hesher ")</f>
        <v>Hesher </v>
      </c>
      <c r="S3056" s="12">
        <f t="shared" si="103"/>
        <v>-44421473</v>
      </c>
    </row>
    <row r="3057" spans="1:19" x14ac:dyDescent="0.3">
      <c r="A3057" s="2" t="s">
        <v>1235</v>
      </c>
      <c r="B3057" s="2">
        <v>124</v>
      </c>
      <c r="C3057" s="3">
        <v>4476235</v>
      </c>
      <c r="D3057" s="3" t="s">
        <v>5818</v>
      </c>
      <c r="E3057" s="2" t="s">
        <v>1918</v>
      </c>
      <c r="F3057" s="2" t="s">
        <v>10</v>
      </c>
      <c r="G3057" s="2" t="s">
        <v>11</v>
      </c>
      <c r="H3057" s="2">
        <v>34000000</v>
      </c>
      <c r="I3057" s="2">
        <v>5.7</v>
      </c>
      <c r="J3057" s="3">
        <v>68750000</v>
      </c>
      <c r="K3057">
        <f t="shared" si="102"/>
        <v>1.3775047412552699E-3</v>
      </c>
      <c r="R3057" s="12" t="str">
        <f ca="1">IFERROR(__xludf.DUMMYFUNCTION("""COMPUTED_VALUE"""),"Gerry ")</f>
        <v>Gerry </v>
      </c>
      <c r="S3057" s="12">
        <f t="shared" si="103"/>
        <v>-90280070</v>
      </c>
    </row>
    <row r="3058" spans="1:19" x14ac:dyDescent="0.3">
      <c r="A3058" s="2" t="s">
        <v>1003</v>
      </c>
      <c r="B3058" s="2">
        <v>121</v>
      </c>
      <c r="C3058" s="3">
        <v>40911830</v>
      </c>
      <c r="D3058" s="3" t="s">
        <v>5849</v>
      </c>
      <c r="E3058" s="2" t="s">
        <v>1004</v>
      </c>
      <c r="F3058" s="2" t="s">
        <v>10</v>
      </c>
      <c r="G3058" s="2" t="s">
        <v>16</v>
      </c>
      <c r="H3058" s="2">
        <v>55000000</v>
      </c>
      <c r="I3058" s="2">
        <v>7.1</v>
      </c>
      <c r="J3058" s="3">
        <v>68856263</v>
      </c>
      <c r="K3058">
        <f t="shared" si="102"/>
        <v>1.3775047412552699E-3</v>
      </c>
      <c r="R3058" s="12" t="str">
        <f ca="1">IFERROR(__xludf.DUMMYFUNCTION("""COMPUTED_VALUE"""),"The Heart of Me ")</f>
        <v>The Heart of Me </v>
      </c>
      <c r="S3058" s="12">
        <f t="shared" si="103"/>
        <v>-11621859</v>
      </c>
    </row>
    <row r="3059" spans="1:19" x14ac:dyDescent="0.3">
      <c r="A3059" s="2" t="s">
        <v>1017</v>
      </c>
      <c r="B3059" s="2">
        <v>97</v>
      </c>
      <c r="C3059" s="3">
        <v>927107</v>
      </c>
      <c r="D3059" s="3" t="s">
        <v>6056</v>
      </c>
      <c r="E3059" s="2" t="s">
        <v>1513</v>
      </c>
      <c r="F3059" s="2" t="s">
        <v>10</v>
      </c>
      <c r="G3059" s="2" t="s">
        <v>11</v>
      </c>
      <c r="H3059" s="2">
        <v>45000000</v>
      </c>
      <c r="I3059" s="2">
        <v>7.4</v>
      </c>
      <c r="J3059" s="3">
        <v>69102910</v>
      </c>
      <c r="K3059">
        <f t="shared" si="102"/>
        <v>1.3775047412552699E-3</v>
      </c>
      <c r="R3059" s="12" t="str">
        <f ca="1">IFERROR(__xludf.DUMMYFUNCTION("""COMPUTED_VALUE"""),"Freeheld ")</f>
        <v>Freeheld </v>
      </c>
      <c r="S3059" s="12">
        <f t="shared" si="103"/>
        <v>-39226481</v>
      </c>
    </row>
    <row r="3060" spans="1:19" x14ac:dyDescent="0.3">
      <c r="A3060" s="2" t="s">
        <v>2962</v>
      </c>
      <c r="B3060" s="2">
        <v>104</v>
      </c>
      <c r="C3060" s="3">
        <v>27900000</v>
      </c>
      <c r="D3060" s="3" t="s">
        <v>5857</v>
      </c>
      <c r="E3060" s="2" t="s">
        <v>2963</v>
      </c>
      <c r="F3060" s="2" t="s">
        <v>10</v>
      </c>
      <c r="G3060" s="2" t="s">
        <v>11</v>
      </c>
      <c r="H3060" s="2">
        <v>20000000</v>
      </c>
      <c r="I3060" s="2">
        <v>6.3</v>
      </c>
      <c r="J3060" s="3">
        <v>69148997</v>
      </c>
      <c r="K3060">
        <f t="shared" si="102"/>
        <v>1.3775047412552699E-3</v>
      </c>
      <c r="R3060" s="12" t="str">
        <f ca="1">IFERROR(__xludf.DUMMYFUNCTION("""COMPUTED_VALUE"""),"The Extra Man ")</f>
        <v>The Extra Man </v>
      </c>
      <c r="S3060" s="12">
        <f t="shared" si="103"/>
        <v>-2436409</v>
      </c>
    </row>
    <row r="3061" spans="1:19" x14ac:dyDescent="0.3">
      <c r="A3061" s="2" t="s">
        <v>468</v>
      </c>
      <c r="B3061" s="2">
        <v>116</v>
      </c>
      <c r="C3061" s="3">
        <v>7059537</v>
      </c>
      <c r="D3061" s="3" t="s">
        <v>885</v>
      </c>
      <c r="E3061" s="2" t="s">
        <v>1037</v>
      </c>
      <c r="F3061" s="2" t="s">
        <v>10</v>
      </c>
      <c r="G3061" s="2" t="s">
        <v>11</v>
      </c>
      <c r="H3061" s="2">
        <v>95000000</v>
      </c>
      <c r="I3061" s="2">
        <v>6.3</v>
      </c>
      <c r="J3061" s="3">
        <v>69304264</v>
      </c>
      <c r="K3061">
        <f t="shared" si="102"/>
        <v>1.3775047412552699E-3</v>
      </c>
      <c r="R3061" s="12" t="str">
        <f ca="1">IFERROR(__xludf.DUMMYFUNCTION("""COMPUTED_VALUE"""),"Ca$h ")</f>
        <v>Ca$h </v>
      </c>
      <c r="S3061" s="12">
        <f t="shared" si="103"/>
        <v>-32436603</v>
      </c>
    </row>
    <row r="3062" spans="1:19" x14ac:dyDescent="0.3">
      <c r="A3062" s="2" t="s">
        <v>268</v>
      </c>
      <c r="B3062" s="2">
        <v>116</v>
      </c>
      <c r="C3062" s="3">
        <v>20389967</v>
      </c>
      <c r="D3062" s="3" t="s">
        <v>5910</v>
      </c>
      <c r="E3062" s="2" t="s">
        <v>1500</v>
      </c>
      <c r="F3062" s="2" t="s">
        <v>10</v>
      </c>
      <c r="G3062" s="2" t="s">
        <v>11</v>
      </c>
      <c r="H3062" s="2">
        <v>46000000</v>
      </c>
      <c r="I3062" s="2">
        <v>6.6</v>
      </c>
      <c r="J3062" s="3">
        <v>69586544</v>
      </c>
      <c r="K3062">
        <f t="shared" si="102"/>
        <v>1.3775047412552699E-3</v>
      </c>
      <c r="R3062" s="12" t="str">
        <f ca="1">IFERROR(__xludf.DUMMYFUNCTION("""COMPUTED_VALUE"""),"Wah-Wah ")</f>
        <v>Wah-Wah </v>
      </c>
      <c r="S3062" s="12">
        <f t="shared" si="103"/>
        <v>-47843067</v>
      </c>
    </row>
    <row r="3063" spans="1:19" x14ac:dyDescent="0.3">
      <c r="A3063" s="2" t="s">
        <v>5699</v>
      </c>
      <c r="B3063" s="2">
        <v>81</v>
      </c>
      <c r="C3063" s="3">
        <v>2326407</v>
      </c>
      <c r="D3063" s="3" t="s">
        <v>5876</v>
      </c>
      <c r="E3063" s="2" t="s">
        <v>5700</v>
      </c>
      <c r="F3063" s="2" t="s">
        <v>10</v>
      </c>
      <c r="G3063" s="2" t="s">
        <v>11</v>
      </c>
      <c r="H3063" s="3">
        <v>474544677</v>
      </c>
      <c r="I3063" s="2">
        <v>7.4</v>
      </c>
      <c r="J3063" s="3">
        <v>69688384</v>
      </c>
      <c r="K3063">
        <f t="shared" si="102"/>
        <v>1.3775047412552699E-3</v>
      </c>
      <c r="R3063" s="12" t="str">
        <f ca="1">IFERROR(__xludf.DUMMYFUNCTION("""COMPUTED_VALUE"""),"Pale Rider ")</f>
        <v>Pale Rider </v>
      </c>
      <c r="S3063" s="12">
        <f t="shared" si="103"/>
        <v>-25705099</v>
      </c>
    </row>
    <row r="3064" spans="1:19" x14ac:dyDescent="0.3">
      <c r="A3064" s="2" t="s">
        <v>5232</v>
      </c>
      <c r="B3064" s="2">
        <v>105</v>
      </c>
      <c r="C3064" s="3">
        <v>27362712</v>
      </c>
      <c r="D3064" s="3" t="s">
        <v>6041</v>
      </c>
      <c r="E3064" s="2" t="s">
        <v>5233</v>
      </c>
      <c r="F3064" s="2" t="s">
        <v>10</v>
      </c>
      <c r="G3064" s="2" t="s">
        <v>11</v>
      </c>
      <c r="H3064" s="2">
        <v>1300000</v>
      </c>
      <c r="I3064" s="2">
        <v>6.5</v>
      </c>
      <c r="J3064" s="3">
        <v>69700000</v>
      </c>
      <c r="K3064">
        <f t="shared" si="102"/>
        <v>1.3775047412552699E-3</v>
      </c>
      <c r="R3064" s="12" t="str">
        <f ca="1">IFERROR(__xludf.DUMMYFUNCTION("""COMPUTED_VALUE"""),"Dazed and Confused ")</f>
        <v>Dazed and Confused </v>
      </c>
      <c r="S3064" s="12">
        <f t="shared" si="103"/>
        <v>-410555</v>
      </c>
    </row>
    <row r="3065" spans="1:19" x14ac:dyDescent="0.3">
      <c r="A3065" s="2" t="s">
        <v>1389</v>
      </c>
      <c r="B3065" s="2">
        <v>89</v>
      </c>
      <c r="C3065" s="3">
        <v>992238</v>
      </c>
      <c r="D3065" s="3" t="s">
        <v>5767</v>
      </c>
      <c r="E3065" s="2" t="s">
        <v>1390</v>
      </c>
      <c r="F3065" s="2" t="s">
        <v>10</v>
      </c>
      <c r="G3065" s="2" t="s">
        <v>11</v>
      </c>
      <c r="H3065" s="2">
        <v>50000000</v>
      </c>
      <c r="I3065" s="2">
        <v>5.8</v>
      </c>
      <c r="J3065" s="3">
        <v>69772969</v>
      </c>
      <c r="K3065">
        <f t="shared" si="102"/>
        <v>1.3775047412552699E-3</v>
      </c>
      <c r="R3065" s="12" t="str">
        <f ca="1">IFERROR(__xludf.DUMMYFUNCTION("""COMPUTED_VALUE"""),"Aimee &amp; Jaguar ")</f>
        <v>Aimee &amp; Jaguar </v>
      </c>
      <c r="S3065" s="12">
        <f t="shared" si="103"/>
        <v>11979400</v>
      </c>
    </row>
    <row r="3066" spans="1:19" x14ac:dyDescent="0.3">
      <c r="A3066" s="2" t="s">
        <v>2163</v>
      </c>
      <c r="B3066" s="2">
        <v>95</v>
      </c>
      <c r="C3066" s="3">
        <v>37481242</v>
      </c>
      <c r="D3066" s="3" t="s">
        <v>885</v>
      </c>
      <c r="E3066" s="2" t="s">
        <v>2665</v>
      </c>
      <c r="F3066" s="2" t="s">
        <v>10</v>
      </c>
      <c r="G3066" s="2" t="s">
        <v>11</v>
      </c>
      <c r="H3066" s="2">
        <v>25000000</v>
      </c>
      <c r="I3066" s="2">
        <v>4.9000000000000004</v>
      </c>
      <c r="J3066" s="3">
        <v>69800000</v>
      </c>
      <c r="K3066">
        <f t="shared" si="102"/>
        <v>1.3775047412552699E-3</v>
      </c>
      <c r="R3066" s="12" t="str">
        <f ca="1">IFERROR(__xludf.DUMMYFUNCTION("""COMPUTED_VALUE"""),"The Chumscrubber ")</f>
        <v>The Chumscrubber </v>
      </c>
      <c r="S3066" s="12">
        <f t="shared" si="103"/>
        <v>-14618814</v>
      </c>
    </row>
    <row r="3067" spans="1:19" x14ac:dyDescent="0.3">
      <c r="A3067" s="2" t="s">
        <v>1820</v>
      </c>
      <c r="B3067" s="2">
        <v>118</v>
      </c>
      <c r="C3067" s="3">
        <v>60033780</v>
      </c>
      <c r="D3067" s="3" t="s">
        <v>6191</v>
      </c>
      <c r="E3067" s="2" t="s">
        <v>3083</v>
      </c>
      <c r="F3067" s="2" t="s">
        <v>751</v>
      </c>
      <c r="G3067" s="2" t="s">
        <v>504</v>
      </c>
      <c r="H3067" s="2">
        <v>140000000</v>
      </c>
      <c r="I3067" s="2">
        <v>6</v>
      </c>
      <c r="J3067" s="3">
        <v>69800000</v>
      </c>
      <c r="K3067">
        <f t="shared" si="102"/>
        <v>1.3775047412552699E-3</v>
      </c>
      <c r="R3067" s="12" t="str">
        <f ca="1">IFERROR(__xludf.DUMMYFUNCTION("""COMPUTED_VALUE"""),"Shade ")</f>
        <v>Shade </v>
      </c>
      <c r="S3067" s="12">
        <f t="shared" si="103"/>
        <v>-11176259</v>
      </c>
    </row>
    <row r="3068" spans="1:19" x14ac:dyDescent="0.3">
      <c r="A3068" s="2" t="s">
        <v>873</v>
      </c>
      <c r="B3068" s="2">
        <v>99</v>
      </c>
      <c r="C3068" s="3">
        <v>4881867</v>
      </c>
      <c r="D3068" s="3" t="s">
        <v>6051</v>
      </c>
      <c r="E3068" s="2" t="s">
        <v>3881</v>
      </c>
      <c r="F3068" s="2" t="s">
        <v>10</v>
      </c>
      <c r="G3068" s="2" t="s">
        <v>11</v>
      </c>
      <c r="H3068" s="2">
        <v>12000000</v>
      </c>
      <c r="I3068" s="2">
        <v>5.8</v>
      </c>
      <c r="J3068" s="3">
        <v>69951824</v>
      </c>
      <c r="K3068">
        <f t="shared" si="102"/>
        <v>1.3775047412552699E-3</v>
      </c>
      <c r="R3068" s="12" t="str">
        <f ca="1">IFERROR(__xludf.DUMMYFUNCTION("""COMPUTED_VALUE"""),"House at the End of the Street ")</f>
        <v>House at the End of the Street </v>
      </c>
      <c r="S3068" s="12">
        <f t="shared" si="103"/>
        <v>-6725701</v>
      </c>
    </row>
    <row r="3069" spans="1:19" x14ac:dyDescent="0.3">
      <c r="A3069" s="2" t="s">
        <v>594</v>
      </c>
      <c r="B3069" s="2">
        <v>104</v>
      </c>
      <c r="C3069" s="3">
        <v>7556708</v>
      </c>
      <c r="D3069" s="3" t="s">
        <v>5795</v>
      </c>
      <c r="E3069" s="2" t="s">
        <v>595</v>
      </c>
      <c r="F3069" s="2" t="s">
        <v>10</v>
      </c>
      <c r="G3069" s="2" t="s">
        <v>11</v>
      </c>
      <c r="H3069" s="2">
        <v>90000000</v>
      </c>
      <c r="I3069" s="2">
        <v>5.4</v>
      </c>
      <c r="J3069" s="3">
        <v>70001065</v>
      </c>
      <c r="K3069">
        <f t="shared" si="102"/>
        <v>1.3775047412552699E-3</v>
      </c>
      <c r="R3069" s="12" t="str">
        <f ca="1">IFERROR(__xludf.DUMMYFUNCTION("""COMPUTED_VALUE"""),"Incendies ")</f>
        <v>Incendies </v>
      </c>
      <c r="S3069" s="12">
        <f t="shared" si="103"/>
        <v>-19250866</v>
      </c>
    </row>
    <row r="3070" spans="1:19" x14ac:dyDescent="0.3">
      <c r="A3070" s="2" t="s">
        <v>3913</v>
      </c>
      <c r="B3070" s="2">
        <v>98</v>
      </c>
      <c r="C3070" s="3">
        <v>40905277</v>
      </c>
      <c r="D3070" s="3" t="s">
        <v>5767</v>
      </c>
      <c r="E3070" s="2" t="s">
        <v>3914</v>
      </c>
      <c r="F3070" s="2" t="s">
        <v>10</v>
      </c>
      <c r="G3070" s="2" t="s">
        <v>16</v>
      </c>
      <c r="H3070" s="2">
        <v>11000000</v>
      </c>
      <c r="I3070" s="2">
        <v>6.8</v>
      </c>
      <c r="J3070" s="3">
        <v>70001698</v>
      </c>
      <c r="K3070">
        <f t="shared" si="102"/>
        <v>1.3775047412552699E-3</v>
      </c>
      <c r="R3070" s="12" t="str">
        <f ca="1">IFERROR(__xludf.DUMMYFUNCTION("""COMPUTED_VALUE"""),"Remember Me, My Love ")</f>
        <v>Remember Me, My Love </v>
      </c>
      <c r="S3070" s="12">
        <f t="shared" si="103"/>
        <v>-4724554</v>
      </c>
    </row>
    <row r="3071" spans="1:19" x14ac:dyDescent="0.3">
      <c r="A3071" s="2" t="s">
        <v>4052</v>
      </c>
      <c r="B3071" s="2">
        <v>95</v>
      </c>
      <c r="C3071" s="3">
        <v>45645204</v>
      </c>
      <c r="D3071" s="3" t="s">
        <v>5865</v>
      </c>
      <c r="E3071" s="2" t="s">
        <v>4053</v>
      </c>
      <c r="F3071" s="2" t="s">
        <v>10</v>
      </c>
      <c r="G3071" s="2" t="s">
        <v>11</v>
      </c>
      <c r="H3071" s="2">
        <v>10000000</v>
      </c>
      <c r="I3071" s="2">
        <v>5.2</v>
      </c>
      <c r="J3071" s="3">
        <v>70011073</v>
      </c>
      <c r="K3071">
        <f t="shared" si="102"/>
        <v>1.3775047412552699E-3</v>
      </c>
      <c r="R3071" s="12" t="str">
        <f ca="1">IFERROR(__xludf.DUMMYFUNCTION("""COMPUTED_VALUE"""),"Elite Squad ")</f>
        <v>Elite Squad </v>
      </c>
      <c r="S3071" s="12">
        <f t="shared" si="103"/>
        <v>-6428183</v>
      </c>
    </row>
    <row r="3072" spans="1:19" x14ac:dyDescent="0.3">
      <c r="A3072" s="2" t="s">
        <v>4553</v>
      </c>
      <c r="B3072" s="2">
        <v>111</v>
      </c>
      <c r="C3072" s="3">
        <v>5561</v>
      </c>
      <c r="D3072" s="3" t="s">
        <v>5869</v>
      </c>
      <c r="E3072" s="2" t="s">
        <v>4554</v>
      </c>
      <c r="F3072" s="2" t="s">
        <v>3562</v>
      </c>
      <c r="G3072" s="2" t="s">
        <v>3563</v>
      </c>
      <c r="H3072" s="2">
        <v>200000000</v>
      </c>
      <c r="I3072" s="2">
        <v>7.1</v>
      </c>
      <c r="J3072" s="3">
        <v>70083519</v>
      </c>
      <c r="K3072">
        <f t="shared" si="102"/>
        <v>1.3775047412552699E-3</v>
      </c>
      <c r="R3072" s="12" t="str">
        <f ca="1">IFERROR(__xludf.DUMMYFUNCTION("""COMPUTED_VALUE"""),"Annabelle ")</f>
        <v>Annabelle </v>
      </c>
      <c r="S3072" s="12">
        <f t="shared" si="103"/>
        <v>-6965583</v>
      </c>
    </row>
    <row r="3073" spans="1:19" x14ac:dyDescent="0.3">
      <c r="A3073" s="2" t="s">
        <v>1439</v>
      </c>
      <c r="B3073" s="2">
        <v>102</v>
      </c>
      <c r="C3073" s="3">
        <v>4426297</v>
      </c>
      <c r="D3073" s="3" t="s">
        <v>6429</v>
      </c>
      <c r="E3073" s="2" t="s">
        <v>1440</v>
      </c>
      <c r="F3073" s="2" t="s">
        <v>10</v>
      </c>
      <c r="G3073" s="2" t="s">
        <v>11</v>
      </c>
      <c r="H3073" s="3">
        <v>68558662</v>
      </c>
      <c r="I3073" s="2">
        <v>5.6</v>
      </c>
      <c r="J3073" s="3">
        <v>70098138</v>
      </c>
      <c r="K3073">
        <f t="shared" si="102"/>
        <v>1.3775047412552699E-3</v>
      </c>
      <c r="R3073" s="12" t="str">
        <f ca="1">IFERROR(__xludf.DUMMYFUNCTION("""COMPUTED_VALUE"""),"Bran Nue Dae ")</f>
        <v>Bran Nue Dae </v>
      </c>
      <c r="S3073" s="12">
        <f t="shared" si="103"/>
        <v>-35514515</v>
      </c>
    </row>
    <row r="3074" spans="1:19" x14ac:dyDescent="0.3">
      <c r="A3074" s="2" t="s">
        <v>1176</v>
      </c>
      <c r="B3074" s="2">
        <v>87</v>
      </c>
      <c r="C3074" s="3">
        <v>8828771</v>
      </c>
      <c r="D3074" s="3" t="s">
        <v>6004</v>
      </c>
      <c r="E3074" s="2" t="s">
        <v>1177</v>
      </c>
      <c r="F3074" s="2" t="s">
        <v>10</v>
      </c>
      <c r="G3074" s="2" t="s">
        <v>11</v>
      </c>
      <c r="H3074" s="2">
        <v>63000000</v>
      </c>
      <c r="I3074" s="2">
        <v>5.7</v>
      </c>
      <c r="J3074" s="3">
        <v>70100000</v>
      </c>
      <c r="K3074">
        <f t="shared" ref="K3074:K3137" si="104">CORREL(H$2:H$3941,J$2:J$3941)</f>
        <v>1.3775047412552699E-3</v>
      </c>
      <c r="R3074" s="12" t="str">
        <f ca="1">IFERROR(__xludf.DUMMYFUNCTION("""COMPUTED_VALUE"""),"Boyz n the Hood ")</f>
        <v>Boyz n the Hood </v>
      </c>
      <c r="S3074" s="12">
        <f t="shared" si="103"/>
        <v>-128774204</v>
      </c>
    </row>
    <row r="3075" spans="1:19" x14ac:dyDescent="0.3">
      <c r="A3075" s="2" t="s">
        <v>4705</v>
      </c>
      <c r="B3075" s="2">
        <v>90</v>
      </c>
      <c r="C3075" s="3">
        <v>1752214</v>
      </c>
      <c r="D3075" s="3" t="s">
        <v>6430</v>
      </c>
      <c r="E3075" s="2" t="s">
        <v>4706</v>
      </c>
      <c r="F3075" s="2" t="s">
        <v>10</v>
      </c>
      <c r="G3075" s="2" t="s">
        <v>11</v>
      </c>
      <c r="H3075" s="2">
        <v>2000000</v>
      </c>
      <c r="I3075" s="2">
        <v>6.2</v>
      </c>
      <c r="J3075" s="3">
        <v>70117571</v>
      </c>
      <c r="K3075">
        <f t="shared" si="104"/>
        <v>1.3775047412552699E-3</v>
      </c>
      <c r="R3075" s="12" t="str">
        <f ca="1">IFERROR(__xludf.DUMMYFUNCTION("""COMPUTED_VALUE"""),"La Bamba ")</f>
        <v>La Bamba </v>
      </c>
      <c r="S3075" s="12">
        <f t="shared" si="103"/>
        <v>-17772492</v>
      </c>
    </row>
    <row r="3076" spans="1:19" x14ac:dyDescent="0.3">
      <c r="A3076" s="2" t="s">
        <v>3453</v>
      </c>
      <c r="B3076" s="2">
        <v>104</v>
      </c>
      <c r="C3076" s="3">
        <v>10137232</v>
      </c>
      <c r="D3076" s="3" t="s">
        <v>6431</v>
      </c>
      <c r="E3076" s="2" t="s">
        <v>3810</v>
      </c>
      <c r="F3076" s="2" t="s">
        <v>10</v>
      </c>
      <c r="G3076" s="2" t="s">
        <v>11</v>
      </c>
      <c r="H3076" s="2">
        <v>12000000</v>
      </c>
      <c r="I3076" s="2">
        <v>5.3</v>
      </c>
      <c r="J3076" s="3">
        <v>70163652</v>
      </c>
      <c r="K3076">
        <f t="shared" si="104"/>
        <v>1.3775047412552699E-3</v>
      </c>
      <c r="R3076" s="12" t="str">
        <f ca="1">IFERROR(__xludf.DUMMYFUNCTION("""COMPUTED_VALUE"""),"Dressed to Kill ")</f>
        <v>Dressed to Kill </v>
      </c>
      <c r="S3076" s="12">
        <f t="shared" si="103"/>
        <v>22811509</v>
      </c>
    </row>
    <row r="3077" spans="1:19" x14ac:dyDescent="0.3">
      <c r="A3077" s="2" t="s">
        <v>21</v>
      </c>
      <c r="B3077" s="2">
        <v>130</v>
      </c>
      <c r="C3077" s="3">
        <v>1487477</v>
      </c>
      <c r="D3077" s="3" t="s">
        <v>6432</v>
      </c>
      <c r="E3077" s="2" t="s">
        <v>77</v>
      </c>
      <c r="F3077" s="2" t="s">
        <v>10</v>
      </c>
      <c r="G3077" s="2" t="s">
        <v>11</v>
      </c>
      <c r="H3077" s="2">
        <v>215000000</v>
      </c>
      <c r="I3077" s="2">
        <v>6.4</v>
      </c>
      <c r="J3077" s="3">
        <v>70224196</v>
      </c>
      <c r="K3077">
        <f t="shared" si="104"/>
        <v>1.3775047412552699E-3</v>
      </c>
      <c r="R3077" s="12" t="str">
        <f ca="1">IFERROR(__xludf.DUMMYFUNCTION("""COMPUTED_VALUE"""),"The Adventures of Huck Finn ")</f>
        <v>The Adventures of Huck Finn </v>
      </c>
      <c r="S3077" s="12">
        <f t="shared" si="103"/>
        <v>-7925000</v>
      </c>
    </row>
    <row r="3078" spans="1:19" x14ac:dyDescent="0.3">
      <c r="A3078" s="2" t="s">
        <v>2542</v>
      </c>
      <c r="B3078" s="2">
        <v>109</v>
      </c>
      <c r="C3078" s="3">
        <v>19316646</v>
      </c>
      <c r="D3078" s="3" t="s">
        <v>885</v>
      </c>
      <c r="E3078" s="2" t="s">
        <v>3248</v>
      </c>
      <c r="F3078" s="2" t="s">
        <v>10</v>
      </c>
      <c r="G3078" s="2" t="s">
        <v>16</v>
      </c>
      <c r="H3078" s="2">
        <v>17000000</v>
      </c>
      <c r="I3078" s="2">
        <v>6.7</v>
      </c>
      <c r="J3078" s="3">
        <v>70235322</v>
      </c>
      <c r="K3078">
        <f t="shared" si="104"/>
        <v>1.3775047412552699E-3</v>
      </c>
      <c r="R3078" s="12" t="str">
        <f ca="1">IFERROR(__xludf.DUMMYFUNCTION("""COMPUTED_VALUE"""),"Go ")</f>
        <v>Go </v>
      </c>
      <c r="S3078" s="12">
        <f t="shared" si="103"/>
        <v>-101907638</v>
      </c>
    </row>
    <row r="3079" spans="1:19" x14ac:dyDescent="0.3">
      <c r="A3079" s="2" t="s">
        <v>308</v>
      </c>
      <c r="B3079" s="2">
        <v>104</v>
      </c>
      <c r="C3079" s="3">
        <v>2331318</v>
      </c>
      <c r="D3079" s="3" t="s">
        <v>6433</v>
      </c>
      <c r="E3079" s="2" t="s">
        <v>1332</v>
      </c>
      <c r="F3079" s="2" t="s">
        <v>10</v>
      </c>
      <c r="G3079" s="2" t="s">
        <v>11</v>
      </c>
      <c r="H3079" s="2">
        <v>70000000</v>
      </c>
      <c r="I3079" s="2">
        <v>6.8</v>
      </c>
      <c r="J3079" s="3">
        <v>70236496</v>
      </c>
      <c r="K3079">
        <f t="shared" si="104"/>
        <v>1.3775047412552699E-3</v>
      </c>
      <c r="R3079" s="12" t="str">
        <f ca="1">IFERROR(__xludf.DUMMYFUNCTION("""COMPUTED_VALUE"""),"Friends with Money ")</f>
        <v>Friends with Money </v>
      </c>
      <c r="S3079" s="12">
        <f t="shared" si="103"/>
        <v>-29523765</v>
      </c>
    </row>
    <row r="3080" spans="1:19" x14ac:dyDescent="0.3">
      <c r="A3080" s="2" t="s">
        <v>3896</v>
      </c>
      <c r="B3080" s="2">
        <v>107</v>
      </c>
      <c r="C3080" s="3">
        <v>25040293</v>
      </c>
      <c r="D3080" s="3" t="s">
        <v>6035</v>
      </c>
      <c r="E3080" s="2" t="s">
        <v>3897</v>
      </c>
      <c r="F3080" s="2" t="s">
        <v>10</v>
      </c>
      <c r="G3080" s="2" t="s">
        <v>11</v>
      </c>
      <c r="H3080" s="2">
        <v>11000000</v>
      </c>
      <c r="I3080" s="2">
        <v>7.2</v>
      </c>
      <c r="J3080" s="3">
        <v>70269171</v>
      </c>
      <c r="K3080">
        <f t="shared" si="104"/>
        <v>1.3775047412552699E-3</v>
      </c>
      <c r="R3080" s="12" t="str">
        <f ca="1">IFERROR(__xludf.DUMMYFUNCTION("""COMPUTED_VALUE"""),"Bats ")</f>
        <v>Bats </v>
      </c>
      <c r="S3080" s="12">
        <f t="shared" si="103"/>
        <v>-14088170</v>
      </c>
    </row>
    <row r="3081" spans="1:19" x14ac:dyDescent="0.3">
      <c r="A3081" s="2" t="s">
        <v>549</v>
      </c>
      <c r="B3081" s="2">
        <v>99</v>
      </c>
      <c r="C3081" s="3">
        <v>4992159</v>
      </c>
      <c r="D3081" s="3" t="s">
        <v>5940</v>
      </c>
      <c r="E3081" s="2" t="s">
        <v>3652</v>
      </c>
      <c r="F3081" s="2" t="s">
        <v>10</v>
      </c>
      <c r="G3081" s="2" t="s">
        <v>11</v>
      </c>
      <c r="H3081" s="2">
        <v>7000000</v>
      </c>
      <c r="I3081" s="2">
        <v>5.7</v>
      </c>
      <c r="J3081" s="3">
        <v>70327868</v>
      </c>
      <c r="K3081">
        <f t="shared" si="104"/>
        <v>1.3775047412552699E-3</v>
      </c>
      <c r="R3081" s="12" t="str">
        <f ca="1">IFERROR(__xludf.DUMMYFUNCTION("""COMPUTED_VALUE"""),"Nowhere in Africa ")</f>
        <v>Nowhere in Africa </v>
      </c>
      <c r="S3081" s="12">
        <f t="shared" si="103"/>
        <v>-44072893</v>
      </c>
    </row>
    <row r="3082" spans="1:19" x14ac:dyDescent="0.3">
      <c r="A3082" s="2" t="s">
        <v>928</v>
      </c>
      <c r="B3082" s="2">
        <v>136</v>
      </c>
      <c r="C3082" s="3">
        <v>27900000</v>
      </c>
      <c r="D3082" s="3" t="s">
        <v>5849</v>
      </c>
      <c r="E3082" s="2" t="s">
        <v>1758</v>
      </c>
      <c r="F3082" s="2" t="s">
        <v>10</v>
      </c>
      <c r="G3082" s="2" t="s">
        <v>11</v>
      </c>
      <c r="H3082" s="2">
        <v>40000000</v>
      </c>
      <c r="I3082" s="2">
        <v>6.1</v>
      </c>
      <c r="J3082" s="3">
        <v>70360285</v>
      </c>
      <c r="K3082">
        <f t="shared" si="104"/>
        <v>1.3775047412552699E-3</v>
      </c>
      <c r="R3082" s="12" t="str">
        <f ca="1">IFERROR(__xludf.DUMMYFUNCTION("""COMPUTED_VALUE"""),"Shame ")</f>
        <v>Shame </v>
      </c>
      <c r="S3082" s="12">
        <f t="shared" si="103"/>
        <v>7900000</v>
      </c>
    </row>
    <row r="3083" spans="1:19" x14ac:dyDescent="0.3">
      <c r="A3083" s="2" t="s">
        <v>3449</v>
      </c>
      <c r="B3083" s="2">
        <v>90</v>
      </c>
      <c r="C3083" s="3">
        <v>10134754</v>
      </c>
      <c r="D3083" s="3" t="s">
        <v>5913</v>
      </c>
      <c r="E3083" s="2" t="s">
        <v>3450</v>
      </c>
      <c r="F3083" s="2" t="s">
        <v>10</v>
      </c>
      <c r="G3083" s="2" t="s">
        <v>11</v>
      </c>
      <c r="H3083" s="2">
        <v>15000000</v>
      </c>
      <c r="I3083" s="2">
        <v>4</v>
      </c>
      <c r="J3083" s="3">
        <v>70405498</v>
      </c>
      <c r="K3083">
        <f t="shared" si="104"/>
        <v>1.3775047412552699E-3</v>
      </c>
      <c r="R3083" s="12" t="str">
        <f ca="1">IFERROR(__xludf.DUMMYFUNCTION("""COMPUTED_VALUE"""),"Layer Cake ")</f>
        <v>Layer Cake </v>
      </c>
      <c r="S3083" s="12">
        <f t="shared" si="103"/>
        <v>-87940463</v>
      </c>
    </row>
    <row r="3084" spans="1:19" x14ac:dyDescent="0.3">
      <c r="A3084" s="2" t="s">
        <v>2762</v>
      </c>
      <c r="B3084" s="2">
        <v>93</v>
      </c>
      <c r="C3084" s="3">
        <v>2319187</v>
      </c>
      <c r="D3084" s="3" t="s">
        <v>6434</v>
      </c>
      <c r="E3084" s="2" t="s">
        <v>4993</v>
      </c>
      <c r="F3084" s="2" t="s">
        <v>10</v>
      </c>
      <c r="G3084" s="2" t="s">
        <v>11</v>
      </c>
      <c r="H3084" s="2">
        <v>2600000</v>
      </c>
      <c r="I3084" s="2">
        <v>7.8</v>
      </c>
      <c r="J3084" s="3">
        <v>70450000</v>
      </c>
      <c r="K3084">
        <f t="shared" si="104"/>
        <v>1.3775047412552699E-3</v>
      </c>
      <c r="R3084" s="12" t="str">
        <f ca="1">IFERROR(__xludf.DUMMYFUNCTION("""COMPUTED_VALUE"""),"The Work and the Glory II: American Zion ")</f>
        <v>The Work and the Glory II: American Zion </v>
      </c>
      <c r="S3084" s="12">
        <f t="shared" si="103"/>
        <v>-25610033</v>
      </c>
    </row>
    <row r="3085" spans="1:19" x14ac:dyDescent="0.3">
      <c r="A3085" s="2" t="s">
        <v>155</v>
      </c>
      <c r="B3085" s="2">
        <v>88</v>
      </c>
      <c r="C3085" s="3">
        <v>34793160</v>
      </c>
      <c r="D3085" s="3" t="s">
        <v>5869</v>
      </c>
      <c r="E3085" s="2" t="s">
        <v>3135</v>
      </c>
      <c r="F3085" s="2" t="s">
        <v>10</v>
      </c>
      <c r="G3085" s="2" t="s">
        <v>11</v>
      </c>
      <c r="H3085" s="2">
        <v>17000000</v>
      </c>
      <c r="I3085" s="2">
        <v>5.7</v>
      </c>
      <c r="J3085" s="3">
        <v>70492685</v>
      </c>
      <c r="K3085">
        <f t="shared" si="104"/>
        <v>1.3775047412552699E-3</v>
      </c>
      <c r="R3085" s="12" t="str">
        <f ca="1">IFERROR(__xludf.DUMMYFUNCTION("""COMPUTED_VALUE"""),"The East ")</f>
        <v>The East </v>
      </c>
      <c r="S3085" s="12">
        <f t="shared" si="103"/>
        <v>-472218270</v>
      </c>
    </row>
    <row r="3086" spans="1:19" x14ac:dyDescent="0.3">
      <c r="A3086" s="2" t="s">
        <v>1254</v>
      </c>
      <c r="B3086" s="2">
        <v>125</v>
      </c>
      <c r="C3086" s="3">
        <v>5776314</v>
      </c>
      <c r="D3086" s="3" t="s">
        <v>6026</v>
      </c>
      <c r="E3086" s="2" t="s">
        <v>2028</v>
      </c>
      <c r="F3086" s="2" t="s">
        <v>10</v>
      </c>
      <c r="G3086" s="2" t="s">
        <v>16</v>
      </c>
      <c r="H3086" s="2">
        <v>35000000</v>
      </c>
      <c r="I3086" s="2">
        <v>6.5</v>
      </c>
      <c r="J3086" s="3">
        <v>70496802</v>
      </c>
      <c r="K3086">
        <f t="shared" si="104"/>
        <v>1.3775047412552699E-3</v>
      </c>
      <c r="R3086" s="12" t="str">
        <f ca="1">IFERROR(__xludf.DUMMYFUNCTION("""COMPUTED_VALUE"""),"A Home at the End of the World ")</f>
        <v>A Home at the End of the World </v>
      </c>
      <c r="S3086" s="12">
        <f t="shared" si="103"/>
        <v>26062712</v>
      </c>
    </row>
    <row r="3087" spans="1:19" x14ac:dyDescent="0.3">
      <c r="A3087" s="2" t="s">
        <v>4836</v>
      </c>
      <c r="B3087" s="2">
        <v>102</v>
      </c>
      <c r="C3087" s="2">
        <v>22202612</v>
      </c>
      <c r="D3087" s="3" t="s">
        <v>6039</v>
      </c>
      <c r="E3087" s="2" t="s">
        <v>4988</v>
      </c>
      <c r="F3087" s="2" t="s">
        <v>10</v>
      </c>
      <c r="G3087" s="2" t="s">
        <v>11</v>
      </c>
      <c r="H3087" s="2">
        <v>2800000</v>
      </c>
      <c r="I3087" s="2">
        <v>8.1</v>
      </c>
      <c r="J3087" s="3">
        <v>70625986</v>
      </c>
      <c r="K3087">
        <f t="shared" si="104"/>
        <v>1.3775047412552699E-3</v>
      </c>
      <c r="R3087" s="12" t="str">
        <f ca="1">IFERROR(__xludf.DUMMYFUNCTION("""COMPUTED_VALUE"""),"Aberdeen ")</f>
        <v>Aberdeen </v>
      </c>
      <c r="S3087" s="12">
        <f t="shared" si="103"/>
        <v>-49007762</v>
      </c>
    </row>
    <row r="3088" spans="1:19" x14ac:dyDescent="0.3">
      <c r="A3088" s="2" t="s">
        <v>4122</v>
      </c>
      <c r="B3088" s="2">
        <v>103</v>
      </c>
      <c r="C3088" s="3">
        <v>10114315</v>
      </c>
      <c r="D3088" s="3" t="s">
        <v>520</v>
      </c>
      <c r="E3088" s="2" t="s">
        <v>4123</v>
      </c>
      <c r="F3088" s="2" t="s">
        <v>10</v>
      </c>
      <c r="G3088" s="2" t="s">
        <v>11</v>
      </c>
      <c r="H3088" s="2">
        <v>5000000</v>
      </c>
      <c r="I3088" s="2">
        <v>6.6</v>
      </c>
      <c r="J3088" s="3">
        <v>70836296</v>
      </c>
      <c r="K3088">
        <f t="shared" si="104"/>
        <v>1.3775047412552699E-3</v>
      </c>
      <c r="R3088" s="12" t="str">
        <f ca="1">IFERROR(__xludf.DUMMYFUNCTION("""COMPUTED_VALUE"""),"The Messenger ")</f>
        <v>The Messenger </v>
      </c>
      <c r="S3088" s="12">
        <f t="shared" si="103"/>
        <v>12481242</v>
      </c>
    </row>
    <row r="3089" spans="1:19" x14ac:dyDescent="0.3">
      <c r="A3089" s="2" t="s">
        <v>4167</v>
      </c>
      <c r="B3089" s="2">
        <v>192</v>
      </c>
      <c r="C3089" s="2">
        <v>2921738</v>
      </c>
      <c r="D3089" s="3" t="s">
        <v>5795</v>
      </c>
      <c r="E3089" s="2" t="s">
        <v>4393</v>
      </c>
      <c r="F3089" s="2" t="s">
        <v>3944</v>
      </c>
      <c r="G3089" s="2" t="s">
        <v>1845</v>
      </c>
      <c r="H3089" s="2">
        <v>7000000</v>
      </c>
      <c r="I3089" s="2">
        <v>7.9</v>
      </c>
      <c r="J3089" s="3">
        <v>70906973</v>
      </c>
      <c r="K3089">
        <f t="shared" si="104"/>
        <v>1.3775047412552699E-3</v>
      </c>
      <c r="R3089" s="12" t="str">
        <f ca="1">IFERROR(__xludf.DUMMYFUNCTION("""COMPUTED_VALUE"""),"Control ")</f>
        <v>Control </v>
      </c>
      <c r="S3089" s="12">
        <f t="shared" si="103"/>
        <v>-79966220</v>
      </c>
    </row>
    <row r="3090" spans="1:19" x14ac:dyDescent="0.3">
      <c r="A3090" s="2" t="s">
        <v>4220</v>
      </c>
      <c r="B3090" s="2">
        <v>96</v>
      </c>
      <c r="C3090" s="3">
        <v>26082914</v>
      </c>
      <c r="D3090" s="3" t="s">
        <v>6426</v>
      </c>
      <c r="E3090" s="2" t="s">
        <v>4221</v>
      </c>
      <c r="F3090" s="2" t="s">
        <v>10</v>
      </c>
      <c r="G3090" s="2" t="s">
        <v>11</v>
      </c>
      <c r="H3090" s="2">
        <v>8500000</v>
      </c>
      <c r="I3090" s="2">
        <v>5</v>
      </c>
      <c r="J3090" s="3">
        <v>70960517</v>
      </c>
      <c r="K3090">
        <f t="shared" si="104"/>
        <v>1.3775047412552699E-3</v>
      </c>
      <c r="R3090" s="12" t="str">
        <f ca="1">IFERROR(__xludf.DUMMYFUNCTION("""COMPUTED_VALUE"""),"The Terminator ")</f>
        <v>The Terminator </v>
      </c>
      <c r="S3090" s="12">
        <f t="shared" si="103"/>
        <v>-7118133</v>
      </c>
    </row>
    <row r="3091" spans="1:19" x14ac:dyDescent="0.3">
      <c r="A3091" s="2" t="s">
        <v>2609</v>
      </c>
      <c r="B3091" s="2">
        <v>99</v>
      </c>
      <c r="C3091" s="3">
        <v>192467</v>
      </c>
      <c r="D3091" s="3" t="s">
        <v>5975</v>
      </c>
      <c r="E3091" s="2" t="s">
        <v>2610</v>
      </c>
      <c r="F3091" s="2" t="s">
        <v>10</v>
      </c>
      <c r="G3091" s="2" t="s">
        <v>11</v>
      </c>
      <c r="H3091" s="2">
        <v>25000000</v>
      </c>
      <c r="I3091" s="2">
        <v>5.6</v>
      </c>
      <c r="J3091" s="3">
        <v>71017784</v>
      </c>
      <c r="K3091">
        <f t="shared" si="104"/>
        <v>1.3775047412552699E-3</v>
      </c>
      <c r="R3091" s="12" t="str">
        <f ca="1">IFERROR(__xludf.DUMMYFUNCTION("""COMPUTED_VALUE"""),"Good Bye Lenin! ")</f>
        <v>Good Bye Lenin! </v>
      </c>
      <c r="S3091" s="12">
        <f t="shared" si="103"/>
        <v>-82443292</v>
      </c>
    </row>
    <row r="3092" spans="1:19" x14ac:dyDescent="0.3">
      <c r="A3092" s="2" t="s">
        <v>1024</v>
      </c>
      <c r="B3092" s="2">
        <v>101</v>
      </c>
      <c r="C3092" s="3">
        <v>13019253</v>
      </c>
      <c r="D3092" s="3" t="s">
        <v>5849</v>
      </c>
      <c r="E3092" s="2" t="s">
        <v>3101</v>
      </c>
      <c r="F3092" s="2" t="s">
        <v>10</v>
      </c>
      <c r="G3092" s="2" t="s">
        <v>11</v>
      </c>
      <c r="H3092" s="2">
        <v>19000000</v>
      </c>
      <c r="I3092" s="2">
        <v>6.1</v>
      </c>
      <c r="J3092" s="3">
        <v>71026631</v>
      </c>
      <c r="K3092">
        <f t="shared" si="104"/>
        <v>1.3775047412552699E-3</v>
      </c>
      <c r="R3092" s="12" t="str">
        <f ca="1">IFERROR(__xludf.DUMMYFUNCTION("""COMPUTED_VALUE"""),"The Damned United ")</f>
        <v>The Damned United </v>
      </c>
      <c r="S3092" s="12">
        <f t="shared" si="103"/>
        <v>29905277</v>
      </c>
    </row>
    <row r="3093" spans="1:19" x14ac:dyDescent="0.3">
      <c r="A3093" s="2" t="s">
        <v>1999</v>
      </c>
      <c r="B3093" s="2">
        <v>95</v>
      </c>
      <c r="C3093" s="3">
        <v>12549485</v>
      </c>
      <c r="D3093" s="3" t="s">
        <v>5936</v>
      </c>
      <c r="E3093" s="2" t="s">
        <v>4374</v>
      </c>
      <c r="F3093" s="2" t="s">
        <v>10</v>
      </c>
      <c r="G3093" s="2" t="s">
        <v>11</v>
      </c>
      <c r="H3093" s="2">
        <v>7000000</v>
      </c>
      <c r="I3093" s="2">
        <v>6.1</v>
      </c>
      <c r="J3093" s="3">
        <v>71038190</v>
      </c>
      <c r="K3093">
        <f t="shared" si="104"/>
        <v>1.3775047412552699E-3</v>
      </c>
      <c r="R3093" s="12" t="str">
        <f ca="1">IFERROR(__xludf.DUMMYFUNCTION("""COMPUTED_VALUE"""),"Mallrats ")</f>
        <v>Mallrats </v>
      </c>
      <c r="S3093" s="12">
        <f t="shared" si="103"/>
        <v>35645204</v>
      </c>
    </row>
    <row r="3094" spans="1:19" x14ac:dyDescent="0.3">
      <c r="A3094" s="2" t="s">
        <v>124</v>
      </c>
      <c r="B3094" s="2">
        <v>94</v>
      </c>
      <c r="C3094" s="3">
        <v>2062066</v>
      </c>
      <c r="D3094" s="3" t="s">
        <v>6360</v>
      </c>
      <c r="E3094" s="2" t="s">
        <v>125</v>
      </c>
      <c r="F3094" s="2" t="s">
        <v>10</v>
      </c>
      <c r="G3094" s="2" t="s">
        <v>11</v>
      </c>
      <c r="H3094" s="2">
        <v>175000000</v>
      </c>
      <c r="I3094" s="2">
        <v>6.5</v>
      </c>
      <c r="J3094" s="3">
        <v>71069884</v>
      </c>
      <c r="K3094">
        <f t="shared" si="104"/>
        <v>1.3775047412552699E-3</v>
      </c>
      <c r="R3094" s="12" t="str">
        <f ca="1">IFERROR(__xludf.DUMMYFUNCTION("""COMPUTED_VALUE"""),"Grease ")</f>
        <v>Grease </v>
      </c>
      <c r="S3094" s="12">
        <f t="shared" si="103"/>
        <v>-199994439</v>
      </c>
    </row>
    <row r="3095" spans="1:19" x14ac:dyDescent="0.3">
      <c r="A3095" s="2" t="s">
        <v>2182</v>
      </c>
      <c r="B3095" s="2">
        <v>87</v>
      </c>
      <c r="C3095" s="3">
        <v>379643</v>
      </c>
      <c r="D3095" s="3" t="s">
        <v>6137</v>
      </c>
      <c r="E3095" s="2" t="s">
        <v>2183</v>
      </c>
      <c r="F3095" s="2" t="s">
        <v>10</v>
      </c>
      <c r="G3095" s="2" t="s">
        <v>11</v>
      </c>
      <c r="H3095" s="2">
        <v>30000000</v>
      </c>
      <c r="I3095" s="2">
        <v>7</v>
      </c>
      <c r="J3095" s="3">
        <v>71148699</v>
      </c>
      <c r="K3095">
        <f t="shared" si="104"/>
        <v>1.3775047412552699E-3</v>
      </c>
      <c r="R3095" s="12" t="str">
        <f ca="1">IFERROR(__xludf.DUMMYFUNCTION("""COMPUTED_VALUE"""),"Platoon ")</f>
        <v>Platoon </v>
      </c>
      <c r="S3095" s="12">
        <f t="shared" si="103"/>
        <v>-64132365</v>
      </c>
    </row>
    <row r="3096" spans="1:19" x14ac:dyDescent="0.3">
      <c r="A3096" s="2" t="s">
        <v>546</v>
      </c>
      <c r="B3096" s="2">
        <v>129</v>
      </c>
      <c r="C3096" s="3">
        <v>7496522</v>
      </c>
      <c r="D3096" s="3" t="s">
        <v>6163</v>
      </c>
      <c r="E3096" s="2" t="s">
        <v>1938</v>
      </c>
      <c r="F3096" s="2" t="s">
        <v>10</v>
      </c>
      <c r="G3096" s="2" t="s">
        <v>11</v>
      </c>
      <c r="H3096" s="2">
        <v>29000000</v>
      </c>
      <c r="I3096" s="2">
        <v>7.7</v>
      </c>
      <c r="J3096" s="3">
        <v>71277420</v>
      </c>
      <c r="K3096">
        <f t="shared" si="104"/>
        <v>1.3775047412552699E-3</v>
      </c>
      <c r="R3096" s="12" t="str">
        <f ca="1">IFERROR(__xludf.DUMMYFUNCTION("""COMPUTED_VALUE"""),"Fahrenheit 9/11 ")</f>
        <v>Fahrenheit 9/11 </v>
      </c>
      <c r="S3096" s="12">
        <f t="shared" si="103"/>
        <v>-54171229</v>
      </c>
    </row>
    <row r="3097" spans="1:19" x14ac:dyDescent="0.3">
      <c r="A3097" s="2" t="s">
        <v>648</v>
      </c>
      <c r="B3097" s="2">
        <v>135</v>
      </c>
      <c r="C3097" s="3">
        <v>22200000</v>
      </c>
      <c r="D3097" s="3" t="s">
        <v>6251</v>
      </c>
      <c r="E3097" s="2" t="s">
        <v>649</v>
      </c>
      <c r="F3097" s="2" t="s">
        <v>10</v>
      </c>
      <c r="G3097" s="2" t="s">
        <v>11</v>
      </c>
      <c r="H3097" s="2">
        <v>60000000</v>
      </c>
      <c r="I3097" s="2">
        <v>5.4</v>
      </c>
      <c r="J3097" s="3">
        <v>71309760</v>
      </c>
      <c r="K3097">
        <f t="shared" si="104"/>
        <v>1.3775047412552699E-3</v>
      </c>
      <c r="R3097" s="12" t="str">
        <f ca="1">IFERROR(__xludf.DUMMYFUNCTION("""COMPUTED_VALUE"""),"Butch Cassidy and the Sundance Kid ")</f>
        <v>Butch Cassidy and the Sundance Kid </v>
      </c>
      <c r="S3097" s="12">
        <f t="shared" ref="S3097:S3160" si="105">C3075-H3075</f>
        <v>-247786</v>
      </c>
    </row>
    <row r="3098" spans="1:19" x14ac:dyDescent="0.3">
      <c r="A3098" s="2" t="s">
        <v>1485</v>
      </c>
      <c r="B3098" s="2">
        <v>105</v>
      </c>
      <c r="C3098" s="2">
        <v>103738726</v>
      </c>
      <c r="D3098" s="3" t="s">
        <v>6435</v>
      </c>
      <c r="E3098" s="2" t="s">
        <v>1486</v>
      </c>
      <c r="F3098" s="2" t="s">
        <v>10</v>
      </c>
      <c r="G3098" s="2" t="s">
        <v>11</v>
      </c>
      <c r="H3098" s="2">
        <v>100000000</v>
      </c>
      <c r="I3098" s="2">
        <v>6.1</v>
      </c>
      <c r="J3098" s="3">
        <v>71346930</v>
      </c>
      <c r="K3098">
        <f t="shared" si="104"/>
        <v>1.3775047412552699E-3</v>
      </c>
      <c r="R3098" s="12" t="str">
        <f ca="1">IFERROR(__xludf.DUMMYFUNCTION("""COMPUTED_VALUE"""),"Mary Poppins ")</f>
        <v>Mary Poppins </v>
      </c>
      <c r="S3098" s="12">
        <f t="shared" si="105"/>
        <v>-1862768</v>
      </c>
    </row>
    <row r="3099" spans="1:19" x14ac:dyDescent="0.3">
      <c r="A3099" s="2" t="s">
        <v>278</v>
      </c>
      <c r="B3099" s="2">
        <v>114</v>
      </c>
      <c r="C3099" s="3">
        <v>10106233</v>
      </c>
      <c r="D3099" s="3" t="s">
        <v>5857</v>
      </c>
      <c r="E3099" s="2" t="s">
        <v>2054</v>
      </c>
      <c r="F3099" s="2" t="s">
        <v>10</v>
      </c>
      <c r="G3099" s="2" t="s">
        <v>11</v>
      </c>
      <c r="H3099" s="2">
        <v>35000000</v>
      </c>
      <c r="I3099" s="2">
        <v>6.9</v>
      </c>
      <c r="J3099" s="3">
        <v>71347010</v>
      </c>
      <c r="K3099">
        <f t="shared" si="104"/>
        <v>1.3775047412552699E-3</v>
      </c>
      <c r="R3099" s="12" t="str">
        <f ca="1">IFERROR(__xludf.DUMMYFUNCTION("""COMPUTED_VALUE"""),"Ordinary People ")</f>
        <v>Ordinary People </v>
      </c>
      <c r="S3099" s="12">
        <f t="shared" si="105"/>
        <v>-213512523</v>
      </c>
    </row>
    <row r="3100" spans="1:19" x14ac:dyDescent="0.3">
      <c r="A3100" s="2" t="s">
        <v>3791</v>
      </c>
      <c r="B3100" s="2">
        <v>103</v>
      </c>
      <c r="C3100" s="3">
        <v>7486906</v>
      </c>
      <c r="D3100" s="3" t="s">
        <v>5849</v>
      </c>
      <c r="E3100" s="2" t="s">
        <v>4658</v>
      </c>
      <c r="F3100" s="2" t="s">
        <v>10</v>
      </c>
      <c r="G3100" s="2" t="s">
        <v>11</v>
      </c>
      <c r="H3100" s="2">
        <v>5000000</v>
      </c>
      <c r="I3100" s="2">
        <v>6.8</v>
      </c>
      <c r="J3100" s="3">
        <v>71423726</v>
      </c>
      <c r="K3100">
        <f t="shared" si="104"/>
        <v>1.3775047412552699E-3</v>
      </c>
      <c r="R3100" s="12" t="str">
        <f ca="1">IFERROR(__xludf.DUMMYFUNCTION("""COMPUTED_VALUE"""),"West Side Story ")</f>
        <v>West Side Story </v>
      </c>
      <c r="S3100" s="12">
        <f t="shared" si="105"/>
        <v>2316646</v>
      </c>
    </row>
    <row r="3101" spans="1:19" x14ac:dyDescent="0.3">
      <c r="A3101" s="2" t="s">
        <v>4588</v>
      </c>
      <c r="B3101" s="2">
        <v>98</v>
      </c>
      <c r="C3101" s="3">
        <v>22189039</v>
      </c>
      <c r="D3101" s="3" t="s">
        <v>5996</v>
      </c>
      <c r="E3101" s="2" t="s">
        <v>4589</v>
      </c>
      <c r="F3101" s="2" t="s">
        <v>10</v>
      </c>
      <c r="G3101" s="2" t="s">
        <v>71</v>
      </c>
      <c r="H3101" s="2">
        <v>6000000</v>
      </c>
      <c r="I3101" s="2">
        <v>7.6</v>
      </c>
      <c r="J3101" s="3">
        <v>71500556</v>
      </c>
      <c r="K3101">
        <f t="shared" si="104"/>
        <v>1.3775047412552699E-3</v>
      </c>
      <c r="R3101" s="12" t="str">
        <f ca="1">IFERROR(__xludf.DUMMYFUNCTION("""COMPUTED_VALUE"""),"Caddyshack ")</f>
        <v>Caddyshack </v>
      </c>
      <c r="S3101" s="12">
        <f t="shared" si="105"/>
        <v>-67668682</v>
      </c>
    </row>
    <row r="3102" spans="1:19" x14ac:dyDescent="0.3">
      <c r="A3102" s="2" t="s">
        <v>5236</v>
      </c>
      <c r="B3102" s="2">
        <v>87</v>
      </c>
      <c r="C3102" s="3">
        <v>34700000</v>
      </c>
      <c r="D3102" s="3" t="s">
        <v>6158</v>
      </c>
      <c r="E3102" s="2" t="s">
        <v>5237</v>
      </c>
      <c r="F3102" s="2" t="s">
        <v>10</v>
      </c>
      <c r="G3102" s="2" t="s">
        <v>11</v>
      </c>
      <c r="H3102" s="2">
        <v>1000000</v>
      </c>
      <c r="I3102" s="2">
        <v>6.2</v>
      </c>
      <c r="J3102" s="3">
        <v>71502303</v>
      </c>
      <c r="K3102">
        <f t="shared" si="104"/>
        <v>1.3775047412552699E-3</v>
      </c>
      <c r="R3102" s="12" t="str">
        <f ca="1">IFERROR(__xludf.DUMMYFUNCTION("""COMPUTED_VALUE"""),"The Brothers ")</f>
        <v>The Brothers </v>
      </c>
      <c r="S3102" s="12">
        <f t="shared" si="105"/>
        <v>14040293</v>
      </c>
    </row>
    <row r="3103" spans="1:19" x14ac:dyDescent="0.3">
      <c r="A3103" s="2" t="s">
        <v>1617</v>
      </c>
      <c r="B3103" s="2">
        <v>88</v>
      </c>
      <c r="C3103" s="3">
        <v>57859105</v>
      </c>
      <c r="D3103" s="3" t="s">
        <v>5940</v>
      </c>
      <c r="E3103" s="2" t="s">
        <v>5356</v>
      </c>
      <c r="F3103" s="2" t="s">
        <v>10</v>
      </c>
      <c r="G3103" s="2" t="s">
        <v>11</v>
      </c>
      <c r="H3103" s="2">
        <v>1000000</v>
      </c>
      <c r="I3103" s="2">
        <v>6.1</v>
      </c>
      <c r="J3103" s="3">
        <v>71519230</v>
      </c>
      <c r="K3103">
        <f t="shared" si="104"/>
        <v>1.3775047412552699E-3</v>
      </c>
      <c r="R3103" s="12" t="str">
        <f ca="1">IFERROR(__xludf.DUMMYFUNCTION("""COMPUTED_VALUE"""),"The Wood ")</f>
        <v>The Wood </v>
      </c>
      <c r="S3103" s="12">
        <f t="shared" si="105"/>
        <v>-2007841</v>
      </c>
    </row>
    <row r="3104" spans="1:19" x14ac:dyDescent="0.3">
      <c r="A3104" s="2" t="s">
        <v>965</v>
      </c>
      <c r="B3104" s="2">
        <v>132</v>
      </c>
      <c r="C3104" s="3">
        <v>37516013</v>
      </c>
      <c r="D3104" s="3" t="s">
        <v>6136</v>
      </c>
      <c r="E3104" s="2" t="s">
        <v>2185</v>
      </c>
      <c r="F3104" s="2" t="s">
        <v>10</v>
      </c>
      <c r="G3104" s="2" t="s">
        <v>11</v>
      </c>
      <c r="H3104" s="2">
        <v>30000000</v>
      </c>
      <c r="I3104" s="2">
        <v>8.1</v>
      </c>
      <c r="J3104" s="3">
        <v>71588220</v>
      </c>
      <c r="K3104">
        <f t="shared" si="104"/>
        <v>1.3775047412552699E-3</v>
      </c>
      <c r="R3104" s="12" t="str">
        <f ca="1">IFERROR(__xludf.DUMMYFUNCTION("""COMPUTED_VALUE"""),"The Usual Suspects ")</f>
        <v>The Usual Suspects </v>
      </c>
      <c r="S3104" s="12">
        <f t="shared" si="105"/>
        <v>-12100000</v>
      </c>
    </row>
    <row r="3105" spans="1:19" x14ac:dyDescent="0.3">
      <c r="A3105" s="2" t="s">
        <v>2431</v>
      </c>
      <c r="B3105" s="2">
        <v>91</v>
      </c>
      <c r="C3105" s="3">
        <v>3076425</v>
      </c>
      <c r="D3105" s="3" t="s">
        <v>520</v>
      </c>
      <c r="E3105" s="2" t="s">
        <v>4567</v>
      </c>
      <c r="F3105" s="2" t="s">
        <v>10</v>
      </c>
      <c r="G3105" s="2" t="s">
        <v>16</v>
      </c>
      <c r="H3105" s="2">
        <v>5500000</v>
      </c>
      <c r="I3105" s="2">
        <v>7.1</v>
      </c>
      <c r="J3105" s="3">
        <v>71844424</v>
      </c>
      <c r="K3105">
        <f t="shared" si="104"/>
        <v>1.3775047412552699E-3</v>
      </c>
      <c r="R3105" s="12" t="str">
        <f ca="1">IFERROR(__xludf.DUMMYFUNCTION("""COMPUTED_VALUE"""),"A Nightmare on Elm Street 5: The Dream Child ")</f>
        <v>A Nightmare on Elm Street 5: The Dream Child </v>
      </c>
      <c r="S3105" s="12">
        <f t="shared" si="105"/>
        <v>-4865246</v>
      </c>
    </row>
    <row r="3106" spans="1:19" x14ac:dyDescent="0.3">
      <c r="A3106" s="2" t="s">
        <v>836</v>
      </c>
      <c r="B3106" s="2">
        <v>153</v>
      </c>
      <c r="C3106" s="3">
        <v>75597042</v>
      </c>
      <c r="D3106" s="3" t="s">
        <v>5767</v>
      </c>
      <c r="E3106" s="2" t="s">
        <v>837</v>
      </c>
      <c r="F3106" s="2" t="s">
        <v>10</v>
      </c>
      <c r="G3106" s="2" t="s">
        <v>11</v>
      </c>
      <c r="H3106" s="2">
        <v>75000000</v>
      </c>
      <c r="I3106" s="2">
        <v>6.4</v>
      </c>
      <c r="J3106" s="3">
        <v>71897215</v>
      </c>
      <c r="K3106">
        <f t="shared" si="104"/>
        <v>1.3775047412552699E-3</v>
      </c>
      <c r="R3106" s="12" t="str">
        <f ca="1">IFERROR(__xludf.DUMMYFUNCTION("""COMPUTED_VALUE"""),"Van Wilder: Party Liaison ")</f>
        <v>Van Wilder: Party Liaison </v>
      </c>
      <c r="S3106" s="12">
        <f t="shared" si="105"/>
        <v>-280813</v>
      </c>
    </row>
    <row r="3107" spans="1:19" x14ac:dyDescent="0.3">
      <c r="A3107" s="2" t="s">
        <v>496</v>
      </c>
      <c r="B3107" s="2">
        <v>114</v>
      </c>
      <c r="C3107" s="3">
        <v>25900000</v>
      </c>
      <c r="D3107" s="3" t="s">
        <v>5869</v>
      </c>
      <c r="E3107" s="2" t="s">
        <v>497</v>
      </c>
      <c r="F3107" s="2" t="s">
        <v>10</v>
      </c>
      <c r="G3107" s="2" t="s">
        <v>11</v>
      </c>
      <c r="H3107" s="2">
        <v>105000000</v>
      </c>
      <c r="I3107" s="2">
        <v>5.3</v>
      </c>
      <c r="J3107" s="3">
        <v>71975611</v>
      </c>
      <c r="K3107">
        <f t="shared" si="104"/>
        <v>1.3775047412552699E-3</v>
      </c>
      <c r="R3107" s="12" t="str">
        <f ca="1">IFERROR(__xludf.DUMMYFUNCTION("""COMPUTED_VALUE"""),"The Wrestler ")</f>
        <v>The Wrestler </v>
      </c>
      <c r="S3107" s="12">
        <f t="shared" si="105"/>
        <v>17793160</v>
      </c>
    </row>
    <row r="3108" spans="1:19" x14ac:dyDescent="0.3">
      <c r="A3108" s="2" t="s">
        <v>1436</v>
      </c>
      <c r="B3108" s="2">
        <v>110</v>
      </c>
      <c r="C3108" s="3">
        <v>34604054</v>
      </c>
      <c r="D3108" s="3" t="s">
        <v>5940</v>
      </c>
      <c r="E3108" s="2" t="s">
        <v>1437</v>
      </c>
      <c r="F3108" s="2" t="s">
        <v>10</v>
      </c>
      <c r="G3108" s="2" t="s">
        <v>11</v>
      </c>
      <c r="H3108" s="2">
        <v>50000000</v>
      </c>
      <c r="I3108" s="2">
        <v>5.8</v>
      </c>
      <c r="J3108" s="3">
        <v>72000000</v>
      </c>
      <c r="K3108">
        <f t="shared" si="104"/>
        <v>1.3775047412552699E-3</v>
      </c>
      <c r="R3108" s="12" t="str">
        <f ca="1">IFERROR(__xludf.DUMMYFUNCTION("""COMPUTED_VALUE"""),"Duel in the Sun ")</f>
        <v>Duel in the Sun </v>
      </c>
      <c r="S3108" s="12">
        <f t="shared" si="105"/>
        <v>-29223686</v>
      </c>
    </row>
    <row r="3109" spans="1:19" x14ac:dyDescent="0.3">
      <c r="A3109" s="2" t="s">
        <v>5545</v>
      </c>
      <c r="B3109" s="2">
        <v>84</v>
      </c>
      <c r="C3109" s="3">
        <v>16300302</v>
      </c>
      <c r="D3109" s="3" t="s">
        <v>5936</v>
      </c>
      <c r="E3109" s="2" t="s">
        <v>5546</v>
      </c>
      <c r="F3109" s="2" t="s">
        <v>10</v>
      </c>
      <c r="G3109" s="2" t="s">
        <v>11</v>
      </c>
      <c r="H3109" s="3">
        <v>474544677</v>
      </c>
      <c r="I3109" s="2">
        <v>6.3</v>
      </c>
      <c r="J3109" s="3">
        <v>72077000</v>
      </c>
      <c r="K3109">
        <f t="shared" si="104"/>
        <v>1.3775047412552699E-3</v>
      </c>
      <c r="R3109" s="12" t="str">
        <f ca="1">IFERROR(__xludf.DUMMYFUNCTION("""COMPUTED_VALUE"""),"Best in Show ")</f>
        <v>Best in Show </v>
      </c>
      <c r="S3109" s="12">
        <f t="shared" si="105"/>
        <v>19402612</v>
      </c>
    </row>
    <row r="3110" spans="1:19" x14ac:dyDescent="0.3">
      <c r="A3110" s="2" t="s">
        <v>2661</v>
      </c>
      <c r="B3110" s="2">
        <v>111</v>
      </c>
      <c r="C3110" s="3">
        <v>45506619</v>
      </c>
      <c r="D3110" s="3" t="s">
        <v>6436</v>
      </c>
      <c r="E3110" s="2" t="s">
        <v>2662</v>
      </c>
      <c r="F3110" s="2" t="s">
        <v>10</v>
      </c>
      <c r="G3110" s="2" t="s">
        <v>11</v>
      </c>
      <c r="H3110" s="2">
        <v>25000000</v>
      </c>
      <c r="I3110" s="2">
        <v>7.3</v>
      </c>
      <c r="J3110" s="3">
        <v>72217000</v>
      </c>
      <c r="K3110">
        <f t="shared" si="104"/>
        <v>1.3775047412552699E-3</v>
      </c>
      <c r="R3110" s="12" t="str">
        <f ca="1">IFERROR(__xludf.DUMMYFUNCTION("""COMPUTED_VALUE"""),"Escape from New York ")</f>
        <v>Escape from New York </v>
      </c>
      <c r="S3110" s="12">
        <f t="shared" si="105"/>
        <v>5114315</v>
      </c>
    </row>
    <row r="3111" spans="1:19" x14ac:dyDescent="0.3">
      <c r="A3111" s="2" t="s">
        <v>2987</v>
      </c>
      <c r="B3111" s="2">
        <v>89</v>
      </c>
      <c r="C3111" s="3">
        <v>34636443</v>
      </c>
      <c r="D3111" s="3" t="s">
        <v>5802</v>
      </c>
      <c r="E3111" s="2" t="s">
        <v>3669</v>
      </c>
      <c r="F3111" s="2" t="s">
        <v>10</v>
      </c>
      <c r="G3111" s="2" t="s">
        <v>11</v>
      </c>
      <c r="H3111" s="2">
        <v>13000000</v>
      </c>
      <c r="I3111" s="2">
        <v>4.9000000000000004</v>
      </c>
      <c r="J3111" s="3">
        <v>72219395</v>
      </c>
      <c r="K3111">
        <f t="shared" si="104"/>
        <v>1.3775047412552699E-3</v>
      </c>
      <c r="R3111" s="12" t="str">
        <f ca="1">IFERROR(__xludf.DUMMYFUNCTION("""COMPUTED_VALUE"""),"School Daze ")</f>
        <v>School Daze </v>
      </c>
      <c r="S3111" s="12">
        <f t="shared" si="105"/>
        <v>-4078262</v>
      </c>
    </row>
    <row r="3112" spans="1:19" x14ac:dyDescent="0.3">
      <c r="A3112" s="2" t="s">
        <v>5661</v>
      </c>
      <c r="B3112" s="2">
        <v>80</v>
      </c>
      <c r="C3112" s="3">
        <v>10097096</v>
      </c>
      <c r="D3112" s="3" t="s">
        <v>6157</v>
      </c>
      <c r="E3112" s="2" t="s">
        <v>5662</v>
      </c>
      <c r="F3112" s="2" t="s">
        <v>10</v>
      </c>
      <c r="G3112" s="2" t="s">
        <v>11</v>
      </c>
      <c r="H3112" s="3">
        <v>474544677</v>
      </c>
      <c r="I3112" s="2">
        <v>7.1</v>
      </c>
      <c r="J3112" s="3">
        <v>72266306</v>
      </c>
      <c r="K3112">
        <f t="shared" si="104"/>
        <v>1.3775047412552699E-3</v>
      </c>
      <c r="R3112" s="12" t="str">
        <f ca="1">IFERROR(__xludf.DUMMYFUNCTION("""COMPUTED_VALUE"""),"Daddy Day Camp ")</f>
        <v>Daddy Day Camp </v>
      </c>
      <c r="S3112" s="12">
        <f t="shared" si="105"/>
        <v>17582914</v>
      </c>
    </row>
    <row r="3113" spans="1:19" x14ac:dyDescent="0.3">
      <c r="A3113" s="2" t="s">
        <v>3299</v>
      </c>
      <c r="B3113" s="2">
        <v>126</v>
      </c>
      <c r="C3113" s="2">
        <v>13005485</v>
      </c>
      <c r="D3113" s="3" t="s">
        <v>6101</v>
      </c>
      <c r="E3113" s="2" t="s">
        <v>3300</v>
      </c>
      <c r="F3113" s="2" t="s">
        <v>10</v>
      </c>
      <c r="G3113" s="2" t="s">
        <v>11</v>
      </c>
      <c r="H3113" s="2">
        <v>15000000</v>
      </c>
      <c r="I3113" s="2">
        <v>7.6</v>
      </c>
      <c r="J3113" s="3">
        <v>72279690</v>
      </c>
      <c r="K3113">
        <f t="shared" si="104"/>
        <v>1.3775047412552699E-3</v>
      </c>
      <c r="R3113" s="12" t="str">
        <f ca="1">IFERROR(__xludf.DUMMYFUNCTION("""COMPUTED_VALUE"""),"Mystic Pizza ")</f>
        <v>Mystic Pizza </v>
      </c>
      <c r="S3113" s="12">
        <f t="shared" si="105"/>
        <v>-24807533</v>
      </c>
    </row>
    <row r="3114" spans="1:19" x14ac:dyDescent="0.3">
      <c r="A3114" s="2" t="s">
        <v>1439</v>
      </c>
      <c r="B3114" s="2">
        <v>107</v>
      </c>
      <c r="C3114" s="3">
        <v>10166502</v>
      </c>
      <c r="D3114" s="3" t="s">
        <v>5849</v>
      </c>
      <c r="E3114" s="2" t="s">
        <v>2415</v>
      </c>
      <c r="F3114" s="2" t="s">
        <v>10</v>
      </c>
      <c r="G3114" s="2" t="s">
        <v>11</v>
      </c>
      <c r="H3114" s="3">
        <v>65653758</v>
      </c>
      <c r="I3114" s="2">
        <v>6.1</v>
      </c>
      <c r="J3114" s="3">
        <v>72306065</v>
      </c>
      <c r="K3114">
        <f t="shared" si="104"/>
        <v>1.3775047412552699E-3</v>
      </c>
      <c r="R3114" s="12" t="str">
        <f ca="1">IFERROR(__xludf.DUMMYFUNCTION("""COMPUTED_VALUE"""),"Sliding Doors ")</f>
        <v>Sliding Doors </v>
      </c>
      <c r="S3114" s="12">
        <f t="shared" si="105"/>
        <v>-5980747</v>
      </c>
    </row>
    <row r="3115" spans="1:19" x14ac:dyDescent="0.3">
      <c r="A3115" s="2" t="s">
        <v>5221</v>
      </c>
      <c r="B3115" s="2">
        <v>106</v>
      </c>
      <c r="C3115" s="3">
        <v>10049886</v>
      </c>
      <c r="D3115" s="3" t="s">
        <v>5751</v>
      </c>
      <c r="E3115" s="2" t="s">
        <v>5222</v>
      </c>
      <c r="F3115" s="2" t="s">
        <v>723</v>
      </c>
      <c r="G3115" s="2" t="s">
        <v>4867</v>
      </c>
      <c r="H3115" s="2">
        <v>1400000</v>
      </c>
      <c r="I3115" s="2">
        <v>6.7</v>
      </c>
      <c r="J3115" s="3">
        <v>72455275</v>
      </c>
      <c r="K3115">
        <f t="shared" si="104"/>
        <v>1.3775047412552699E-3</v>
      </c>
      <c r="R3115" s="12" t="str">
        <f ca="1">IFERROR(__xludf.DUMMYFUNCTION("""COMPUTED_VALUE"""),"Tales from the Hood ")</f>
        <v>Tales from the Hood </v>
      </c>
      <c r="S3115" s="12">
        <f t="shared" si="105"/>
        <v>5549485</v>
      </c>
    </row>
    <row r="3116" spans="1:19" x14ac:dyDescent="0.3">
      <c r="A3116" s="2" t="s">
        <v>564</v>
      </c>
      <c r="B3116" s="2">
        <v>88</v>
      </c>
      <c r="C3116" s="3">
        <v>469947</v>
      </c>
      <c r="D3116" s="3" t="s">
        <v>5865</v>
      </c>
      <c r="E3116" s="2" t="s">
        <v>565</v>
      </c>
      <c r="F3116" s="2" t="s">
        <v>10</v>
      </c>
      <c r="G3116" s="2" t="s">
        <v>11</v>
      </c>
      <c r="H3116" s="2">
        <v>90000000</v>
      </c>
      <c r="I3116" s="2">
        <v>7.5</v>
      </c>
      <c r="J3116" s="3">
        <v>72515360</v>
      </c>
      <c r="K3116">
        <f t="shared" si="104"/>
        <v>1.3775047412552699E-3</v>
      </c>
      <c r="R3116" s="12" t="str">
        <f ca="1">IFERROR(__xludf.DUMMYFUNCTION("""COMPUTED_VALUE"""),"The Last King of Scotland ")</f>
        <v>The Last King of Scotland </v>
      </c>
      <c r="S3116" s="12">
        <f t="shared" si="105"/>
        <v>-172937934</v>
      </c>
    </row>
    <row r="3117" spans="1:19" x14ac:dyDescent="0.3">
      <c r="A3117" s="2" t="s">
        <v>3479</v>
      </c>
      <c r="B3117" s="2">
        <v>79</v>
      </c>
      <c r="C3117" s="3">
        <v>5333658</v>
      </c>
      <c r="D3117" s="3" t="s">
        <v>5767</v>
      </c>
      <c r="E3117" s="2" t="s">
        <v>4281</v>
      </c>
      <c r="F3117" s="2" t="s">
        <v>10</v>
      </c>
      <c r="G3117" s="2" t="s">
        <v>11</v>
      </c>
      <c r="H3117" s="2">
        <v>8000000</v>
      </c>
      <c r="I3117" s="2">
        <v>6</v>
      </c>
      <c r="J3117" s="3">
        <v>72601713</v>
      </c>
      <c r="K3117">
        <f t="shared" si="104"/>
        <v>1.3775047412552699E-3</v>
      </c>
      <c r="R3117" s="12" t="str">
        <f ca="1">IFERROR(__xludf.DUMMYFUNCTION("""COMPUTED_VALUE"""),"Halloween 5 ")</f>
        <v>Halloween 5 </v>
      </c>
      <c r="S3117" s="12">
        <f t="shared" si="105"/>
        <v>-29620357</v>
      </c>
    </row>
    <row r="3118" spans="1:19" x14ac:dyDescent="0.3">
      <c r="A3118" s="2" t="s">
        <v>4754</v>
      </c>
      <c r="B3118" s="2">
        <v>112</v>
      </c>
      <c r="C3118" s="3">
        <v>301305</v>
      </c>
      <c r="D3118" s="3" t="s">
        <v>6157</v>
      </c>
      <c r="E3118" s="2" t="s">
        <v>4755</v>
      </c>
      <c r="F3118" s="2" t="s">
        <v>10</v>
      </c>
      <c r="G3118" s="2" t="s">
        <v>16</v>
      </c>
      <c r="H3118" s="2">
        <v>3000000</v>
      </c>
      <c r="I3118" s="2">
        <v>6.1</v>
      </c>
      <c r="J3118" s="3">
        <v>72660029</v>
      </c>
      <c r="K3118">
        <f t="shared" si="104"/>
        <v>1.3775047412552699E-3</v>
      </c>
      <c r="R3118" s="12" t="str">
        <f ca="1">IFERROR(__xludf.DUMMYFUNCTION("""COMPUTED_VALUE"""),"Bernie ")</f>
        <v>Bernie </v>
      </c>
      <c r="S3118" s="12">
        <f t="shared" si="105"/>
        <v>-21503478</v>
      </c>
    </row>
    <row r="3119" spans="1:19" x14ac:dyDescent="0.3">
      <c r="A3119" s="2" t="s">
        <v>3427</v>
      </c>
      <c r="B3119" s="2">
        <v>114</v>
      </c>
      <c r="C3119" s="3">
        <v>42438300</v>
      </c>
      <c r="D3119" s="3" t="s">
        <v>5767</v>
      </c>
      <c r="E3119" s="2" t="s">
        <v>3428</v>
      </c>
      <c r="F3119" s="2" t="s">
        <v>10</v>
      </c>
      <c r="G3119" s="2" t="s">
        <v>11</v>
      </c>
      <c r="H3119" s="2">
        <v>15000000</v>
      </c>
      <c r="I3119" s="2">
        <v>6.6</v>
      </c>
      <c r="J3119" s="3">
        <v>73000942</v>
      </c>
      <c r="K3119">
        <f t="shared" si="104"/>
        <v>1.3775047412552699E-3</v>
      </c>
      <c r="R3119" s="12" t="str">
        <f ca="1">IFERROR(__xludf.DUMMYFUNCTION("""COMPUTED_VALUE"""),"Dolphins and Whales 3D: Tribes of the Ocean ")</f>
        <v>Dolphins and Whales 3D: Tribes of the Ocean </v>
      </c>
      <c r="S3119" s="12">
        <f t="shared" si="105"/>
        <v>-37800000</v>
      </c>
    </row>
    <row r="3120" spans="1:19" x14ac:dyDescent="0.3">
      <c r="A3120" s="2" t="s">
        <v>3788</v>
      </c>
      <c r="B3120" s="2">
        <v>93</v>
      </c>
      <c r="C3120" s="3">
        <v>1227324</v>
      </c>
      <c r="D3120" s="3" t="s">
        <v>6049</v>
      </c>
      <c r="E3120" s="2" t="s">
        <v>3789</v>
      </c>
      <c r="F3120" s="2" t="s">
        <v>10</v>
      </c>
      <c r="G3120" s="2" t="s">
        <v>11</v>
      </c>
      <c r="H3120" s="2">
        <v>12000000</v>
      </c>
      <c r="I3120" s="2">
        <v>6.7</v>
      </c>
      <c r="J3120" s="3">
        <v>73023275</v>
      </c>
      <c r="K3120">
        <f t="shared" si="104"/>
        <v>1.3775047412552699E-3</v>
      </c>
      <c r="R3120" s="12" t="str">
        <f ca="1">IFERROR(__xludf.DUMMYFUNCTION("""COMPUTED_VALUE"""),"Pollock ")</f>
        <v>Pollock </v>
      </c>
      <c r="S3120" s="12">
        <f t="shared" si="105"/>
        <v>3738726</v>
      </c>
    </row>
    <row r="3121" spans="1:19" x14ac:dyDescent="0.3">
      <c r="A3121" s="2" t="s">
        <v>4906</v>
      </c>
      <c r="B3121" s="2">
        <v>98</v>
      </c>
      <c r="C3121" s="3">
        <v>1332</v>
      </c>
      <c r="D3121" s="3" t="s">
        <v>520</v>
      </c>
      <c r="E3121" s="2" t="s">
        <v>4907</v>
      </c>
      <c r="F3121" s="2" t="s">
        <v>10</v>
      </c>
      <c r="G3121" s="2" t="s">
        <v>11</v>
      </c>
      <c r="H3121" s="2">
        <v>3000000</v>
      </c>
      <c r="I3121" s="2">
        <v>5.7</v>
      </c>
      <c r="J3121" s="3">
        <v>73058679</v>
      </c>
      <c r="K3121">
        <f t="shared" si="104"/>
        <v>1.3775047412552699E-3</v>
      </c>
      <c r="R3121" s="12" t="str">
        <f ca="1">IFERROR(__xludf.DUMMYFUNCTION("""COMPUTED_VALUE"""),"200 Cigarettes ")</f>
        <v>200 Cigarettes </v>
      </c>
      <c r="S3121" s="12">
        <f t="shared" si="105"/>
        <v>-24893767</v>
      </c>
    </row>
    <row r="3122" spans="1:19" x14ac:dyDescent="0.3">
      <c r="A3122" s="2" t="s">
        <v>3140</v>
      </c>
      <c r="B3122" s="2">
        <v>111</v>
      </c>
      <c r="C3122" s="3">
        <v>62480</v>
      </c>
      <c r="D3122" s="3" t="s">
        <v>5910</v>
      </c>
      <c r="E3122" s="2" t="s">
        <v>4566</v>
      </c>
      <c r="F3122" s="2" t="s">
        <v>10</v>
      </c>
      <c r="G3122" s="2" t="s">
        <v>11</v>
      </c>
      <c r="H3122" s="2">
        <v>7000000</v>
      </c>
      <c r="I3122" s="2">
        <v>7.4</v>
      </c>
      <c r="J3122" s="3">
        <v>73103784</v>
      </c>
      <c r="K3122">
        <f t="shared" si="104"/>
        <v>1.3775047412552699E-3</v>
      </c>
      <c r="R3122" s="12" t="str">
        <f ca="1">IFERROR(__xludf.DUMMYFUNCTION("""COMPUTED_VALUE"""),"The Words ")</f>
        <v>The Words </v>
      </c>
      <c r="S3122" s="12">
        <f t="shared" si="105"/>
        <v>2486906</v>
      </c>
    </row>
    <row r="3123" spans="1:19" x14ac:dyDescent="0.3">
      <c r="A3123" s="2" t="s">
        <v>2685</v>
      </c>
      <c r="B3123" s="2">
        <v>100</v>
      </c>
      <c r="C3123" s="3">
        <v>464655</v>
      </c>
      <c r="D3123" s="3" t="s">
        <v>5940</v>
      </c>
      <c r="E3123" s="2" t="s">
        <v>2686</v>
      </c>
      <c r="F3123" s="2" t="s">
        <v>1933</v>
      </c>
      <c r="G3123" s="2" t="s">
        <v>233</v>
      </c>
      <c r="H3123" s="2">
        <v>25000000</v>
      </c>
      <c r="I3123" s="2">
        <v>6.5</v>
      </c>
      <c r="J3123" s="3">
        <v>73209340</v>
      </c>
      <c r="K3123">
        <f t="shared" si="104"/>
        <v>1.3775047412552699E-3</v>
      </c>
      <c r="R3123" s="12" t="str">
        <f ca="1">IFERROR(__xludf.DUMMYFUNCTION("""COMPUTED_VALUE"""),"Casa de mi Padre ")</f>
        <v>Casa de mi Padre </v>
      </c>
      <c r="S3123" s="12">
        <f t="shared" si="105"/>
        <v>16189039</v>
      </c>
    </row>
    <row r="3124" spans="1:19" x14ac:dyDescent="0.3">
      <c r="A3124" s="2" t="s">
        <v>358</v>
      </c>
      <c r="B3124" s="2">
        <v>92</v>
      </c>
      <c r="C3124" s="3">
        <v>906666</v>
      </c>
      <c r="D3124" s="3" t="s">
        <v>6144</v>
      </c>
      <c r="E3124" s="2" t="s">
        <v>359</v>
      </c>
      <c r="F3124" s="2" t="s">
        <v>10</v>
      </c>
      <c r="G3124" s="2" t="s">
        <v>11</v>
      </c>
      <c r="H3124" s="2">
        <v>130000000</v>
      </c>
      <c r="I3124" s="2">
        <v>5.6</v>
      </c>
      <c r="J3124" s="3">
        <v>73215310</v>
      </c>
      <c r="K3124">
        <f t="shared" si="104"/>
        <v>1.3775047412552699E-3</v>
      </c>
      <c r="R3124" s="12" t="str">
        <f ca="1">IFERROR(__xludf.DUMMYFUNCTION("""COMPUTED_VALUE"""),"City Island ")</f>
        <v>City Island </v>
      </c>
      <c r="S3124" s="12">
        <f t="shared" si="105"/>
        <v>33700000</v>
      </c>
    </row>
    <row r="3125" spans="1:19" x14ac:dyDescent="0.3">
      <c r="A3125" s="2" t="s">
        <v>5066</v>
      </c>
      <c r="B3125" s="2">
        <v>86</v>
      </c>
      <c r="C3125" s="3">
        <v>37600435</v>
      </c>
      <c r="D3125" s="3" t="s">
        <v>5898</v>
      </c>
      <c r="E3125" s="2" t="s">
        <v>5067</v>
      </c>
      <c r="F3125" s="2" t="s">
        <v>10</v>
      </c>
      <c r="G3125" s="2" t="s">
        <v>504</v>
      </c>
      <c r="H3125" s="2">
        <v>2000000</v>
      </c>
      <c r="I3125" s="2">
        <v>5.3</v>
      </c>
      <c r="J3125" s="3">
        <v>73326666</v>
      </c>
      <c r="K3125">
        <f t="shared" si="104"/>
        <v>1.3775047412552699E-3</v>
      </c>
      <c r="R3125" s="12" t="str">
        <f ca="1">IFERROR(__xludf.DUMMYFUNCTION("""COMPUTED_VALUE"""),"The Guard ")</f>
        <v>The Guard </v>
      </c>
      <c r="S3125" s="12">
        <f t="shared" si="105"/>
        <v>56859105</v>
      </c>
    </row>
    <row r="3126" spans="1:19" x14ac:dyDescent="0.3">
      <c r="A3126" s="2" t="s">
        <v>2051</v>
      </c>
      <c r="B3126" s="2">
        <v>101</v>
      </c>
      <c r="C3126" s="3">
        <v>5009677</v>
      </c>
      <c r="D3126" s="3" t="s">
        <v>5778</v>
      </c>
      <c r="E3126" s="2" t="s">
        <v>2052</v>
      </c>
      <c r="F3126" s="2" t="s">
        <v>10</v>
      </c>
      <c r="G3126" s="2" t="s">
        <v>11</v>
      </c>
      <c r="H3126" s="2">
        <v>35000000</v>
      </c>
      <c r="I3126" s="2">
        <v>4.5999999999999996</v>
      </c>
      <c r="J3126" s="3">
        <v>73343413</v>
      </c>
      <c r="K3126">
        <f t="shared" si="104"/>
        <v>1.3775047412552699E-3</v>
      </c>
      <c r="R3126" s="12" t="str">
        <f ca="1">IFERROR(__xludf.DUMMYFUNCTION("""COMPUTED_VALUE"""),"College ")</f>
        <v>College </v>
      </c>
      <c r="S3126" s="12">
        <f t="shared" si="105"/>
        <v>7516013</v>
      </c>
    </row>
    <row r="3127" spans="1:19" x14ac:dyDescent="0.3">
      <c r="A3127" s="2" t="s">
        <v>1965</v>
      </c>
      <c r="B3127" s="2">
        <v>131</v>
      </c>
      <c r="C3127" s="3">
        <v>3074838</v>
      </c>
      <c r="D3127" s="3" t="s">
        <v>6069</v>
      </c>
      <c r="E3127" s="2" t="s">
        <v>2285</v>
      </c>
      <c r="F3127" s="2" t="s">
        <v>10</v>
      </c>
      <c r="G3127" s="2" t="s">
        <v>11</v>
      </c>
      <c r="H3127" s="2">
        <v>30000000</v>
      </c>
      <c r="I3127" s="2">
        <v>6.2</v>
      </c>
      <c r="J3127" s="3">
        <v>73648142</v>
      </c>
      <c r="K3127">
        <f t="shared" si="104"/>
        <v>1.3775047412552699E-3</v>
      </c>
      <c r="R3127" s="12" t="str">
        <f ca="1">IFERROR(__xludf.DUMMYFUNCTION("""COMPUTED_VALUE"""),"The Virgin Suicides ")</f>
        <v>The Virgin Suicides </v>
      </c>
      <c r="S3127" s="12">
        <f t="shared" si="105"/>
        <v>-2423575</v>
      </c>
    </row>
    <row r="3128" spans="1:19" x14ac:dyDescent="0.3">
      <c r="A3128" s="2" t="s">
        <v>3539</v>
      </c>
      <c r="B3128" s="2">
        <v>92</v>
      </c>
      <c r="C3128" s="3">
        <v>1292119</v>
      </c>
      <c r="D3128" s="3" t="s">
        <v>5767</v>
      </c>
      <c r="E3128" s="2" t="s">
        <v>3540</v>
      </c>
      <c r="F3128" s="2" t="s">
        <v>10</v>
      </c>
      <c r="G3128" s="2" t="s">
        <v>11</v>
      </c>
      <c r="H3128" s="2">
        <v>20000000</v>
      </c>
      <c r="I3128" s="2">
        <v>6.2</v>
      </c>
      <c r="J3128" s="3">
        <v>73661010</v>
      </c>
      <c r="K3128">
        <f t="shared" si="104"/>
        <v>1.3775047412552699E-3</v>
      </c>
      <c r="R3128" s="12" t="str">
        <f ca="1">IFERROR(__xludf.DUMMYFUNCTION("""COMPUTED_VALUE"""),"Miss March ")</f>
        <v>Miss March </v>
      </c>
      <c r="S3128" s="12">
        <f t="shared" si="105"/>
        <v>597042</v>
      </c>
    </row>
    <row r="3129" spans="1:19" x14ac:dyDescent="0.3">
      <c r="A3129" s="2" t="s">
        <v>1170</v>
      </c>
      <c r="B3129" s="2">
        <v>114</v>
      </c>
      <c r="C3129" s="3">
        <v>5731103</v>
      </c>
      <c r="D3129" s="3" t="s">
        <v>6437</v>
      </c>
      <c r="E3129" s="2" t="s">
        <v>1171</v>
      </c>
      <c r="F3129" s="2" t="s">
        <v>10</v>
      </c>
      <c r="G3129" s="2" t="s">
        <v>11</v>
      </c>
      <c r="H3129" s="2">
        <v>60000000</v>
      </c>
      <c r="I3129" s="2">
        <v>4.9000000000000004</v>
      </c>
      <c r="J3129" s="3">
        <v>73701902</v>
      </c>
      <c r="K3129">
        <f t="shared" si="104"/>
        <v>1.3775047412552699E-3</v>
      </c>
      <c r="R3129" s="12" t="str">
        <f ca="1">IFERROR(__xludf.DUMMYFUNCTION("""COMPUTED_VALUE"""),"Wish I Was Here ")</f>
        <v>Wish I Was Here </v>
      </c>
      <c r="S3129" s="12">
        <f t="shared" si="105"/>
        <v>-79100000</v>
      </c>
    </row>
    <row r="3130" spans="1:19" x14ac:dyDescent="0.3">
      <c r="A3130" s="2" t="s">
        <v>680</v>
      </c>
      <c r="B3130" s="2">
        <v>106</v>
      </c>
      <c r="C3130" s="3">
        <v>19959</v>
      </c>
      <c r="D3130" s="3" t="s">
        <v>1703</v>
      </c>
      <c r="E3130" s="2" t="s">
        <v>1940</v>
      </c>
      <c r="F3130" s="2" t="s">
        <v>10</v>
      </c>
      <c r="G3130" s="2" t="s">
        <v>11</v>
      </c>
      <c r="H3130" s="2">
        <v>35000000</v>
      </c>
      <c r="I3130" s="2">
        <v>6.9</v>
      </c>
      <c r="J3130" s="3">
        <v>73820094</v>
      </c>
      <c r="K3130">
        <f t="shared" si="104"/>
        <v>1.3775047412552699E-3</v>
      </c>
      <c r="R3130" s="12" t="str">
        <f ca="1">IFERROR(__xludf.DUMMYFUNCTION("""COMPUTED_VALUE"""),"Simply Irresistible ")</f>
        <v>Simply Irresistible </v>
      </c>
      <c r="S3130" s="12">
        <f t="shared" si="105"/>
        <v>-15395946</v>
      </c>
    </row>
    <row r="3131" spans="1:19" x14ac:dyDescent="0.3">
      <c r="A3131" s="2" t="s">
        <v>3919</v>
      </c>
      <c r="B3131" s="2">
        <v>109</v>
      </c>
      <c r="C3131" s="3">
        <v>19184015</v>
      </c>
      <c r="D3131" s="3" t="s">
        <v>6251</v>
      </c>
      <c r="E3131" s="2" t="s">
        <v>3920</v>
      </c>
      <c r="F3131" s="2" t="s">
        <v>10</v>
      </c>
      <c r="G3131" s="2" t="s">
        <v>16</v>
      </c>
      <c r="H3131" s="2">
        <v>11000000</v>
      </c>
      <c r="I3131" s="2">
        <v>7.3</v>
      </c>
      <c r="J3131" s="3">
        <v>74058698</v>
      </c>
      <c r="K3131">
        <f t="shared" si="104"/>
        <v>1.3775047412552699E-3</v>
      </c>
      <c r="R3131" s="12" t="str">
        <f ca="1">IFERROR(__xludf.DUMMYFUNCTION("""COMPUTED_VALUE"""),"Hedwig and the Angry Inch ")</f>
        <v>Hedwig and the Angry Inch </v>
      </c>
      <c r="S3131" s="12">
        <f t="shared" si="105"/>
        <v>-458244375</v>
      </c>
    </row>
    <row r="3132" spans="1:19" x14ac:dyDescent="0.3">
      <c r="A3132" s="2" t="s">
        <v>3629</v>
      </c>
      <c r="B3132" s="2">
        <v>127</v>
      </c>
      <c r="C3132" s="3">
        <v>10076136</v>
      </c>
      <c r="D3132" s="3" t="s">
        <v>5865</v>
      </c>
      <c r="E3132" s="2" t="s">
        <v>3630</v>
      </c>
      <c r="F3132" s="2" t="s">
        <v>10</v>
      </c>
      <c r="G3132" s="2" t="s">
        <v>3631</v>
      </c>
      <c r="H3132" s="2">
        <v>14000000</v>
      </c>
      <c r="I3132" s="2">
        <v>6.5</v>
      </c>
      <c r="J3132" s="3">
        <v>74098862</v>
      </c>
      <c r="K3132">
        <f t="shared" si="104"/>
        <v>1.3775047412552699E-3</v>
      </c>
      <c r="R3132" s="12" t="str">
        <f ca="1">IFERROR(__xludf.DUMMYFUNCTION("""COMPUTED_VALUE"""),"Only the Strong ")</f>
        <v>Only the Strong </v>
      </c>
      <c r="S3132" s="12">
        <f t="shared" si="105"/>
        <v>20506619</v>
      </c>
    </row>
    <row r="3133" spans="1:19" x14ac:dyDescent="0.3">
      <c r="A3133" s="2" t="s">
        <v>4634</v>
      </c>
      <c r="B3133" s="2">
        <v>90</v>
      </c>
      <c r="C3133" s="3">
        <v>1094798</v>
      </c>
      <c r="D3133" s="3" t="s">
        <v>5849</v>
      </c>
      <c r="E3133" s="2" t="s">
        <v>5548</v>
      </c>
      <c r="F3133" s="2" t="s">
        <v>723</v>
      </c>
      <c r="G3133" s="2" t="s">
        <v>11</v>
      </c>
      <c r="H3133" s="2">
        <v>400000</v>
      </c>
      <c r="I3133" s="2">
        <v>7.1</v>
      </c>
      <c r="J3133" s="3">
        <v>74158157</v>
      </c>
      <c r="K3133">
        <f t="shared" si="104"/>
        <v>1.3775047412552699E-3</v>
      </c>
      <c r="R3133" s="12" t="str">
        <f ca="1">IFERROR(__xludf.DUMMYFUNCTION("""COMPUTED_VALUE"""),"Shattered Glass ")</f>
        <v>Shattered Glass </v>
      </c>
      <c r="S3133" s="12">
        <f t="shared" si="105"/>
        <v>21636443</v>
      </c>
    </row>
    <row r="3134" spans="1:19" x14ac:dyDescent="0.3">
      <c r="A3134" s="2" t="s">
        <v>456</v>
      </c>
      <c r="B3134" s="2">
        <v>109</v>
      </c>
      <c r="C3134" s="3">
        <v>22160085</v>
      </c>
      <c r="D3134" s="3" t="s">
        <v>6238</v>
      </c>
      <c r="E3134" s="2" t="s">
        <v>2483</v>
      </c>
      <c r="F3134" s="2" t="s">
        <v>10</v>
      </c>
      <c r="G3134" s="2" t="s">
        <v>11</v>
      </c>
      <c r="H3134" s="2">
        <v>26000000</v>
      </c>
      <c r="I3134" s="2">
        <v>6.5</v>
      </c>
      <c r="J3134" s="3">
        <v>74273505</v>
      </c>
      <c r="K3134">
        <f t="shared" si="104"/>
        <v>1.3775047412552699E-3</v>
      </c>
      <c r="R3134" s="12" t="str">
        <f ca="1">IFERROR(__xludf.DUMMYFUNCTION("""COMPUTED_VALUE"""),"Novocaine ")</f>
        <v>Novocaine </v>
      </c>
      <c r="S3134" s="12">
        <f t="shared" si="105"/>
        <v>-464447581</v>
      </c>
    </row>
    <row r="3135" spans="1:19" x14ac:dyDescent="0.3">
      <c r="A3135" s="2" t="s">
        <v>316</v>
      </c>
      <c r="B3135" s="2">
        <v>116</v>
      </c>
      <c r="C3135" s="3">
        <v>900926</v>
      </c>
      <c r="D3135" s="3" t="s">
        <v>5849</v>
      </c>
      <c r="E3135" s="2" t="s">
        <v>588</v>
      </c>
      <c r="F3135" s="2" t="s">
        <v>10</v>
      </c>
      <c r="G3135" s="2" t="s">
        <v>11</v>
      </c>
      <c r="H3135" s="2">
        <v>68000000</v>
      </c>
      <c r="I3135" s="2">
        <v>6.2</v>
      </c>
      <c r="J3135" s="3">
        <v>74329966</v>
      </c>
      <c r="K3135">
        <f t="shared" si="104"/>
        <v>1.3775047412552699E-3</v>
      </c>
      <c r="R3135" s="12" t="str">
        <f ca="1">IFERROR(__xludf.DUMMYFUNCTION("""COMPUTED_VALUE"""),"The Wackness ")</f>
        <v>The Wackness </v>
      </c>
      <c r="S3135" s="12">
        <f t="shared" si="105"/>
        <v>-1994515</v>
      </c>
    </row>
    <row r="3136" spans="1:19" x14ac:dyDescent="0.3">
      <c r="A3136" s="2" t="s">
        <v>1551</v>
      </c>
      <c r="B3136" s="2">
        <v>90</v>
      </c>
      <c r="C3136" s="3">
        <v>17096053</v>
      </c>
      <c r="D3136" s="3" t="s">
        <v>5940</v>
      </c>
      <c r="E3136" s="2" t="s">
        <v>2130</v>
      </c>
      <c r="F3136" s="2" t="s">
        <v>10</v>
      </c>
      <c r="G3136" s="2" t="s">
        <v>2131</v>
      </c>
      <c r="H3136" s="2">
        <v>28000000</v>
      </c>
      <c r="I3136" s="2">
        <v>5.9</v>
      </c>
      <c r="J3136" s="3">
        <v>74484168</v>
      </c>
      <c r="K3136">
        <f t="shared" si="104"/>
        <v>1.3775047412552699E-3</v>
      </c>
      <c r="R3136" s="12" t="str">
        <f ca="1">IFERROR(__xludf.DUMMYFUNCTION("""COMPUTED_VALUE"""),"Beastmaster 2: Through the Portal of Time ")</f>
        <v>Beastmaster 2: Through the Portal of Time </v>
      </c>
      <c r="S3136" s="12">
        <f t="shared" si="105"/>
        <v>-55487256</v>
      </c>
    </row>
    <row r="3137" spans="1:19" x14ac:dyDescent="0.3">
      <c r="A3137" s="2" t="s">
        <v>1788</v>
      </c>
      <c r="B3137" s="2">
        <v>90</v>
      </c>
      <c r="C3137" s="3">
        <v>3071947</v>
      </c>
      <c r="D3137" s="3" t="s">
        <v>6151</v>
      </c>
      <c r="E3137" s="2" t="s">
        <v>4520</v>
      </c>
      <c r="F3137" s="2" t="s">
        <v>10</v>
      </c>
      <c r="G3137" s="2" t="s">
        <v>11</v>
      </c>
      <c r="H3137" s="2">
        <v>6000000</v>
      </c>
      <c r="I3137" s="2">
        <v>7.2</v>
      </c>
      <c r="J3137" s="3">
        <v>74540762</v>
      </c>
      <c r="K3137">
        <f t="shared" si="104"/>
        <v>1.3775047412552699E-3</v>
      </c>
      <c r="R3137" s="12" t="str">
        <f ca="1">IFERROR(__xludf.DUMMYFUNCTION("""COMPUTED_VALUE"""),"The 5th Quarter ")</f>
        <v>The 5th Quarter </v>
      </c>
      <c r="S3137" s="12">
        <f t="shared" si="105"/>
        <v>8649886</v>
      </c>
    </row>
    <row r="3138" spans="1:19" x14ac:dyDescent="0.3">
      <c r="A3138" s="2" t="s">
        <v>978</v>
      </c>
      <c r="B3138" s="2">
        <v>118</v>
      </c>
      <c r="C3138" s="3">
        <v>25117498</v>
      </c>
      <c r="D3138" s="3" t="s">
        <v>6144</v>
      </c>
      <c r="E3138" s="2" t="s">
        <v>1346</v>
      </c>
      <c r="F3138" s="2" t="s">
        <v>10</v>
      </c>
      <c r="G3138" s="2" t="s">
        <v>11</v>
      </c>
      <c r="H3138" s="2">
        <v>50000000</v>
      </c>
      <c r="I3138" s="2">
        <v>7.4</v>
      </c>
      <c r="J3138" s="3">
        <v>74608545</v>
      </c>
      <c r="K3138">
        <f t="shared" ref="K3138:K3201" si="106">CORREL(H$2:H$3941,J$2:J$3941)</f>
        <v>1.3775047412552699E-3</v>
      </c>
      <c r="R3138" s="12" t="str">
        <f ca="1">IFERROR(__xludf.DUMMYFUNCTION("""COMPUTED_VALUE"""),"The Greatest ")</f>
        <v>The Greatest </v>
      </c>
      <c r="S3138" s="12">
        <f t="shared" si="105"/>
        <v>-89530053</v>
      </c>
    </row>
    <row r="3139" spans="1:19" x14ac:dyDescent="0.3">
      <c r="A3139" s="2" t="s">
        <v>167</v>
      </c>
      <c r="B3139" s="2">
        <v>93</v>
      </c>
      <c r="C3139" s="3">
        <v>16964743</v>
      </c>
      <c r="D3139" s="3" t="s">
        <v>5940</v>
      </c>
      <c r="E3139" s="2" t="s">
        <v>1912</v>
      </c>
      <c r="F3139" s="2" t="s">
        <v>10</v>
      </c>
      <c r="G3139" s="2" t="s">
        <v>11</v>
      </c>
      <c r="H3139" s="2">
        <v>36000000</v>
      </c>
      <c r="I3139" s="2">
        <v>6.9</v>
      </c>
      <c r="J3139" s="3">
        <v>74787599</v>
      </c>
      <c r="K3139">
        <f t="shared" si="106"/>
        <v>1.3775047412552699E-3</v>
      </c>
      <c r="R3139" s="12" t="str">
        <f ca="1">IFERROR(__xludf.DUMMYFUNCTION("""COMPUTED_VALUE"""),"Snow Flower and the Secret Fan ")</f>
        <v>Snow Flower and the Secret Fan </v>
      </c>
      <c r="S3139" s="12">
        <f t="shared" si="105"/>
        <v>-2666342</v>
      </c>
    </row>
    <row r="3140" spans="1:19" x14ac:dyDescent="0.3">
      <c r="A3140" s="2" t="s">
        <v>1347</v>
      </c>
      <c r="B3140" s="2">
        <v>89</v>
      </c>
      <c r="C3140" s="3">
        <v>20384136</v>
      </c>
      <c r="D3140" s="3" t="s">
        <v>5913</v>
      </c>
      <c r="E3140" s="2" t="s">
        <v>2357</v>
      </c>
      <c r="F3140" s="2" t="s">
        <v>10</v>
      </c>
      <c r="G3140" s="2" t="s">
        <v>16</v>
      </c>
      <c r="H3140" s="2">
        <v>29000000</v>
      </c>
      <c r="I3140" s="2">
        <v>5.8</v>
      </c>
      <c r="J3140" s="3">
        <v>74888996</v>
      </c>
      <c r="K3140">
        <f t="shared" si="106"/>
        <v>1.3775047412552699E-3</v>
      </c>
      <c r="R3140" s="12" t="str">
        <f ca="1">IFERROR(__xludf.DUMMYFUNCTION("""COMPUTED_VALUE"""),"Come Early Morning ")</f>
        <v>Come Early Morning </v>
      </c>
      <c r="S3140" s="12">
        <f t="shared" si="105"/>
        <v>-2698695</v>
      </c>
    </row>
    <row r="3141" spans="1:19" x14ac:dyDescent="0.3">
      <c r="A3141" s="2" t="s">
        <v>1136</v>
      </c>
      <c r="B3141" s="2">
        <v>100</v>
      </c>
      <c r="C3141" s="3">
        <v>265107</v>
      </c>
      <c r="D3141" s="3" t="s">
        <v>885</v>
      </c>
      <c r="E3141" s="2" t="s">
        <v>2481</v>
      </c>
      <c r="F3141" s="2" t="s">
        <v>10</v>
      </c>
      <c r="G3141" s="2" t="s">
        <v>11</v>
      </c>
      <c r="H3141" s="2">
        <v>26000000</v>
      </c>
      <c r="I3141" s="2">
        <v>5.2</v>
      </c>
      <c r="J3141" s="3">
        <v>75030163</v>
      </c>
      <c r="K3141">
        <f t="shared" si="106"/>
        <v>1.3775047412552699E-3</v>
      </c>
      <c r="R3141" s="12" t="str">
        <f ca="1">IFERROR(__xludf.DUMMYFUNCTION("""COMPUTED_VALUE"""),"Lucky Break ")</f>
        <v>Lucky Break </v>
      </c>
      <c r="S3141" s="12">
        <f t="shared" si="105"/>
        <v>27438300</v>
      </c>
    </row>
    <row r="3142" spans="1:19" x14ac:dyDescent="0.3">
      <c r="A3142" s="2" t="s">
        <v>4777</v>
      </c>
      <c r="B3142" s="2">
        <v>93</v>
      </c>
      <c r="C3142" s="3">
        <v>32800000</v>
      </c>
      <c r="D3142" s="3" t="s">
        <v>6413</v>
      </c>
      <c r="E3142" s="2" t="s">
        <v>4778</v>
      </c>
      <c r="F3142" s="2" t="s">
        <v>10</v>
      </c>
      <c r="G3142" s="2" t="s">
        <v>504</v>
      </c>
      <c r="H3142" s="2">
        <v>5000000</v>
      </c>
      <c r="I3142" s="2">
        <v>4</v>
      </c>
      <c r="J3142" s="3">
        <v>75072454</v>
      </c>
      <c r="K3142">
        <f t="shared" si="106"/>
        <v>1.3775047412552699E-3</v>
      </c>
      <c r="R3142" s="12" t="str">
        <f ca="1">IFERROR(__xludf.DUMMYFUNCTION("""COMPUTED_VALUE"""),"Surfer, Dude ")</f>
        <v>Surfer, Dude </v>
      </c>
      <c r="S3142" s="12">
        <f t="shared" si="105"/>
        <v>-10772676</v>
      </c>
    </row>
    <row r="3143" spans="1:19" x14ac:dyDescent="0.3">
      <c r="A3143" s="2" t="s">
        <v>3245</v>
      </c>
      <c r="B3143" s="2">
        <v>87</v>
      </c>
      <c r="C3143" s="3">
        <v>45489752</v>
      </c>
      <c r="D3143" s="3" t="s">
        <v>5940</v>
      </c>
      <c r="E3143" s="2" t="s">
        <v>3246</v>
      </c>
      <c r="F3143" s="2" t="s">
        <v>10</v>
      </c>
      <c r="G3143" s="2" t="s">
        <v>11</v>
      </c>
      <c r="H3143" s="2">
        <v>17000000</v>
      </c>
      <c r="I3143" s="2">
        <v>5.0999999999999996</v>
      </c>
      <c r="J3143" s="3">
        <v>75074950</v>
      </c>
      <c r="K3143">
        <f t="shared" si="106"/>
        <v>1.3775047412552699E-3</v>
      </c>
      <c r="R3143" s="12" t="str">
        <f ca="1">IFERROR(__xludf.DUMMYFUNCTION("""COMPUTED_VALUE"""),"Deadfall ")</f>
        <v>Deadfall </v>
      </c>
      <c r="S3143" s="12">
        <f t="shared" si="105"/>
        <v>-2998668</v>
      </c>
    </row>
    <row r="3144" spans="1:19" x14ac:dyDescent="0.3">
      <c r="A3144" s="2" t="s">
        <v>2903</v>
      </c>
      <c r="B3144" s="2">
        <v>98</v>
      </c>
      <c r="C3144" s="3">
        <v>10037390</v>
      </c>
      <c r="D3144" s="3" t="s">
        <v>5940</v>
      </c>
      <c r="E3144" s="2" t="s">
        <v>3971</v>
      </c>
      <c r="F3144" s="2" t="s">
        <v>10</v>
      </c>
      <c r="G3144" s="2" t="s">
        <v>11</v>
      </c>
      <c r="H3144" s="2">
        <v>10000000</v>
      </c>
      <c r="I3144" s="2">
        <v>5.9</v>
      </c>
      <c r="J3144" s="3">
        <v>75274748</v>
      </c>
      <c r="K3144">
        <f t="shared" si="106"/>
        <v>1.3775047412552699E-3</v>
      </c>
      <c r="R3144" s="12" t="str">
        <f ca="1">IFERROR(__xludf.DUMMYFUNCTION("""COMPUTED_VALUE"""),"L'auberge espagnole ")</f>
        <v>L'auberge espagnole </v>
      </c>
      <c r="S3144" s="12">
        <f t="shared" si="105"/>
        <v>-6937520</v>
      </c>
    </row>
    <row r="3145" spans="1:19" x14ac:dyDescent="0.3">
      <c r="A3145" s="2" t="s">
        <v>2759</v>
      </c>
      <c r="B3145" s="2">
        <v>113</v>
      </c>
      <c r="C3145" s="3">
        <v>3100650</v>
      </c>
      <c r="D3145" s="3" t="s">
        <v>6438</v>
      </c>
      <c r="E3145" s="2" t="s">
        <v>3930</v>
      </c>
      <c r="F3145" s="2" t="s">
        <v>10</v>
      </c>
      <c r="G3145" s="2" t="s">
        <v>11</v>
      </c>
      <c r="H3145" s="2">
        <v>11000000</v>
      </c>
      <c r="I3145" s="2">
        <v>6.2</v>
      </c>
      <c r="J3145" s="3">
        <v>75280058</v>
      </c>
      <c r="K3145">
        <f t="shared" si="106"/>
        <v>1.3775047412552699E-3</v>
      </c>
      <c r="R3145" s="12" t="str">
        <f ca="1">IFERROR(__xludf.DUMMYFUNCTION("""COMPUTED_VALUE"""),"Song One ")</f>
        <v>Song One </v>
      </c>
      <c r="S3145" s="12">
        <f t="shared" si="105"/>
        <v>-24535345</v>
      </c>
    </row>
    <row r="3146" spans="1:19" x14ac:dyDescent="0.3">
      <c r="A3146" s="2" t="s">
        <v>181</v>
      </c>
      <c r="B3146" s="2">
        <v>131</v>
      </c>
      <c r="C3146" s="3">
        <v>10070000</v>
      </c>
      <c r="D3146" s="3" t="s">
        <v>5869</v>
      </c>
      <c r="E3146" s="2" t="s">
        <v>470</v>
      </c>
      <c r="F3146" s="2" t="s">
        <v>10</v>
      </c>
      <c r="G3146" s="2" t="s">
        <v>11</v>
      </c>
      <c r="H3146" s="2">
        <v>100000000</v>
      </c>
      <c r="I3146" s="2">
        <v>6.9</v>
      </c>
      <c r="J3146" s="3">
        <v>75305995</v>
      </c>
      <c r="K3146">
        <f t="shared" si="106"/>
        <v>1.3775047412552699E-3</v>
      </c>
      <c r="R3146" s="12" t="str">
        <f ca="1">IFERROR(__xludf.DUMMYFUNCTION("""COMPUTED_VALUE"""),"Winter in Wartime ")</f>
        <v>Winter in Wartime </v>
      </c>
      <c r="S3146" s="12">
        <f t="shared" si="105"/>
        <v>-129093334</v>
      </c>
    </row>
    <row r="3147" spans="1:19" x14ac:dyDescent="0.3">
      <c r="A3147" s="2" t="s">
        <v>1915</v>
      </c>
      <c r="B3147" s="2">
        <v>100</v>
      </c>
      <c r="C3147" s="3">
        <v>5709616</v>
      </c>
      <c r="D3147" s="3" t="s">
        <v>5910</v>
      </c>
      <c r="E3147" s="2" t="s">
        <v>3660</v>
      </c>
      <c r="F3147" s="2" t="s">
        <v>10</v>
      </c>
      <c r="G3147" s="2" t="s">
        <v>11</v>
      </c>
      <c r="H3147" s="2">
        <v>12500000</v>
      </c>
      <c r="I3147" s="2">
        <v>6.1</v>
      </c>
      <c r="J3147" s="3">
        <v>75367693</v>
      </c>
      <c r="K3147">
        <f t="shared" si="106"/>
        <v>1.3775047412552699E-3</v>
      </c>
      <c r="R3147" s="12" t="str">
        <f ca="1">IFERROR(__xludf.DUMMYFUNCTION("""COMPUTED_VALUE"""),"The Protector ")</f>
        <v>The Protector </v>
      </c>
      <c r="S3147" s="12">
        <f t="shared" si="105"/>
        <v>35600435</v>
      </c>
    </row>
    <row r="3148" spans="1:19" x14ac:dyDescent="0.3">
      <c r="A3148" s="2" t="s">
        <v>1965</v>
      </c>
      <c r="B3148" s="2">
        <v>118</v>
      </c>
      <c r="C3148" s="3">
        <v>3058380</v>
      </c>
      <c r="D3148" s="3" t="s">
        <v>6147</v>
      </c>
      <c r="E3148" s="2" t="s">
        <v>2206</v>
      </c>
      <c r="F3148" s="2" t="s">
        <v>10</v>
      </c>
      <c r="G3148" s="2" t="s">
        <v>11</v>
      </c>
      <c r="H3148" s="2">
        <v>30000000</v>
      </c>
      <c r="I3148" s="2">
        <v>7.2</v>
      </c>
      <c r="J3148" s="3">
        <v>75370763</v>
      </c>
      <c r="K3148">
        <f t="shared" si="106"/>
        <v>1.3775047412552699E-3</v>
      </c>
      <c r="R3148" s="12" t="str">
        <f ca="1">IFERROR(__xludf.DUMMYFUNCTION("""COMPUTED_VALUE"""),"Bend It Like Beckham ")</f>
        <v>Bend It Like Beckham </v>
      </c>
      <c r="S3148" s="12">
        <f t="shared" si="105"/>
        <v>-29990323</v>
      </c>
    </row>
    <row r="3149" spans="1:19" x14ac:dyDescent="0.3">
      <c r="A3149" s="2" t="s">
        <v>2965</v>
      </c>
      <c r="B3149" s="2">
        <v>89</v>
      </c>
      <c r="C3149" s="3">
        <v>3050934</v>
      </c>
      <c r="D3149" s="3" t="s">
        <v>6272</v>
      </c>
      <c r="E3149" s="2" t="s">
        <v>4273</v>
      </c>
      <c r="F3149" s="2" t="s">
        <v>10</v>
      </c>
      <c r="G3149" s="2" t="s">
        <v>11</v>
      </c>
      <c r="H3149" s="2">
        <v>8000000</v>
      </c>
      <c r="I3149" s="2">
        <v>5.0999999999999996</v>
      </c>
      <c r="J3149" s="3">
        <v>75530832</v>
      </c>
      <c r="K3149">
        <f t="shared" si="106"/>
        <v>1.3775047412552699E-3</v>
      </c>
      <c r="R3149" s="12" t="str">
        <f ca="1">IFERROR(__xludf.DUMMYFUNCTION("""COMPUTED_VALUE"""),"Sunshine State ")</f>
        <v>Sunshine State </v>
      </c>
      <c r="S3149" s="12">
        <f t="shared" si="105"/>
        <v>-26925162</v>
      </c>
    </row>
    <row r="3150" spans="1:19" x14ac:dyDescent="0.3">
      <c r="A3150" s="2" t="s">
        <v>1788</v>
      </c>
      <c r="B3150" s="2">
        <v>101</v>
      </c>
      <c r="C3150" s="3">
        <v>2961991</v>
      </c>
      <c r="D3150" s="3" t="s">
        <v>6148</v>
      </c>
      <c r="E3150" s="2" t="s">
        <v>4764</v>
      </c>
      <c r="F3150" s="2" t="s">
        <v>10</v>
      </c>
      <c r="G3150" s="2" t="s">
        <v>11</v>
      </c>
      <c r="H3150" s="2">
        <v>4000000</v>
      </c>
      <c r="I3150" s="2">
        <v>7.8</v>
      </c>
      <c r="J3150" s="3">
        <v>75573300</v>
      </c>
      <c r="K3150">
        <f t="shared" si="106"/>
        <v>1.3775047412552699E-3</v>
      </c>
      <c r="R3150" s="12" t="str">
        <f ca="1">IFERROR(__xludf.DUMMYFUNCTION("""COMPUTED_VALUE"""),"Crossover ")</f>
        <v>Crossover </v>
      </c>
      <c r="S3150" s="12">
        <f t="shared" si="105"/>
        <v>-18707881</v>
      </c>
    </row>
    <row r="3151" spans="1:19" x14ac:dyDescent="0.3">
      <c r="A3151" s="2" t="s">
        <v>1191</v>
      </c>
      <c r="B3151" s="2">
        <v>113</v>
      </c>
      <c r="C3151" s="3">
        <v>25517500</v>
      </c>
      <c r="D3151" s="3" t="s">
        <v>6439</v>
      </c>
      <c r="E3151" s="2" t="s">
        <v>2929</v>
      </c>
      <c r="F3151" s="2" t="s">
        <v>10</v>
      </c>
      <c r="G3151" s="2" t="s">
        <v>11</v>
      </c>
      <c r="H3151" s="2">
        <v>20000000</v>
      </c>
      <c r="I3151" s="2">
        <v>6.9</v>
      </c>
      <c r="J3151" s="3">
        <v>75590286</v>
      </c>
      <c r="K3151">
        <f t="shared" si="106"/>
        <v>1.3775047412552699E-3</v>
      </c>
      <c r="R3151" s="12" t="str">
        <f ca="1">IFERROR(__xludf.DUMMYFUNCTION("""COMPUTED_VALUE"""),"[Rec] 2 ")</f>
        <v>[Rec] 2 </v>
      </c>
      <c r="S3151" s="12">
        <f t="shared" si="105"/>
        <v>-54268897</v>
      </c>
    </row>
    <row r="3152" spans="1:19" x14ac:dyDescent="0.3">
      <c r="A3152" s="2" t="s">
        <v>1677</v>
      </c>
      <c r="B3152" s="2">
        <v>103</v>
      </c>
      <c r="C3152" s="2">
        <v>103001286</v>
      </c>
      <c r="D3152" s="3" t="s">
        <v>6440</v>
      </c>
      <c r="E3152" s="2" t="s">
        <v>3096</v>
      </c>
      <c r="F3152" s="2" t="s">
        <v>10</v>
      </c>
      <c r="G3152" s="2" t="s">
        <v>11</v>
      </c>
      <c r="H3152" s="2">
        <v>15000000</v>
      </c>
      <c r="I3152" s="2">
        <v>7.2</v>
      </c>
      <c r="J3152" s="3">
        <v>75597042</v>
      </c>
      <c r="K3152">
        <f t="shared" si="106"/>
        <v>1.3775047412552699E-3</v>
      </c>
      <c r="R3152" s="12" t="str">
        <f ca="1">IFERROR(__xludf.DUMMYFUNCTION("""COMPUTED_VALUE"""),"The Sting ")</f>
        <v>The Sting </v>
      </c>
      <c r="S3152" s="12">
        <f t="shared" si="105"/>
        <v>-34980041</v>
      </c>
    </row>
    <row r="3153" spans="1:19" x14ac:dyDescent="0.3">
      <c r="A3153" s="2" t="s">
        <v>4253</v>
      </c>
      <c r="B3153" s="2">
        <v>94</v>
      </c>
      <c r="C3153" s="3">
        <v>1523883</v>
      </c>
      <c r="D3153" s="3" t="s">
        <v>1703</v>
      </c>
      <c r="E3153" s="2" t="s">
        <v>4254</v>
      </c>
      <c r="F3153" s="2" t="s">
        <v>10</v>
      </c>
      <c r="G3153" s="2" t="s">
        <v>11</v>
      </c>
      <c r="H3153" s="2">
        <v>8000000</v>
      </c>
      <c r="I3153" s="2">
        <v>6.1</v>
      </c>
      <c r="J3153" s="3">
        <v>75600000</v>
      </c>
      <c r="K3153">
        <f t="shared" si="106"/>
        <v>1.3775047412552699E-3</v>
      </c>
      <c r="R3153" s="12" t="str">
        <f ca="1">IFERROR(__xludf.DUMMYFUNCTION("""COMPUTED_VALUE"""),"Chariots of Fire ")</f>
        <v>Chariots of Fire </v>
      </c>
      <c r="S3153" s="12">
        <f t="shared" si="105"/>
        <v>8184015</v>
      </c>
    </row>
    <row r="3154" spans="1:19" x14ac:dyDescent="0.3">
      <c r="A3154" s="2" t="s">
        <v>494</v>
      </c>
      <c r="B3154" s="2">
        <v>131</v>
      </c>
      <c r="C3154" s="3">
        <v>4922166</v>
      </c>
      <c r="D3154" s="3" t="s">
        <v>1703</v>
      </c>
      <c r="E3154" s="2" t="s">
        <v>495</v>
      </c>
      <c r="F3154" s="2" t="s">
        <v>10</v>
      </c>
      <c r="G3154" s="2" t="s">
        <v>11</v>
      </c>
      <c r="H3154" s="2">
        <v>90000000</v>
      </c>
      <c r="I3154" s="2">
        <v>6.1</v>
      </c>
      <c r="J3154" s="3">
        <v>75604320</v>
      </c>
      <c r="K3154">
        <f t="shared" si="106"/>
        <v>1.3775047412552699E-3</v>
      </c>
      <c r="R3154" s="12" t="str">
        <f ca="1">IFERROR(__xludf.DUMMYFUNCTION("""COMPUTED_VALUE"""),"Diary of a Mad Black Woman ")</f>
        <v>Diary of a Mad Black Woman </v>
      </c>
      <c r="S3154" s="12">
        <f t="shared" si="105"/>
        <v>-3923864</v>
      </c>
    </row>
    <row r="3155" spans="1:19" x14ac:dyDescent="0.3">
      <c r="A3155" s="2" t="s">
        <v>311</v>
      </c>
      <c r="B3155" s="2">
        <v>94</v>
      </c>
      <c r="C3155" s="3">
        <v>5739376</v>
      </c>
      <c r="D3155" s="3" t="s">
        <v>6195</v>
      </c>
      <c r="E3155" s="2" t="s">
        <v>312</v>
      </c>
      <c r="F3155" s="2" t="s">
        <v>10</v>
      </c>
      <c r="G3155" s="2" t="s">
        <v>11</v>
      </c>
      <c r="H3155" s="2">
        <v>135000000</v>
      </c>
      <c r="I3155" s="2">
        <v>6.7</v>
      </c>
      <c r="J3155" s="3">
        <v>75605492</v>
      </c>
      <c r="K3155">
        <f t="shared" si="106"/>
        <v>1.3775047412552699E-3</v>
      </c>
      <c r="R3155" s="12" t="str">
        <f ca="1">IFERROR(__xludf.DUMMYFUNCTION("""COMPUTED_VALUE"""),"Shine ")</f>
        <v>Shine </v>
      </c>
      <c r="S3155" s="12">
        <f t="shared" si="105"/>
        <v>694798</v>
      </c>
    </row>
    <row r="3156" spans="1:19" x14ac:dyDescent="0.3">
      <c r="A3156" s="2" t="s">
        <v>695</v>
      </c>
      <c r="B3156" s="2">
        <v>94</v>
      </c>
      <c r="C3156" s="3">
        <v>3081925</v>
      </c>
      <c r="D3156" s="3" t="s">
        <v>6243</v>
      </c>
      <c r="E3156" s="2" t="s">
        <v>2037</v>
      </c>
      <c r="F3156" s="2" t="s">
        <v>10</v>
      </c>
      <c r="G3156" s="2" t="s">
        <v>11</v>
      </c>
      <c r="H3156" s="2">
        <v>35000000</v>
      </c>
      <c r="I3156" s="2">
        <v>6</v>
      </c>
      <c r="J3156" s="3">
        <v>75638743</v>
      </c>
      <c r="K3156">
        <f t="shared" si="106"/>
        <v>1.3775047412552699E-3</v>
      </c>
      <c r="R3156" s="12" t="str">
        <f ca="1">IFERROR(__xludf.DUMMYFUNCTION("""COMPUTED_VALUE"""),"Don Jon ")</f>
        <v>Don Jon </v>
      </c>
      <c r="S3156" s="12">
        <f t="shared" si="105"/>
        <v>-3839915</v>
      </c>
    </row>
    <row r="3157" spans="1:19" x14ac:dyDescent="0.3">
      <c r="A3157" s="2" t="s">
        <v>4029</v>
      </c>
      <c r="B3157" s="2">
        <v>90</v>
      </c>
      <c r="C3157" s="3">
        <v>12282677</v>
      </c>
      <c r="D3157" s="3" t="s">
        <v>5940</v>
      </c>
      <c r="E3157" s="2" t="s">
        <v>5146</v>
      </c>
      <c r="F3157" s="2" t="s">
        <v>10</v>
      </c>
      <c r="G3157" s="2" t="s">
        <v>11</v>
      </c>
      <c r="H3157" s="2">
        <v>1500000</v>
      </c>
      <c r="I3157" s="2">
        <v>6.6</v>
      </c>
      <c r="J3157" s="3">
        <v>75668868</v>
      </c>
      <c r="K3157">
        <f t="shared" si="106"/>
        <v>1.3775047412552699E-3</v>
      </c>
      <c r="R3157" s="12" t="str">
        <f ca="1">IFERROR(__xludf.DUMMYFUNCTION("""COMPUTED_VALUE"""),"Ghost World ")</f>
        <v>Ghost World </v>
      </c>
      <c r="S3157" s="12">
        <f t="shared" si="105"/>
        <v>-67099074</v>
      </c>
    </row>
    <row r="3158" spans="1:19" x14ac:dyDescent="0.3">
      <c r="A3158" s="2" t="s">
        <v>2451</v>
      </c>
      <c r="B3158" s="2">
        <v>102</v>
      </c>
      <c r="C3158" s="3">
        <v>671240</v>
      </c>
      <c r="D3158" s="3" t="s">
        <v>1703</v>
      </c>
      <c r="E3158" s="2" t="s">
        <v>4425</v>
      </c>
      <c r="F3158" s="2" t="s">
        <v>10</v>
      </c>
      <c r="G3158" s="2" t="s">
        <v>11</v>
      </c>
      <c r="H3158" s="2">
        <v>6900000</v>
      </c>
      <c r="I3158" s="2">
        <v>7.7</v>
      </c>
      <c r="J3158" s="3">
        <v>75754670</v>
      </c>
      <c r="K3158">
        <f t="shared" si="106"/>
        <v>1.3775047412552699E-3</v>
      </c>
      <c r="R3158" s="12" t="str">
        <f ca="1">IFERROR(__xludf.DUMMYFUNCTION("""COMPUTED_VALUE"""),"Iris ")</f>
        <v>Iris </v>
      </c>
      <c r="S3158" s="12">
        <f t="shared" si="105"/>
        <v>-10903947</v>
      </c>
    </row>
    <row r="3159" spans="1:19" x14ac:dyDescent="0.3">
      <c r="A3159" s="2" t="s">
        <v>4440</v>
      </c>
      <c r="B3159" s="2">
        <v>88</v>
      </c>
      <c r="C3159" s="3">
        <v>3047539</v>
      </c>
      <c r="D3159" s="3" t="s">
        <v>6157</v>
      </c>
      <c r="E3159" s="2" t="s">
        <v>4441</v>
      </c>
      <c r="F3159" s="2" t="s">
        <v>10</v>
      </c>
      <c r="G3159" s="2" t="s">
        <v>98</v>
      </c>
      <c r="H3159" s="2">
        <v>6500000</v>
      </c>
      <c r="I3159" s="2">
        <v>6.3</v>
      </c>
      <c r="J3159" s="3">
        <v>75764085</v>
      </c>
      <c r="K3159">
        <f t="shared" si="106"/>
        <v>1.3775047412552699E-3</v>
      </c>
      <c r="R3159" s="12" t="str">
        <f ca="1">IFERROR(__xludf.DUMMYFUNCTION("""COMPUTED_VALUE"""),"The Chorus ")</f>
        <v>The Chorus </v>
      </c>
      <c r="S3159" s="12">
        <f t="shared" si="105"/>
        <v>-2928053</v>
      </c>
    </row>
    <row r="3160" spans="1:19" x14ac:dyDescent="0.3">
      <c r="A3160" s="2" t="s">
        <v>1333</v>
      </c>
      <c r="B3160" s="2">
        <v>118</v>
      </c>
      <c r="C3160" s="3">
        <v>454255</v>
      </c>
      <c r="D3160" s="3" t="s">
        <v>6221</v>
      </c>
      <c r="E3160" s="2" t="s">
        <v>1911</v>
      </c>
      <c r="F3160" s="2" t="s">
        <v>10</v>
      </c>
      <c r="G3160" s="2" t="s">
        <v>11</v>
      </c>
      <c r="H3160" s="2">
        <v>37000000</v>
      </c>
      <c r="I3160" s="2">
        <v>7</v>
      </c>
      <c r="J3160" s="3">
        <v>75817994</v>
      </c>
      <c r="K3160">
        <f t="shared" si="106"/>
        <v>1.3775047412552699E-3</v>
      </c>
      <c r="R3160" s="12" t="str">
        <f ca="1">IFERROR(__xludf.DUMMYFUNCTION("""COMPUTED_VALUE"""),"Mambo Italiano ")</f>
        <v>Mambo Italiano </v>
      </c>
      <c r="S3160" s="12">
        <f t="shared" si="105"/>
        <v>-24882502</v>
      </c>
    </row>
    <row r="3161" spans="1:19" x14ac:dyDescent="0.3">
      <c r="A3161" s="2" t="s">
        <v>5553</v>
      </c>
      <c r="B3161" s="2">
        <v>92</v>
      </c>
      <c r="C3161" s="3">
        <v>883887</v>
      </c>
      <c r="D3161" s="3" t="s">
        <v>6121</v>
      </c>
      <c r="E3161" s="2" t="s">
        <v>5554</v>
      </c>
      <c r="F3161" s="2" t="s">
        <v>10</v>
      </c>
      <c r="G3161" s="2" t="s">
        <v>11</v>
      </c>
      <c r="H3161" s="2">
        <v>400000</v>
      </c>
      <c r="I3161" s="2">
        <v>5.0999999999999996</v>
      </c>
      <c r="J3161" s="3">
        <v>76081498</v>
      </c>
      <c r="K3161">
        <f t="shared" si="106"/>
        <v>1.3775047412552699E-3</v>
      </c>
      <c r="R3161" s="12" t="str">
        <f ca="1">IFERROR(__xludf.DUMMYFUNCTION("""COMPUTED_VALUE"""),"Wonderland ")</f>
        <v>Wonderland </v>
      </c>
      <c r="S3161" s="12">
        <f t="shared" ref="S3161:S3224" si="107">C3139-H3139</f>
        <v>-19035257</v>
      </c>
    </row>
    <row r="3162" spans="1:19" x14ac:dyDescent="0.3">
      <c r="A3162" s="2" t="s">
        <v>1604</v>
      </c>
      <c r="B3162" s="2">
        <v>103</v>
      </c>
      <c r="C3162" s="3">
        <v>4563029</v>
      </c>
      <c r="D3162" s="3" t="s">
        <v>6272</v>
      </c>
      <c r="E3162" s="2" t="s">
        <v>4414</v>
      </c>
      <c r="F3162" s="2" t="s">
        <v>10</v>
      </c>
      <c r="G3162" s="2" t="s">
        <v>11</v>
      </c>
      <c r="H3162" s="2">
        <v>3500000</v>
      </c>
      <c r="I3162" s="2">
        <v>6.2</v>
      </c>
      <c r="J3162" s="3">
        <v>76137505</v>
      </c>
      <c r="K3162">
        <f t="shared" si="106"/>
        <v>1.3775047412552699E-3</v>
      </c>
      <c r="R3162" s="12" t="str">
        <f ca="1">IFERROR(__xludf.DUMMYFUNCTION("""COMPUTED_VALUE"""),"Do the Right Thing ")</f>
        <v>Do the Right Thing </v>
      </c>
      <c r="S3162" s="12">
        <f t="shared" si="107"/>
        <v>-8615864</v>
      </c>
    </row>
    <row r="3163" spans="1:19" x14ac:dyDescent="0.3">
      <c r="A3163" s="2" t="s">
        <v>2404</v>
      </c>
      <c r="B3163" s="2">
        <v>110</v>
      </c>
      <c r="C3163" s="3">
        <v>7458269</v>
      </c>
      <c r="D3163" s="3" t="s">
        <v>5857</v>
      </c>
      <c r="E3163" s="2" t="s">
        <v>3844</v>
      </c>
      <c r="F3163" s="2" t="s">
        <v>10</v>
      </c>
      <c r="G3163" s="2" t="s">
        <v>11</v>
      </c>
      <c r="H3163" s="2">
        <v>12000000</v>
      </c>
      <c r="I3163" s="2">
        <v>7.1</v>
      </c>
      <c r="J3163" s="3">
        <v>76261036</v>
      </c>
      <c r="K3163">
        <f t="shared" si="106"/>
        <v>1.3775047412552699E-3</v>
      </c>
      <c r="R3163" s="12" t="str">
        <f ca="1">IFERROR(__xludf.DUMMYFUNCTION("""COMPUTED_VALUE"""),"Harvard Man ")</f>
        <v>Harvard Man </v>
      </c>
      <c r="S3163" s="12">
        <f t="shared" si="107"/>
        <v>-25734893</v>
      </c>
    </row>
    <row r="3164" spans="1:19" x14ac:dyDescent="0.3">
      <c r="A3164" s="2" t="s">
        <v>857</v>
      </c>
      <c r="B3164" s="2">
        <v>125</v>
      </c>
      <c r="C3164" s="3">
        <v>22108977</v>
      </c>
      <c r="D3164" s="3" t="s">
        <v>6056</v>
      </c>
      <c r="E3164" s="2" t="s">
        <v>3583</v>
      </c>
      <c r="F3164" s="2" t="s">
        <v>10</v>
      </c>
      <c r="G3164" s="2" t="s">
        <v>11</v>
      </c>
      <c r="H3164" s="2">
        <v>14000000</v>
      </c>
      <c r="I3164" s="2">
        <v>6.9</v>
      </c>
      <c r="J3164" s="3">
        <v>76270454</v>
      </c>
      <c r="K3164">
        <f t="shared" si="106"/>
        <v>1.3775047412552699E-3</v>
      </c>
      <c r="R3164" s="12" t="str">
        <f ca="1">IFERROR(__xludf.DUMMYFUNCTION("""COMPUTED_VALUE"""),"Le Havre ")</f>
        <v>Le Havre </v>
      </c>
      <c r="S3164" s="12">
        <f t="shared" si="107"/>
        <v>27800000</v>
      </c>
    </row>
    <row r="3165" spans="1:19" x14ac:dyDescent="0.3">
      <c r="A3165" s="2" t="s">
        <v>1949</v>
      </c>
      <c r="B3165" s="2">
        <v>124</v>
      </c>
      <c r="C3165" s="3">
        <v>32774834</v>
      </c>
      <c r="D3165" s="3" t="s">
        <v>5808</v>
      </c>
      <c r="E3165" s="2" t="s">
        <v>2905</v>
      </c>
      <c r="F3165" s="2" t="s">
        <v>10</v>
      </c>
      <c r="G3165" s="2" t="s">
        <v>11</v>
      </c>
      <c r="H3165" s="2">
        <v>20000000</v>
      </c>
      <c r="I3165" s="2">
        <v>5.5</v>
      </c>
      <c r="J3165" s="3">
        <v>76400000</v>
      </c>
      <c r="K3165">
        <f t="shared" si="106"/>
        <v>1.3775047412552699E-3</v>
      </c>
      <c r="R3165" s="12" t="str">
        <f ca="1">IFERROR(__xludf.DUMMYFUNCTION("""COMPUTED_VALUE"""),"R100 ")</f>
        <v>R100 </v>
      </c>
      <c r="S3165" s="12">
        <f t="shared" si="107"/>
        <v>28489752</v>
      </c>
    </row>
    <row r="3166" spans="1:19" x14ac:dyDescent="0.3">
      <c r="A3166" s="2" t="s">
        <v>623</v>
      </c>
      <c r="B3166" s="2">
        <v>138</v>
      </c>
      <c r="C3166" s="3">
        <v>106952327</v>
      </c>
      <c r="D3166" s="3" t="s">
        <v>6148</v>
      </c>
      <c r="E3166" s="2" t="s">
        <v>624</v>
      </c>
      <c r="F3166" s="2" t="s">
        <v>10</v>
      </c>
      <c r="G3166" s="2" t="s">
        <v>11</v>
      </c>
      <c r="H3166" s="2">
        <v>85000000</v>
      </c>
      <c r="I3166" s="2">
        <v>6.9</v>
      </c>
      <c r="J3166" s="3">
        <v>76400000</v>
      </c>
      <c r="K3166">
        <f t="shared" si="106"/>
        <v>1.3775047412552699E-3</v>
      </c>
      <c r="R3166" s="12" t="str">
        <f ca="1">IFERROR(__xludf.DUMMYFUNCTION("""COMPUTED_VALUE"""),"Salvation Boulevard ")</f>
        <v>Salvation Boulevard </v>
      </c>
      <c r="S3166" s="12">
        <f t="shared" si="107"/>
        <v>37390</v>
      </c>
    </row>
    <row r="3167" spans="1:19" x14ac:dyDescent="0.3">
      <c r="A3167" s="2" t="s">
        <v>534</v>
      </c>
      <c r="B3167" s="2">
        <v>126</v>
      </c>
      <c r="C3167" s="3">
        <v>143653</v>
      </c>
      <c r="D3167" s="3" t="s">
        <v>520</v>
      </c>
      <c r="E3167" s="2" t="s">
        <v>3202</v>
      </c>
      <c r="F3167" s="2" t="s">
        <v>3203</v>
      </c>
      <c r="G3167" s="2" t="s">
        <v>3036</v>
      </c>
      <c r="H3167" s="2">
        <v>20000000</v>
      </c>
      <c r="I3167" s="2">
        <v>7.3</v>
      </c>
      <c r="J3167" s="3">
        <v>76418654</v>
      </c>
      <c r="K3167">
        <f t="shared" si="106"/>
        <v>1.3775047412552699E-3</v>
      </c>
      <c r="R3167" s="12" t="str">
        <f ca="1">IFERROR(__xludf.DUMMYFUNCTION("""COMPUTED_VALUE"""),"The Ten ")</f>
        <v>The Ten </v>
      </c>
      <c r="S3167" s="12">
        <f t="shared" si="107"/>
        <v>-7899350</v>
      </c>
    </row>
    <row r="3168" spans="1:19" x14ac:dyDescent="0.3">
      <c r="A3168" s="2" t="s">
        <v>3593</v>
      </c>
      <c r="B3168" s="2">
        <v>107</v>
      </c>
      <c r="C3168" s="3">
        <v>16938179</v>
      </c>
      <c r="D3168" s="3" t="s">
        <v>6144</v>
      </c>
      <c r="E3168" s="2" t="s">
        <v>3594</v>
      </c>
      <c r="F3168" s="2" t="s">
        <v>10</v>
      </c>
      <c r="G3168" s="2" t="s">
        <v>11</v>
      </c>
      <c r="H3168" s="2">
        <v>14000000</v>
      </c>
      <c r="I3168" s="2">
        <v>6.7</v>
      </c>
      <c r="J3168" s="3">
        <v>76501438</v>
      </c>
      <c r="K3168">
        <f t="shared" si="106"/>
        <v>1.3775047412552699E-3</v>
      </c>
      <c r="R3168" s="12" t="str">
        <f ca="1">IFERROR(__xludf.DUMMYFUNCTION("""COMPUTED_VALUE"""),"Headhunters ")</f>
        <v>Headhunters </v>
      </c>
      <c r="S3168" s="12">
        <f t="shared" si="107"/>
        <v>-89930000</v>
      </c>
    </row>
    <row r="3169" spans="1:19" x14ac:dyDescent="0.3">
      <c r="A3169" s="2" t="s">
        <v>5106</v>
      </c>
      <c r="B3169" s="2">
        <v>91</v>
      </c>
      <c r="C3169" s="3">
        <v>13987482</v>
      </c>
      <c r="D3169" s="3" t="s">
        <v>5940</v>
      </c>
      <c r="E3169" s="2" t="s">
        <v>5107</v>
      </c>
      <c r="F3169" s="2" t="s">
        <v>10</v>
      </c>
      <c r="G3169" s="2" t="s">
        <v>11</v>
      </c>
      <c r="H3169" s="2">
        <v>2000000</v>
      </c>
      <c r="I3169" s="2">
        <v>6.7</v>
      </c>
      <c r="J3169" s="3">
        <v>76600000</v>
      </c>
      <c r="K3169">
        <f t="shared" si="106"/>
        <v>1.3775047412552699E-3</v>
      </c>
      <c r="R3169" s="12" t="str">
        <f ca="1">IFERROR(__xludf.DUMMYFUNCTION("""COMPUTED_VALUE"""),"Saint Ralph ")</f>
        <v>Saint Ralph </v>
      </c>
      <c r="S3169" s="12">
        <f t="shared" si="107"/>
        <v>-6790384</v>
      </c>
    </row>
    <row r="3170" spans="1:19" x14ac:dyDescent="0.3">
      <c r="A3170" s="2" t="s">
        <v>698</v>
      </c>
      <c r="B3170" s="2">
        <v>88</v>
      </c>
      <c r="C3170" s="3">
        <v>16930185</v>
      </c>
      <c r="D3170" s="3" t="s">
        <v>6127</v>
      </c>
      <c r="E3170" s="2" t="s">
        <v>699</v>
      </c>
      <c r="F3170" s="2" t="s">
        <v>10</v>
      </c>
      <c r="G3170" s="2" t="s">
        <v>11</v>
      </c>
      <c r="H3170" s="2">
        <v>80000000</v>
      </c>
      <c r="I3170" s="2">
        <v>6.3</v>
      </c>
      <c r="J3170" s="3">
        <v>76806312</v>
      </c>
      <c r="K3170">
        <f t="shared" si="106"/>
        <v>1.3775047412552699E-3</v>
      </c>
      <c r="R3170" s="12" t="str">
        <f ca="1">IFERROR(__xludf.DUMMYFUNCTION("""COMPUTED_VALUE"""),"Insidious: Chapter 2 ")</f>
        <v>Insidious: Chapter 2 </v>
      </c>
      <c r="S3170" s="12">
        <f t="shared" si="107"/>
        <v>-26941620</v>
      </c>
    </row>
    <row r="3171" spans="1:19" x14ac:dyDescent="0.3">
      <c r="A3171" s="2" t="s">
        <v>5023</v>
      </c>
      <c r="B3171" s="2">
        <v>100</v>
      </c>
      <c r="C3171" s="3">
        <v>35688</v>
      </c>
      <c r="D3171" s="3" t="s">
        <v>5970</v>
      </c>
      <c r="E3171" s="2" t="s">
        <v>5024</v>
      </c>
      <c r="F3171" s="2" t="s">
        <v>10</v>
      </c>
      <c r="G3171" s="2" t="s">
        <v>11</v>
      </c>
      <c r="H3171" s="2">
        <v>2500000</v>
      </c>
      <c r="I3171" s="2">
        <v>6.6</v>
      </c>
      <c r="J3171" s="3">
        <v>76846624</v>
      </c>
      <c r="K3171">
        <f t="shared" si="106"/>
        <v>1.3775047412552699E-3</v>
      </c>
      <c r="R3171" s="12" t="str">
        <f ca="1">IFERROR(__xludf.DUMMYFUNCTION("""COMPUTED_VALUE"""),"Saw II ")</f>
        <v>Saw II </v>
      </c>
      <c r="S3171" s="12">
        <f t="shared" si="107"/>
        <v>-4949066</v>
      </c>
    </row>
    <row r="3172" spans="1:19" x14ac:dyDescent="0.3">
      <c r="A3172" s="2" t="s">
        <v>404</v>
      </c>
      <c r="B3172" s="2">
        <v>108</v>
      </c>
      <c r="C3172" s="3">
        <v>1221261</v>
      </c>
      <c r="D3172" s="3" t="s">
        <v>885</v>
      </c>
      <c r="E3172" s="2" t="s">
        <v>2781</v>
      </c>
      <c r="F3172" s="2" t="s">
        <v>10</v>
      </c>
      <c r="G3172" s="2" t="s">
        <v>11</v>
      </c>
      <c r="H3172" s="2">
        <v>21000000</v>
      </c>
      <c r="I3172" s="2">
        <v>6.5</v>
      </c>
      <c r="J3172" s="3">
        <v>77032279</v>
      </c>
      <c r="K3172">
        <f t="shared" si="106"/>
        <v>1.3775047412552699E-3</v>
      </c>
      <c r="R3172" s="12" t="str">
        <f ca="1">IFERROR(__xludf.DUMMYFUNCTION("""COMPUTED_VALUE"""),"10 Cloverfield Lane ")</f>
        <v>10 Cloverfield Lane </v>
      </c>
      <c r="S3172" s="12">
        <f t="shared" si="107"/>
        <v>-1038009</v>
      </c>
    </row>
    <row r="3173" spans="1:19" x14ac:dyDescent="0.3">
      <c r="A3173" s="2" t="s">
        <v>5575</v>
      </c>
      <c r="B3173" s="2">
        <v>76</v>
      </c>
      <c r="C3173" s="3">
        <v>2840417</v>
      </c>
      <c r="D3173" s="3" t="s">
        <v>5940</v>
      </c>
      <c r="E3173" s="2" t="s">
        <v>5576</v>
      </c>
      <c r="F3173" s="2" t="s">
        <v>10</v>
      </c>
      <c r="G3173" s="2" t="s">
        <v>11</v>
      </c>
      <c r="H3173" s="2">
        <v>300000</v>
      </c>
      <c r="I3173" s="2">
        <v>6.7</v>
      </c>
      <c r="J3173" s="3">
        <v>77086030</v>
      </c>
      <c r="K3173">
        <f t="shared" si="106"/>
        <v>1.3775047412552699E-3</v>
      </c>
      <c r="R3173" s="12" t="str">
        <f ca="1">IFERROR(__xludf.DUMMYFUNCTION("""COMPUTED_VALUE"""),"Jackass: The Movie ")</f>
        <v>Jackass: The Movie </v>
      </c>
      <c r="S3173" s="12">
        <f t="shared" si="107"/>
        <v>5517500</v>
      </c>
    </row>
    <row r="3174" spans="1:19" x14ac:dyDescent="0.3">
      <c r="A3174" s="2" t="s">
        <v>781</v>
      </c>
      <c r="B3174" s="2">
        <v>104</v>
      </c>
      <c r="C3174" s="3">
        <v>269061</v>
      </c>
      <c r="D3174" s="3" t="s">
        <v>5940</v>
      </c>
      <c r="E3174" s="2" t="s">
        <v>4759</v>
      </c>
      <c r="F3174" s="2" t="s">
        <v>4760</v>
      </c>
      <c r="G3174" s="2" t="s">
        <v>3036</v>
      </c>
      <c r="H3174" s="2">
        <v>4200000</v>
      </c>
      <c r="I3174" s="2">
        <v>6.5</v>
      </c>
      <c r="J3174" s="3">
        <v>77222184</v>
      </c>
      <c r="K3174">
        <f t="shared" si="106"/>
        <v>1.3775047412552699E-3</v>
      </c>
      <c r="R3174" s="12" t="str">
        <f ca="1">IFERROR(__xludf.DUMMYFUNCTION("""COMPUTED_VALUE"""),"Lights Out ")</f>
        <v>Lights Out </v>
      </c>
      <c r="S3174" s="12">
        <f t="shared" si="107"/>
        <v>88001286</v>
      </c>
    </row>
    <row r="3175" spans="1:19" x14ac:dyDescent="0.3">
      <c r="A3175" s="2" t="s">
        <v>4161</v>
      </c>
      <c r="B3175" s="2">
        <v>197</v>
      </c>
      <c r="C3175" s="3">
        <v>22202612</v>
      </c>
      <c r="D3175" s="3" t="s">
        <v>5973</v>
      </c>
      <c r="E3175" s="2" t="s">
        <v>4162</v>
      </c>
      <c r="F3175" s="2" t="s">
        <v>10</v>
      </c>
      <c r="G3175" s="2" t="s">
        <v>11</v>
      </c>
      <c r="H3175" s="2">
        <v>9400000</v>
      </c>
      <c r="I3175" s="2">
        <v>7.6</v>
      </c>
      <c r="J3175" s="3">
        <v>77264926</v>
      </c>
      <c r="K3175">
        <f t="shared" si="106"/>
        <v>1.3775047412552699E-3</v>
      </c>
      <c r="R3175" s="12" t="str">
        <f ca="1">IFERROR(__xludf.DUMMYFUNCTION("""COMPUTED_VALUE"""),"Paranormal Activity 3 ")</f>
        <v>Paranormal Activity 3 </v>
      </c>
      <c r="S3175" s="12">
        <f t="shared" si="107"/>
        <v>-6476117</v>
      </c>
    </row>
    <row r="3176" spans="1:19" x14ac:dyDescent="0.3">
      <c r="A3176" s="2" t="s">
        <v>139</v>
      </c>
      <c r="B3176" s="2">
        <v>131</v>
      </c>
      <c r="C3176" s="3">
        <v>36658108</v>
      </c>
      <c r="D3176" s="3" t="s">
        <v>6041</v>
      </c>
      <c r="E3176" s="2" t="s">
        <v>1711</v>
      </c>
      <c r="F3176" s="2" t="s">
        <v>10</v>
      </c>
      <c r="G3176" s="2" t="s">
        <v>16</v>
      </c>
      <c r="H3176" s="2">
        <v>35000000</v>
      </c>
      <c r="I3176" s="2">
        <v>7.7</v>
      </c>
      <c r="J3176" s="3">
        <v>77324422</v>
      </c>
      <c r="K3176">
        <f t="shared" si="106"/>
        <v>1.3775047412552699E-3</v>
      </c>
      <c r="R3176" s="12" t="str">
        <f ca="1">IFERROR(__xludf.DUMMYFUNCTION("""COMPUTED_VALUE"""),"Ouija ")</f>
        <v>Ouija </v>
      </c>
      <c r="S3176" s="12">
        <f t="shared" si="107"/>
        <v>-85077834</v>
      </c>
    </row>
    <row r="3177" spans="1:19" x14ac:dyDescent="0.3">
      <c r="A3177" s="2" t="s">
        <v>1602</v>
      </c>
      <c r="B3177" s="2">
        <v>110</v>
      </c>
      <c r="C3177" s="3">
        <v>93571803</v>
      </c>
      <c r="D3177" s="3" t="s">
        <v>885</v>
      </c>
      <c r="E3177" s="2" t="s">
        <v>1603</v>
      </c>
      <c r="F3177" s="2" t="s">
        <v>10</v>
      </c>
      <c r="G3177" s="2" t="s">
        <v>11</v>
      </c>
      <c r="H3177" s="2">
        <v>40000000</v>
      </c>
      <c r="I3177" s="2">
        <v>6</v>
      </c>
      <c r="J3177" s="3">
        <v>77413017</v>
      </c>
      <c r="K3177">
        <f t="shared" si="106"/>
        <v>1.3775047412552699E-3</v>
      </c>
      <c r="R3177" s="12" t="str">
        <f ca="1">IFERROR(__xludf.DUMMYFUNCTION("""COMPUTED_VALUE"""),"A Nightmare on Elm Street 3: Dream Warriors ")</f>
        <v>A Nightmare on Elm Street 3: Dream Warriors </v>
      </c>
      <c r="S3177" s="12">
        <f t="shared" si="107"/>
        <v>-129260624</v>
      </c>
    </row>
    <row r="3178" spans="1:19" x14ac:dyDescent="0.3">
      <c r="A3178" s="2" t="s">
        <v>104</v>
      </c>
      <c r="B3178" s="2">
        <v>146</v>
      </c>
      <c r="C3178" s="3">
        <v>105943</v>
      </c>
      <c r="D3178" s="3" t="s">
        <v>885</v>
      </c>
      <c r="E3178" s="2" t="s">
        <v>577</v>
      </c>
      <c r="F3178" s="2" t="s">
        <v>10</v>
      </c>
      <c r="G3178" s="2" t="s">
        <v>11</v>
      </c>
      <c r="H3178" s="2">
        <v>100000000</v>
      </c>
      <c r="I3178" s="2">
        <v>7.1</v>
      </c>
      <c r="J3178" s="3">
        <v>77564037</v>
      </c>
      <c r="K3178">
        <f t="shared" si="106"/>
        <v>1.3775047412552699E-3</v>
      </c>
      <c r="R3178" s="12" t="str">
        <f ca="1">IFERROR(__xludf.DUMMYFUNCTION("""COMPUTED_VALUE"""),"Instructions Not Included ")</f>
        <v>Instructions Not Included </v>
      </c>
      <c r="S3178" s="12">
        <f t="shared" si="107"/>
        <v>-31918075</v>
      </c>
    </row>
    <row r="3179" spans="1:19" x14ac:dyDescent="0.3">
      <c r="A3179" s="2" t="s">
        <v>4218</v>
      </c>
      <c r="B3179" s="2">
        <v>125</v>
      </c>
      <c r="C3179" s="3">
        <v>325491</v>
      </c>
      <c r="D3179" s="3" t="s">
        <v>6441</v>
      </c>
      <c r="E3179" s="2" t="s">
        <v>4219</v>
      </c>
      <c r="F3179" s="2" t="s">
        <v>10</v>
      </c>
      <c r="G3179" s="2" t="s">
        <v>11</v>
      </c>
      <c r="H3179" s="2">
        <v>8500000</v>
      </c>
      <c r="I3179" s="2">
        <v>6.9</v>
      </c>
      <c r="J3179" s="3">
        <v>77679638</v>
      </c>
      <c r="K3179">
        <f t="shared" si="106"/>
        <v>1.3775047412552699E-3</v>
      </c>
      <c r="R3179" s="12" t="str">
        <f ca="1">IFERROR(__xludf.DUMMYFUNCTION("""COMPUTED_VALUE"""),"Paranormal Activity 4 ")</f>
        <v>Paranormal Activity 4 </v>
      </c>
      <c r="S3179" s="12">
        <f t="shared" si="107"/>
        <v>10782677</v>
      </c>
    </row>
    <row r="3180" spans="1:19" x14ac:dyDescent="0.3">
      <c r="A3180" s="2" t="s">
        <v>1338</v>
      </c>
      <c r="B3180" s="2">
        <v>108</v>
      </c>
      <c r="C3180" s="3">
        <v>3123749</v>
      </c>
      <c r="D3180" s="3" t="s">
        <v>5954</v>
      </c>
      <c r="E3180" s="2" t="s">
        <v>4732</v>
      </c>
      <c r="F3180" s="2" t="s">
        <v>10</v>
      </c>
      <c r="G3180" s="2" t="s">
        <v>11</v>
      </c>
      <c r="H3180" s="2">
        <v>15000000</v>
      </c>
      <c r="I3180" s="2">
        <v>7.7</v>
      </c>
      <c r="J3180" s="3">
        <v>77862546</v>
      </c>
      <c r="K3180">
        <f t="shared" si="106"/>
        <v>1.3775047412552699E-3</v>
      </c>
      <c r="R3180" s="12" t="str">
        <f ca="1">IFERROR(__xludf.DUMMYFUNCTION("""COMPUTED_VALUE"""),"The Robe ")</f>
        <v>The Robe </v>
      </c>
      <c r="S3180" s="12">
        <f t="shared" si="107"/>
        <v>-6228760</v>
      </c>
    </row>
    <row r="3181" spans="1:19" x14ac:dyDescent="0.3">
      <c r="A3181" s="2" t="s">
        <v>987</v>
      </c>
      <c r="B3181" s="2">
        <v>117</v>
      </c>
      <c r="C3181" s="3">
        <v>582024</v>
      </c>
      <c r="D3181" s="3" t="s">
        <v>5894</v>
      </c>
      <c r="E3181" s="2" t="s">
        <v>2683</v>
      </c>
      <c r="F3181" s="2" t="s">
        <v>10</v>
      </c>
      <c r="G3181" s="2" t="s">
        <v>11</v>
      </c>
      <c r="H3181" s="2">
        <v>25000000</v>
      </c>
      <c r="I3181" s="2">
        <v>5.7</v>
      </c>
      <c r="J3181" s="3">
        <v>78009155</v>
      </c>
      <c r="K3181">
        <f t="shared" si="106"/>
        <v>1.3775047412552699E-3</v>
      </c>
      <c r="R3181" s="12" t="str">
        <f ca="1">IFERROR(__xludf.DUMMYFUNCTION("""COMPUTED_VALUE"""),"Freddy's Dead: The Final Nightmare ")</f>
        <v>Freddy's Dead: The Final Nightmare </v>
      </c>
      <c r="S3181" s="12">
        <f t="shared" si="107"/>
        <v>-3452461</v>
      </c>
    </row>
    <row r="3182" spans="1:19" x14ac:dyDescent="0.3">
      <c r="A3182" s="2" t="s">
        <v>1861</v>
      </c>
      <c r="B3182" s="2">
        <v>95</v>
      </c>
      <c r="C3182" s="3">
        <v>1796024</v>
      </c>
      <c r="D3182" s="3" t="s">
        <v>6163</v>
      </c>
      <c r="E3182" s="2" t="s">
        <v>4113</v>
      </c>
      <c r="F3182" s="2" t="s">
        <v>10</v>
      </c>
      <c r="G3182" s="2" t="s">
        <v>1008</v>
      </c>
      <c r="H3182" s="2">
        <v>10000000</v>
      </c>
      <c r="I3182" s="2">
        <v>6.7</v>
      </c>
      <c r="J3182" s="3">
        <v>78031620</v>
      </c>
      <c r="K3182">
        <f t="shared" si="106"/>
        <v>1.3775047412552699E-3</v>
      </c>
      <c r="R3182" s="12" t="str">
        <f ca="1">IFERROR(__xludf.DUMMYFUNCTION("""COMPUTED_VALUE"""),"Monster ")</f>
        <v>Monster </v>
      </c>
      <c r="S3182" s="12">
        <f t="shared" si="107"/>
        <v>-36545745</v>
      </c>
    </row>
    <row r="3183" spans="1:19" x14ac:dyDescent="0.3">
      <c r="A3183" s="2" t="s">
        <v>124</v>
      </c>
      <c r="B3183" s="2">
        <v>103</v>
      </c>
      <c r="C3183" s="3">
        <v>1738692</v>
      </c>
      <c r="D3183" s="3" t="s">
        <v>6324</v>
      </c>
      <c r="E3183" s="2" t="s">
        <v>1173</v>
      </c>
      <c r="F3183" s="2" t="s">
        <v>10</v>
      </c>
      <c r="G3183" s="2" t="s">
        <v>11</v>
      </c>
      <c r="H3183" s="2">
        <v>58000000</v>
      </c>
      <c r="I3183" s="2">
        <v>6.4</v>
      </c>
      <c r="J3183" s="3">
        <v>78120196</v>
      </c>
      <c r="K3183">
        <f t="shared" si="106"/>
        <v>1.3775047412552699E-3</v>
      </c>
      <c r="R3183" s="12" t="str">
        <f ca="1">IFERROR(__xludf.DUMMYFUNCTION("""COMPUTED_VALUE"""),"Paranormal Activity: The Marked Ones ")</f>
        <v>Paranormal Activity: The Marked Ones </v>
      </c>
      <c r="S3183" s="12">
        <f t="shared" si="107"/>
        <v>483887</v>
      </c>
    </row>
    <row r="3184" spans="1:19" x14ac:dyDescent="0.3">
      <c r="A3184" s="2" t="s">
        <v>250</v>
      </c>
      <c r="B3184" s="2">
        <v>88</v>
      </c>
      <c r="C3184" s="3">
        <v>453079</v>
      </c>
      <c r="D3184" s="3" t="s">
        <v>6199</v>
      </c>
      <c r="E3184" s="2" t="s">
        <v>578</v>
      </c>
      <c r="F3184" s="2" t="s">
        <v>10</v>
      </c>
      <c r="G3184" s="2" t="s">
        <v>11</v>
      </c>
      <c r="H3184" s="2">
        <v>90000000</v>
      </c>
      <c r="I3184" s="2">
        <v>4.9000000000000004</v>
      </c>
      <c r="J3184" s="3">
        <v>78616689</v>
      </c>
      <c r="K3184">
        <f t="shared" si="106"/>
        <v>1.3775047412552699E-3</v>
      </c>
      <c r="R3184" s="12" t="str">
        <f ca="1">IFERROR(__xludf.DUMMYFUNCTION("""COMPUTED_VALUE"""),"Dallas Buyers Club ")</f>
        <v>Dallas Buyers Club </v>
      </c>
      <c r="S3184" s="12">
        <f t="shared" si="107"/>
        <v>1063029</v>
      </c>
    </row>
    <row r="3185" spans="1:19" x14ac:dyDescent="0.3">
      <c r="A3185" s="2" t="s">
        <v>1886</v>
      </c>
      <c r="B3185" s="2">
        <v>148</v>
      </c>
      <c r="C3185" s="3">
        <v>13592872</v>
      </c>
      <c r="D3185" s="3" t="s">
        <v>6062</v>
      </c>
      <c r="E3185" s="2" t="s">
        <v>3029</v>
      </c>
      <c r="F3185" s="2" t="s">
        <v>10</v>
      </c>
      <c r="G3185" s="2" t="s">
        <v>11</v>
      </c>
      <c r="H3185" s="2">
        <v>20000000</v>
      </c>
      <c r="I3185" s="2">
        <v>6.7</v>
      </c>
      <c r="J3185" s="3">
        <v>78651430</v>
      </c>
      <c r="K3185">
        <f t="shared" si="106"/>
        <v>1.3775047412552699E-3</v>
      </c>
      <c r="R3185" s="12" t="str">
        <f ca="1">IFERROR(__xludf.DUMMYFUNCTION("""COMPUTED_VALUE"""),"The Lazarus Effect ")</f>
        <v>The Lazarus Effect </v>
      </c>
      <c r="S3185" s="12">
        <f t="shared" si="107"/>
        <v>-4541731</v>
      </c>
    </row>
    <row r="3186" spans="1:19" x14ac:dyDescent="0.3">
      <c r="A3186" s="2" t="s">
        <v>2680</v>
      </c>
      <c r="B3186" s="2">
        <v>122</v>
      </c>
      <c r="C3186" s="2">
        <v>1697956</v>
      </c>
      <c r="D3186" s="3" t="s">
        <v>6220</v>
      </c>
      <c r="E3186" s="2" t="s">
        <v>2681</v>
      </c>
      <c r="F3186" s="2" t="s">
        <v>10</v>
      </c>
      <c r="G3186" s="2" t="s">
        <v>11</v>
      </c>
      <c r="H3186" s="2">
        <v>20000000</v>
      </c>
      <c r="I3186" s="2">
        <v>6.7</v>
      </c>
      <c r="J3186" s="3">
        <v>78656813</v>
      </c>
      <c r="K3186">
        <f t="shared" si="106"/>
        <v>1.3775047412552699E-3</v>
      </c>
      <c r="R3186" s="12" t="str">
        <f ca="1">IFERROR(__xludf.DUMMYFUNCTION("""COMPUTED_VALUE"""),"Memento ")</f>
        <v>Memento </v>
      </c>
      <c r="S3186" s="12">
        <f t="shared" si="107"/>
        <v>8108977</v>
      </c>
    </row>
    <row r="3187" spans="1:19" x14ac:dyDescent="0.3">
      <c r="A3187" s="2" t="s">
        <v>2996</v>
      </c>
      <c r="B3187" s="2">
        <v>117</v>
      </c>
      <c r="C3187" s="3">
        <v>4414535</v>
      </c>
      <c r="D3187" s="3" t="s">
        <v>6163</v>
      </c>
      <c r="E3187" s="2" t="s">
        <v>2997</v>
      </c>
      <c r="F3187" s="2" t="s">
        <v>10</v>
      </c>
      <c r="G3187" s="2" t="s">
        <v>11</v>
      </c>
      <c r="H3187" s="2">
        <v>20000000</v>
      </c>
      <c r="I3187" s="2">
        <v>6</v>
      </c>
      <c r="J3187" s="3">
        <v>78745923</v>
      </c>
      <c r="K3187">
        <f t="shared" si="106"/>
        <v>1.3775047412552699E-3</v>
      </c>
      <c r="R3187" s="12" t="str">
        <f ca="1">IFERROR(__xludf.DUMMYFUNCTION("""COMPUTED_VALUE"""),"Oculus ")</f>
        <v>Oculus </v>
      </c>
      <c r="S3187" s="12">
        <f t="shared" si="107"/>
        <v>12774834</v>
      </c>
    </row>
    <row r="3188" spans="1:19" x14ac:dyDescent="0.3">
      <c r="A3188" s="2" t="s">
        <v>5394</v>
      </c>
      <c r="B3188" s="2">
        <v>95</v>
      </c>
      <c r="C3188" s="3">
        <v>449558</v>
      </c>
      <c r="D3188" s="3" t="s">
        <v>6148</v>
      </c>
      <c r="E3188" s="2" t="s">
        <v>5395</v>
      </c>
      <c r="F3188" s="2" t="s">
        <v>10</v>
      </c>
      <c r="G3188" s="2" t="s">
        <v>11</v>
      </c>
      <c r="H3188" s="2">
        <v>1000000</v>
      </c>
      <c r="I3188" s="2">
        <v>5.2</v>
      </c>
      <c r="J3188" s="3">
        <v>78747585</v>
      </c>
      <c r="K3188">
        <f t="shared" si="106"/>
        <v>1.3775047412552699E-3</v>
      </c>
      <c r="R3188" s="12" t="str">
        <f ca="1">IFERROR(__xludf.DUMMYFUNCTION("""COMPUTED_VALUE"""),"Clerks II ")</f>
        <v>Clerks II </v>
      </c>
      <c r="S3188" s="12">
        <f t="shared" si="107"/>
        <v>21952327</v>
      </c>
    </row>
    <row r="3189" spans="1:19" x14ac:dyDescent="0.3">
      <c r="A3189" s="2" t="s">
        <v>479</v>
      </c>
      <c r="B3189" s="2">
        <v>110</v>
      </c>
      <c r="C3189" s="3">
        <v>16153600</v>
      </c>
      <c r="D3189" s="3" t="s">
        <v>5940</v>
      </c>
      <c r="E3189" s="2" t="s">
        <v>1127</v>
      </c>
      <c r="F3189" s="2" t="s">
        <v>10</v>
      </c>
      <c r="G3189" s="2" t="s">
        <v>16</v>
      </c>
      <c r="H3189" s="2">
        <v>40000000</v>
      </c>
      <c r="I3189" s="2">
        <v>5.7</v>
      </c>
      <c r="J3189" s="3">
        <v>78800000</v>
      </c>
      <c r="K3189">
        <f t="shared" si="106"/>
        <v>1.3775047412552699E-3</v>
      </c>
      <c r="R3189" s="12" t="str">
        <f ca="1">IFERROR(__xludf.DUMMYFUNCTION("""COMPUTED_VALUE"""),"Billy Elliot ")</f>
        <v>Billy Elliot </v>
      </c>
      <c r="S3189" s="12">
        <f t="shared" si="107"/>
        <v>-19856347</v>
      </c>
    </row>
    <row r="3190" spans="1:19" x14ac:dyDescent="0.3">
      <c r="A3190" s="2" t="s">
        <v>2429</v>
      </c>
      <c r="B3190" s="2">
        <v>200</v>
      </c>
      <c r="C3190" s="3">
        <v>51317350</v>
      </c>
      <c r="D3190" s="3" t="s">
        <v>6290</v>
      </c>
      <c r="E3190" s="2" t="s">
        <v>3890</v>
      </c>
      <c r="F3190" s="2" t="s">
        <v>10</v>
      </c>
      <c r="G3190" s="2" t="s">
        <v>11</v>
      </c>
      <c r="H3190" s="2">
        <v>11000000</v>
      </c>
      <c r="I3190" s="2">
        <v>8</v>
      </c>
      <c r="J3190" s="3">
        <v>78845130</v>
      </c>
      <c r="K3190">
        <f t="shared" si="106"/>
        <v>1.3775047412552699E-3</v>
      </c>
      <c r="R3190" s="12" t="str">
        <f ca="1">IFERROR(__xludf.DUMMYFUNCTION("""COMPUTED_VALUE"""),"The Way Way Back ")</f>
        <v>The Way Way Back </v>
      </c>
      <c r="S3190" s="12">
        <f t="shared" si="107"/>
        <v>2938179</v>
      </c>
    </row>
    <row r="3191" spans="1:19" x14ac:dyDescent="0.3">
      <c r="A3191" s="2" t="s">
        <v>218</v>
      </c>
      <c r="B3191" s="2">
        <v>87</v>
      </c>
      <c r="C3191" s="3">
        <v>45500797</v>
      </c>
      <c r="D3191" s="3" t="s">
        <v>6050</v>
      </c>
      <c r="E3191" s="2" t="s">
        <v>5062</v>
      </c>
      <c r="F3191" s="2" t="s">
        <v>10</v>
      </c>
      <c r="G3191" s="2" t="s">
        <v>98</v>
      </c>
      <c r="H3191" s="2">
        <v>2000000</v>
      </c>
      <c r="I3191" s="2">
        <v>7.6</v>
      </c>
      <c r="J3191" s="3">
        <v>78900000</v>
      </c>
      <c r="K3191">
        <f t="shared" si="106"/>
        <v>1.3775047412552699E-3</v>
      </c>
      <c r="R3191" s="12" t="str">
        <f ca="1">IFERROR(__xludf.DUMMYFUNCTION("""COMPUTED_VALUE"""),"House Party 2 ")</f>
        <v>House Party 2 </v>
      </c>
      <c r="S3191" s="12">
        <f t="shared" si="107"/>
        <v>11987482</v>
      </c>
    </row>
    <row r="3192" spans="1:19" x14ac:dyDescent="0.3">
      <c r="A3192" s="2" t="s">
        <v>3954</v>
      </c>
      <c r="B3192" s="2">
        <v>99</v>
      </c>
      <c r="C3192" s="3">
        <v>57362581</v>
      </c>
      <c r="D3192" s="3" t="s">
        <v>5940</v>
      </c>
      <c r="E3192" s="2" t="s">
        <v>3955</v>
      </c>
      <c r="F3192" s="2" t="s">
        <v>10</v>
      </c>
      <c r="G3192" s="2" t="s">
        <v>11</v>
      </c>
      <c r="H3192" s="2">
        <v>10500000</v>
      </c>
      <c r="I3192" s="2">
        <v>6.4</v>
      </c>
      <c r="J3192" s="3">
        <v>78900000</v>
      </c>
      <c r="K3192">
        <f t="shared" si="106"/>
        <v>1.3775047412552699E-3</v>
      </c>
      <c r="R3192" s="12" t="str">
        <f ca="1">IFERROR(__xludf.DUMMYFUNCTION("""COMPUTED_VALUE"""),"Doug's 1st Movie ")</f>
        <v>Doug's 1st Movie </v>
      </c>
      <c r="S3192" s="12">
        <f t="shared" si="107"/>
        <v>-63069815</v>
      </c>
    </row>
    <row r="3193" spans="1:19" x14ac:dyDescent="0.3">
      <c r="A3193" s="2" t="s">
        <v>108</v>
      </c>
      <c r="B3193" s="2">
        <v>84</v>
      </c>
      <c r="C3193" s="3">
        <v>13555988</v>
      </c>
      <c r="D3193" s="3" t="s">
        <v>5754</v>
      </c>
      <c r="E3193" s="2" t="s">
        <v>5506</v>
      </c>
      <c r="F3193" s="2" t="s">
        <v>10</v>
      </c>
      <c r="G3193" s="2" t="s">
        <v>11</v>
      </c>
      <c r="H3193" s="2">
        <v>500000</v>
      </c>
      <c r="I3193" s="2">
        <v>6.2</v>
      </c>
      <c r="J3193" s="3">
        <v>79100000</v>
      </c>
      <c r="K3193">
        <f t="shared" si="106"/>
        <v>1.3775047412552699E-3</v>
      </c>
      <c r="R3193" s="12" t="str">
        <f ca="1">IFERROR(__xludf.DUMMYFUNCTION("""COMPUTED_VALUE"""),"The Apostle ")</f>
        <v>The Apostle </v>
      </c>
      <c r="S3193" s="12">
        <f t="shared" si="107"/>
        <v>-2464312</v>
      </c>
    </row>
    <row r="3194" spans="1:19" x14ac:dyDescent="0.3">
      <c r="A3194" s="2" t="s">
        <v>2047</v>
      </c>
      <c r="B3194" s="2">
        <v>103</v>
      </c>
      <c r="C3194" s="3">
        <v>882710</v>
      </c>
      <c r="D3194" s="3" t="s">
        <v>520</v>
      </c>
      <c r="E3194" s="2" t="s">
        <v>2048</v>
      </c>
      <c r="F3194" s="2" t="s">
        <v>10</v>
      </c>
      <c r="G3194" s="2" t="s">
        <v>11</v>
      </c>
      <c r="H3194" s="2">
        <v>35000000</v>
      </c>
      <c r="I3194" s="2">
        <v>6</v>
      </c>
      <c r="J3194" s="3">
        <v>79363785</v>
      </c>
      <c r="K3194">
        <f t="shared" si="106"/>
        <v>1.3775047412552699E-3</v>
      </c>
      <c r="R3194" s="12" t="str">
        <f ca="1">IFERROR(__xludf.DUMMYFUNCTION("""COMPUTED_VALUE"""),"Our Idiot Brother ")</f>
        <v>Our Idiot Brother </v>
      </c>
      <c r="S3194" s="12">
        <f t="shared" si="107"/>
        <v>-19778739</v>
      </c>
    </row>
    <row r="3195" spans="1:19" x14ac:dyDescent="0.3">
      <c r="A3195" s="2" t="s">
        <v>3278</v>
      </c>
      <c r="B3195" s="2">
        <v>97</v>
      </c>
      <c r="C3195" s="3">
        <v>16930884</v>
      </c>
      <c r="D3195" s="3" t="s">
        <v>5767</v>
      </c>
      <c r="E3195" s="2" t="s">
        <v>3279</v>
      </c>
      <c r="F3195" s="2" t="s">
        <v>10</v>
      </c>
      <c r="G3195" s="2" t="s">
        <v>16</v>
      </c>
      <c r="H3195" s="2">
        <v>17000000</v>
      </c>
      <c r="I3195" s="2">
        <v>3</v>
      </c>
      <c r="J3195" s="3">
        <v>79566871</v>
      </c>
      <c r="K3195">
        <f t="shared" si="106"/>
        <v>1.3775047412552699E-3</v>
      </c>
      <c r="R3195" s="12" t="str">
        <f ca="1">IFERROR(__xludf.DUMMYFUNCTION("""COMPUTED_VALUE"""),"The Players Club ")</f>
        <v>The Players Club </v>
      </c>
      <c r="S3195" s="12">
        <f t="shared" si="107"/>
        <v>2540417</v>
      </c>
    </row>
    <row r="3196" spans="1:19" x14ac:dyDescent="0.3">
      <c r="A3196" s="2" t="s">
        <v>1561</v>
      </c>
      <c r="B3196" s="2">
        <v>101</v>
      </c>
      <c r="C3196" s="3">
        <v>45507053</v>
      </c>
      <c r="D3196" s="3" t="s">
        <v>5869</v>
      </c>
      <c r="E3196" s="2" t="s">
        <v>1562</v>
      </c>
      <c r="F3196" s="2" t="s">
        <v>10</v>
      </c>
      <c r="G3196" s="2" t="s">
        <v>504</v>
      </c>
      <c r="H3196" s="2">
        <v>70000000</v>
      </c>
      <c r="I3196" s="2">
        <v>5.6</v>
      </c>
      <c r="J3196" s="3">
        <v>79568000</v>
      </c>
      <c r="K3196">
        <f t="shared" si="106"/>
        <v>1.3775047412552699E-3</v>
      </c>
      <c r="R3196" s="12" t="str">
        <f ca="1">IFERROR(__xludf.DUMMYFUNCTION("""COMPUTED_VALUE"""),"As Above, So Below ")</f>
        <v>As Above, So Below </v>
      </c>
      <c r="S3196" s="12">
        <f t="shared" si="107"/>
        <v>-3930939</v>
      </c>
    </row>
    <row r="3197" spans="1:19" x14ac:dyDescent="0.3">
      <c r="A3197" s="2" t="s">
        <v>114</v>
      </c>
      <c r="B3197" s="2">
        <v>130</v>
      </c>
      <c r="C3197" s="3">
        <v>54606</v>
      </c>
      <c r="D3197" s="3" t="s">
        <v>5985</v>
      </c>
      <c r="E3197" s="2" t="s">
        <v>556</v>
      </c>
      <c r="F3197" s="2" t="s">
        <v>10</v>
      </c>
      <c r="G3197" s="2" t="s">
        <v>11</v>
      </c>
      <c r="H3197" s="2">
        <v>100000000</v>
      </c>
      <c r="I3197" s="2">
        <v>6.6</v>
      </c>
      <c r="J3197" s="3">
        <v>79711678</v>
      </c>
      <c r="K3197">
        <f t="shared" si="106"/>
        <v>1.3775047412552699E-3</v>
      </c>
      <c r="R3197" s="12" t="str">
        <f ca="1">IFERROR(__xludf.DUMMYFUNCTION("""COMPUTED_VALUE"""),"Addicted ")</f>
        <v>Addicted </v>
      </c>
      <c r="S3197" s="12">
        <f t="shared" si="107"/>
        <v>12802612</v>
      </c>
    </row>
    <row r="3198" spans="1:19" x14ac:dyDescent="0.3">
      <c r="A3198" s="2" t="s">
        <v>1400</v>
      </c>
      <c r="B3198" s="2">
        <v>115</v>
      </c>
      <c r="C3198" s="3">
        <v>45356386</v>
      </c>
      <c r="D3198" s="3" t="s">
        <v>5940</v>
      </c>
      <c r="E3198" s="2" t="s">
        <v>1625</v>
      </c>
      <c r="F3198" s="2" t="s">
        <v>10</v>
      </c>
      <c r="G3198" s="2" t="s">
        <v>11</v>
      </c>
      <c r="H3198" s="2">
        <v>42000000</v>
      </c>
      <c r="I3198" s="2">
        <v>6.3</v>
      </c>
      <c r="J3198" s="3">
        <v>79817937</v>
      </c>
      <c r="K3198">
        <f t="shared" si="106"/>
        <v>1.3775047412552699E-3</v>
      </c>
      <c r="R3198" s="12" t="str">
        <f ca="1">IFERROR(__xludf.DUMMYFUNCTION("""COMPUTED_VALUE"""),"Eve's Bayou ")</f>
        <v>Eve's Bayou </v>
      </c>
      <c r="S3198" s="12">
        <f t="shared" si="107"/>
        <v>1658108</v>
      </c>
    </row>
    <row r="3199" spans="1:19" x14ac:dyDescent="0.3">
      <c r="A3199" s="2" t="s">
        <v>2587</v>
      </c>
      <c r="B3199" s="2">
        <v>103</v>
      </c>
      <c r="C3199" s="3">
        <v>1789892</v>
      </c>
      <c r="D3199" s="3" t="s">
        <v>6321</v>
      </c>
      <c r="E3199" s="2" t="s">
        <v>3166</v>
      </c>
      <c r="F3199" s="2" t="s">
        <v>10</v>
      </c>
      <c r="G3199" s="2" t="s">
        <v>11</v>
      </c>
      <c r="H3199" s="2">
        <v>18000000</v>
      </c>
      <c r="I3199" s="2">
        <v>5.8</v>
      </c>
      <c r="J3199" s="3">
        <v>79883359</v>
      </c>
      <c r="K3199">
        <f t="shared" si="106"/>
        <v>1.3775047412552699E-3</v>
      </c>
      <c r="R3199" s="12" t="str">
        <f ca="1">IFERROR(__xludf.DUMMYFUNCTION("""COMPUTED_VALUE"""),"Still Alice ")</f>
        <v>Still Alice </v>
      </c>
      <c r="S3199" s="12">
        <f t="shared" si="107"/>
        <v>53571803</v>
      </c>
    </row>
    <row r="3200" spans="1:19" x14ac:dyDescent="0.3">
      <c r="A3200" s="2" t="s">
        <v>3479</v>
      </c>
      <c r="B3200" s="2">
        <v>114</v>
      </c>
      <c r="C3200" s="3">
        <v>5694401</v>
      </c>
      <c r="D3200" s="3" t="s">
        <v>6163</v>
      </c>
      <c r="E3200" s="2" t="s">
        <v>3480</v>
      </c>
      <c r="F3200" s="2" t="s">
        <v>10</v>
      </c>
      <c r="G3200" s="2" t="s">
        <v>11</v>
      </c>
      <c r="H3200" s="2">
        <v>15000000</v>
      </c>
      <c r="I3200" s="2">
        <v>6</v>
      </c>
      <c r="J3200" s="3">
        <v>79948113</v>
      </c>
      <c r="K3200">
        <f t="shared" si="106"/>
        <v>1.3775047412552699E-3</v>
      </c>
      <c r="R3200" s="12" t="str">
        <f ca="1">IFERROR(__xludf.DUMMYFUNCTION("""COMPUTED_VALUE"""),"Friday the 13th Part VIII: Jason Takes Manhattan ")</f>
        <v>Friday the 13th Part VIII: Jason Takes Manhattan </v>
      </c>
      <c r="S3200" s="12">
        <f t="shared" si="107"/>
        <v>-99894057</v>
      </c>
    </row>
    <row r="3201" spans="1:19" x14ac:dyDescent="0.3">
      <c r="A3201" s="2" t="s">
        <v>3339</v>
      </c>
      <c r="B3201" s="2">
        <v>101</v>
      </c>
      <c r="C3201" s="3">
        <v>25093607</v>
      </c>
      <c r="D3201" s="3" t="s">
        <v>5940</v>
      </c>
      <c r="E3201" s="2" t="s">
        <v>3340</v>
      </c>
      <c r="F3201" s="2" t="s">
        <v>10</v>
      </c>
      <c r="G3201" s="2" t="s">
        <v>11</v>
      </c>
      <c r="H3201" s="2">
        <v>16000000</v>
      </c>
      <c r="I3201" s="2">
        <v>5.7</v>
      </c>
      <c r="J3201" s="3">
        <v>80000000</v>
      </c>
      <c r="K3201">
        <f t="shared" si="106"/>
        <v>1.3775047412552699E-3</v>
      </c>
      <c r="R3201" s="12" t="str">
        <f ca="1">IFERROR(__xludf.DUMMYFUNCTION("""COMPUTED_VALUE"""),"My Big Fat Greek Wedding ")</f>
        <v>My Big Fat Greek Wedding </v>
      </c>
      <c r="S3201" s="12">
        <f t="shared" si="107"/>
        <v>-8174509</v>
      </c>
    </row>
    <row r="3202" spans="1:19" x14ac:dyDescent="0.3">
      <c r="A3202" s="2" t="s">
        <v>933</v>
      </c>
      <c r="B3202" s="2">
        <v>121</v>
      </c>
      <c r="C3202" s="3">
        <v>23292105</v>
      </c>
      <c r="D3202" s="3" t="s">
        <v>5940</v>
      </c>
      <c r="E3202" s="2" t="s">
        <v>934</v>
      </c>
      <c r="F3202" s="2" t="s">
        <v>10</v>
      </c>
      <c r="G3202" s="2" t="s">
        <v>11</v>
      </c>
      <c r="H3202" s="2">
        <v>65000000</v>
      </c>
      <c r="I3202" s="2">
        <v>6</v>
      </c>
      <c r="J3202" s="3">
        <v>80014842</v>
      </c>
      <c r="K3202">
        <f t="shared" ref="K3202:K3265" si="108">CORREL(H$2:H$3941,J$2:J$3941)</f>
        <v>1.3775047412552699E-3</v>
      </c>
      <c r="R3202" s="12" t="str">
        <f ca="1">IFERROR(__xludf.DUMMYFUNCTION("""COMPUTED_VALUE"""),"Spring Breakers ")</f>
        <v>Spring Breakers </v>
      </c>
      <c r="S3202" s="12">
        <f t="shared" si="107"/>
        <v>-11876251</v>
      </c>
    </row>
    <row r="3203" spans="1:19" x14ac:dyDescent="0.3">
      <c r="A3203" s="2" t="s">
        <v>2815</v>
      </c>
      <c r="B3203" s="2">
        <v>92</v>
      </c>
      <c r="C3203" s="3">
        <v>4040588</v>
      </c>
      <c r="D3203" s="3" t="s">
        <v>6101</v>
      </c>
      <c r="E3203" s="2" t="s">
        <v>2816</v>
      </c>
      <c r="F3203" s="2" t="s">
        <v>10</v>
      </c>
      <c r="G3203" s="2" t="s">
        <v>16</v>
      </c>
      <c r="H3203" s="2">
        <v>22000000</v>
      </c>
      <c r="I3203" s="2">
        <v>6.3</v>
      </c>
      <c r="J3203" s="3">
        <v>80021740</v>
      </c>
      <c r="K3203">
        <f t="shared" si="108"/>
        <v>1.3775047412552699E-3</v>
      </c>
      <c r="R3203" s="12" t="str">
        <f ca="1">IFERROR(__xludf.DUMMYFUNCTION("""COMPUTED_VALUE"""),"Halloween: The Curse of Michael Myers ")</f>
        <v>Halloween: The Curse of Michael Myers </v>
      </c>
      <c r="S3203" s="12">
        <f t="shared" si="107"/>
        <v>-24417976</v>
      </c>
    </row>
    <row r="3204" spans="1:19" x14ac:dyDescent="0.3">
      <c r="A3204" s="2" t="s">
        <v>714</v>
      </c>
      <c r="B3204" s="2">
        <v>129</v>
      </c>
      <c r="C3204" s="3">
        <v>3073392</v>
      </c>
      <c r="D3204" s="3" t="s">
        <v>6112</v>
      </c>
      <c r="E3204" s="2" t="s">
        <v>715</v>
      </c>
      <c r="F3204" s="2" t="s">
        <v>10</v>
      </c>
      <c r="G3204" s="2" t="s">
        <v>11</v>
      </c>
      <c r="H3204" s="2">
        <v>80000000</v>
      </c>
      <c r="I3204" s="2">
        <v>6.6</v>
      </c>
      <c r="J3204" s="3">
        <v>80033643</v>
      </c>
      <c r="K3204">
        <f t="shared" si="108"/>
        <v>1.3775047412552699E-3</v>
      </c>
      <c r="R3204" s="12" t="str">
        <f ca="1">IFERROR(__xludf.DUMMYFUNCTION("""COMPUTED_VALUE"""),"Y Tu Mamá También ")</f>
        <v>Y Tu Mamá También </v>
      </c>
      <c r="S3204" s="12">
        <f t="shared" si="107"/>
        <v>-8203976</v>
      </c>
    </row>
    <row r="3205" spans="1:19" x14ac:dyDescent="0.3">
      <c r="A3205" s="2" t="s">
        <v>112</v>
      </c>
      <c r="B3205" s="2">
        <v>154</v>
      </c>
      <c r="C3205" s="3">
        <v>21994911</v>
      </c>
      <c r="D3205" s="3" t="s">
        <v>6245</v>
      </c>
      <c r="E3205" s="2" t="s">
        <v>776</v>
      </c>
      <c r="F3205" s="2" t="s">
        <v>10</v>
      </c>
      <c r="G3205" s="2" t="s">
        <v>11</v>
      </c>
      <c r="H3205" s="2">
        <v>75000000</v>
      </c>
      <c r="I3205" s="2">
        <v>6.9</v>
      </c>
      <c r="J3205" s="3">
        <v>80034302</v>
      </c>
      <c r="K3205">
        <f t="shared" si="108"/>
        <v>1.3775047412552699E-3</v>
      </c>
      <c r="R3205" s="12" t="str">
        <f ca="1">IFERROR(__xludf.DUMMYFUNCTION("""COMPUTED_VALUE"""),"Shaun of the Dead ")</f>
        <v>Shaun of the Dead </v>
      </c>
      <c r="S3205" s="12">
        <f t="shared" si="107"/>
        <v>-56261308</v>
      </c>
    </row>
    <row r="3206" spans="1:19" x14ac:dyDescent="0.3">
      <c r="A3206" s="2" t="s">
        <v>404</v>
      </c>
      <c r="B3206" s="2">
        <v>106</v>
      </c>
      <c r="C3206" s="3">
        <v>11806119</v>
      </c>
      <c r="D3206" s="3" t="s">
        <v>885</v>
      </c>
      <c r="E3206" s="2" t="s">
        <v>1069</v>
      </c>
      <c r="F3206" s="2" t="s">
        <v>10</v>
      </c>
      <c r="G3206" s="2" t="s">
        <v>11</v>
      </c>
      <c r="H3206" s="2">
        <v>60000000</v>
      </c>
      <c r="I3206" s="2">
        <v>6.6</v>
      </c>
      <c r="J3206" s="3">
        <v>80050171</v>
      </c>
      <c r="K3206">
        <f t="shared" si="108"/>
        <v>1.3775047412552699E-3</v>
      </c>
      <c r="R3206" s="12" t="str">
        <f ca="1">IFERROR(__xludf.DUMMYFUNCTION("""COMPUTED_VALUE"""),"The Haunting of Molly Hartley ")</f>
        <v>The Haunting of Molly Hartley </v>
      </c>
      <c r="S3206" s="12">
        <f t="shared" si="107"/>
        <v>-89546921</v>
      </c>
    </row>
    <row r="3207" spans="1:19" x14ac:dyDescent="0.3">
      <c r="A3207" s="2" t="s">
        <v>1506</v>
      </c>
      <c r="B3207" s="2">
        <v>83</v>
      </c>
      <c r="C3207" s="3">
        <v>51178893</v>
      </c>
      <c r="D3207" s="3" t="s">
        <v>885</v>
      </c>
      <c r="E3207" s="2" t="s">
        <v>3034</v>
      </c>
      <c r="F3207" s="2" t="s">
        <v>10</v>
      </c>
      <c r="G3207" s="2" t="s">
        <v>11</v>
      </c>
      <c r="H3207" s="2">
        <v>12000000</v>
      </c>
      <c r="I3207" s="2">
        <v>4.3</v>
      </c>
      <c r="J3207" s="3">
        <v>80150343</v>
      </c>
      <c r="K3207">
        <f t="shared" si="108"/>
        <v>1.3775047412552699E-3</v>
      </c>
      <c r="R3207" s="12" t="str">
        <f ca="1">IFERROR(__xludf.DUMMYFUNCTION("""COMPUTED_VALUE"""),"Lone Star ")</f>
        <v>Lone Star </v>
      </c>
      <c r="S3207" s="12">
        <f t="shared" si="107"/>
        <v>-6407128</v>
      </c>
    </row>
    <row r="3208" spans="1:19" x14ac:dyDescent="0.3">
      <c r="A3208" s="2" t="s">
        <v>5331</v>
      </c>
      <c r="B3208" s="2">
        <v>100</v>
      </c>
      <c r="C3208" s="3">
        <v>669276</v>
      </c>
      <c r="D3208" s="3" t="s">
        <v>5940</v>
      </c>
      <c r="E3208" s="2" t="s">
        <v>5332</v>
      </c>
      <c r="F3208" s="2" t="s">
        <v>10</v>
      </c>
      <c r="G3208" s="2" t="s">
        <v>11</v>
      </c>
      <c r="H3208" s="2">
        <v>1000000</v>
      </c>
      <c r="I3208" s="2">
        <v>3.6</v>
      </c>
      <c r="J3208" s="3">
        <v>80170146</v>
      </c>
      <c r="K3208">
        <f t="shared" si="108"/>
        <v>1.3775047412552699E-3</v>
      </c>
      <c r="R3208" s="12" t="str">
        <f ca="1">IFERROR(__xludf.DUMMYFUNCTION("""COMPUTED_VALUE"""),"Halloween 4: The Return of Michael Myers ")</f>
        <v>Halloween 4: The Return of Michael Myers </v>
      </c>
      <c r="S3208" s="12">
        <f t="shared" si="107"/>
        <v>-18302044</v>
      </c>
    </row>
    <row r="3209" spans="1:19" x14ac:dyDescent="0.3">
      <c r="A3209" s="2" t="s">
        <v>83</v>
      </c>
      <c r="B3209" s="2">
        <v>117</v>
      </c>
      <c r="C3209" s="3">
        <v>15655665</v>
      </c>
      <c r="D3209" s="3" t="s">
        <v>6442</v>
      </c>
      <c r="E3209" s="2" t="s">
        <v>1126</v>
      </c>
      <c r="F3209" s="2" t="s">
        <v>10</v>
      </c>
      <c r="G3209" s="2" t="s">
        <v>16</v>
      </c>
      <c r="H3209" s="2">
        <v>80000000</v>
      </c>
      <c r="I3209" s="2">
        <v>6.6</v>
      </c>
      <c r="J3209" s="3">
        <v>80197993</v>
      </c>
      <c r="K3209">
        <f t="shared" si="108"/>
        <v>1.3775047412552699E-3</v>
      </c>
      <c r="R3209" s="12" t="str">
        <f ca="1">IFERROR(__xludf.DUMMYFUNCTION("""COMPUTED_VALUE"""),"April Fool's Day ")</f>
        <v>April Fool's Day </v>
      </c>
      <c r="S3209" s="12">
        <f t="shared" si="107"/>
        <v>-15585465</v>
      </c>
    </row>
    <row r="3210" spans="1:19" x14ac:dyDescent="0.3">
      <c r="A3210" s="2" t="s">
        <v>1162</v>
      </c>
      <c r="B3210" s="2">
        <v>94</v>
      </c>
      <c r="C3210" s="2">
        <v>5132655</v>
      </c>
      <c r="D3210" s="3" t="s">
        <v>885</v>
      </c>
      <c r="E3210" s="2" t="s">
        <v>3048</v>
      </c>
      <c r="F3210" s="2" t="s">
        <v>10</v>
      </c>
      <c r="G3210" s="2" t="s">
        <v>71</v>
      </c>
      <c r="H3210" s="2">
        <v>20000000</v>
      </c>
      <c r="I3210" s="2">
        <v>2.2999999999999998</v>
      </c>
      <c r="J3210" s="3">
        <v>80270227</v>
      </c>
      <c r="K3210">
        <f t="shared" si="108"/>
        <v>1.3775047412552699E-3</v>
      </c>
      <c r="R3210" s="12" t="str">
        <f ca="1">IFERROR(__xludf.DUMMYFUNCTION("""COMPUTED_VALUE"""),"Diner ")</f>
        <v>Diner </v>
      </c>
      <c r="S3210" s="12">
        <f t="shared" si="107"/>
        <v>-550442</v>
      </c>
    </row>
    <row r="3211" spans="1:19" x14ac:dyDescent="0.3">
      <c r="A3211" s="2" t="s">
        <v>3948</v>
      </c>
      <c r="B3211" s="2">
        <v>103</v>
      </c>
      <c r="C3211" s="3">
        <v>163479795</v>
      </c>
      <c r="D3211" s="3" t="s">
        <v>5940</v>
      </c>
      <c r="E3211" s="2" t="s">
        <v>3949</v>
      </c>
      <c r="F3211" s="2" t="s">
        <v>10</v>
      </c>
      <c r="G3211" s="2" t="s">
        <v>11</v>
      </c>
      <c r="H3211" s="2">
        <v>10600000</v>
      </c>
      <c r="I3211" s="2">
        <v>5.4</v>
      </c>
      <c r="J3211" s="3">
        <v>80276912</v>
      </c>
      <c r="K3211">
        <f t="shared" si="108"/>
        <v>1.3775047412552699E-3</v>
      </c>
      <c r="R3211" s="12" t="str">
        <f ca="1">IFERROR(__xludf.DUMMYFUNCTION("""COMPUTED_VALUE"""),"Lone Wolf McQuade ")</f>
        <v>Lone Wolf McQuade </v>
      </c>
      <c r="S3211" s="12">
        <f t="shared" si="107"/>
        <v>-23846400</v>
      </c>
    </row>
    <row r="3212" spans="1:19" x14ac:dyDescent="0.3">
      <c r="A3212" s="2" t="s">
        <v>2323</v>
      </c>
      <c r="B3212" s="2">
        <v>102</v>
      </c>
      <c r="C3212" s="3">
        <v>1712111</v>
      </c>
      <c r="D3212" s="3" t="s">
        <v>6443</v>
      </c>
      <c r="E3212" s="2" t="s">
        <v>2324</v>
      </c>
      <c r="F3212" s="2" t="s">
        <v>10</v>
      </c>
      <c r="G3212" s="2" t="s">
        <v>11</v>
      </c>
      <c r="H3212" s="2">
        <v>25000000</v>
      </c>
      <c r="I3212" s="2">
        <v>4.8</v>
      </c>
      <c r="J3212" s="3">
        <v>80281096</v>
      </c>
      <c r="K3212">
        <f t="shared" si="108"/>
        <v>1.3775047412552699E-3</v>
      </c>
      <c r="R3212" s="12" t="str">
        <f ca="1">IFERROR(__xludf.DUMMYFUNCTION("""COMPUTED_VALUE"""),"Apollo 18 ")</f>
        <v>Apollo 18 </v>
      </c>
      <c r="S3212" s="12">
        <f t="shared" si="107"/>
        <v>40317350</v>
      </c>
    </row>
    <row r="3213" spans="1:19" x14ac:dyDescent="0.3">
      <c r="A3213" s="2" t="s">
        <v>1367</v>
      </c>
      <c r="B3213" s="2">
        <v>91</v>
      </c>
      <c r="C3213" s="3">
        <v>925402</v>
      </c>
      <c r="D3213" s="3" t="s">
        <v>6041</v>
      </c>
      <c r="E3213" s="2" t="s">
        <v>5434</v>
      </c>
      <c r="F3213" s="2" t="s">
        <v>4586</v>
      </c>
      <c r="G3213" s="2" t="s">
        <v>4587</v>
      </c>
      <c r="H3213" s="2">
        <v>800000</v>
      </c>
      <c r="I3213" s="2">
        <v>6.4</v>
      </c>
      <c r="J3213" s="3">
        <v>80360866</v>
      </c>
      <c r="K3213">
        <f t="shared" si="108"/>
        <v>1.3775047412552699E-3</v>
      </c>
      <c r="R3213" s="12" t="str">
        <f ca="1">IFERROR(__xludf.DUMMYFUNCTION("""COMPUTED_VALUE"""),"Sunshine Cleaning ")</f>
        <v>Sunshine Cleaning </v>
      </c>
      <c r="S3213" s="12">
        <f t="shared" si="107"/>
        <v>43500797</v>
      </c>
    </row>
    <row r="3214" spans="1:19" x14ac:dyDescent="0.3">
      <c r="A3214" s="2" t="s">
        <v>5053</v>
      </c>
      <c r="B3214" s="2">
        <v>89</v>
      </c>
      <c r="C3214" s="3">
        <v>3041803</v>
      </c>
      <c r="D3214" s="3" t="s">
        <v>5894</v>
      </c>
      <c r="E3214" s="2" t="s">
        <v>5054</v>
      </c>
      <c r="F3214" s="2" t="s">
        <v>4586</v>
      </c>
      <c r="G3214" s="2" t="s">
        <v>4587</v>
      </c>
      <c r="H3214" s="2">
        <v>15500000</v>
      </c>
      <c r="I3214" s="2">
        <v>7.6</v>
      </c>
      <c r="J3214" s="3">
        <v>80574010</v>
      </c>
      <c r="K3214">
        <f t="shared" si="108"/>
        <v>1.3775047412552699E-3</v>
      </c>
      <c r="R3214" s="12" t="str">
        <f ca="1">IFERROR(__xludf.DUMMYFUNCTION("""COMPUTED_VALUE"""),"No Escape ")</f>
        <v>No Escape </v>
      </c>
      <c r="S3214" s="12">
        <f t="shared" si="107"/>
        <v>46862581</v>
      </c>
    </row>
    <row r="3215" spans="1:19" x14ac:dyDescent="0.3">
      <c r="A3215" s="2" t="s">
        <v>4994</v>
      </c>
      <c r="B3215" s="2">
        <v>97</v>
      </c>
      <c r="C3215" s="3">
        <v>21973182</v>
      </c>
      <c r="D3215" s="3" t="s">
        <v>6444</v>
      </c>
      <c r="E3215" s="2" t="s">
        <v>4995</v>
      </c>
      <c r="F3215" s="2" t="s">
        <v>10</v>
      </c>
      <c r="G3215" s="2" t="s">
        <v>11</v>
      </c>
      <c r="H3215" s="2">
        <v>1800000</v>
      </c>
      <c r="I3215" s="2">
        <v>5.9</v>
      </c>
      <c r="J3215" s="3">
        <v>80920948</v>
      </c>
      <c r="K3215">
        <f t="shared" si="108"/>
        <v>1.3775047412552699E-3</v>
      </c>
      <c r="R3215" s="12" t="str">
        <f ca="1">IFERROR(__xludf.DUMMYFUNCTION("""COMPUTED_VALUE"""),"Fifty Shades of Black ")</f>
        <v>Fifty Shades of Black </v>
      </c>
      <c r="S3215" s="12">
        <f t="shared" si="107"/>
        <v>13055988</v>
      </c>
    </row>
    <row r="3216" spans="1:19" x14ac:dyDescent="0.3">
      <c r="A3216" s="2" t="s">
        <v>131</v>
      </c>
      <c r="B3216" s="2">
        <v>132</v>
      </c>
      <c r="C3216" s="3">
        <v>5694308</v>
      </c>
      <c r="D3216" s="3" t="s">
        <v>885</v>
      </c>
      <c r="E3216" s="2" t="s">
        <v>859</v>
      </c>
      <c r="F3216" s="2" t="s">
        <v>10</v>
      </c>
      <c r="G3216" s="2" t="s">
        <v>11</v>
      </c>
      <c r="H3216" s="2">
        <v>70000000</v>
      </c>
      <c r="I3216" s="2">
        <v>5.8</v>
      </c>
      <c r="J3216" s="3">
        <v>81022333</v>
      </c>
      <c r="K3216">
        <f t="shared" si="108"/>
        <v>1.3775047412552699E-3</v>
      </c>
      <c r="R3216" s="12" t="str">
        <f ca="1">IFERROR(__xludf.DUMMYFUNCTION("""COMPUTED_VALUE"""),"Not Easily Broken ")</f>
        <v>Not Easily Broken </v>
      </c>
      <c r="S3216" s="12">
        <f t="shared" si="107"/>
        <v>-34117290</v>
      </c>
    </row>
    <row r="3217" spans="1:19" x14ac:dyDescent="0.3">
      <c r="A3217" s="2" t="s">
        <v>2663</v>
      </c>
      <c r="B3217" s="2">
        <v>95</v>
      </c>
      <c r="C3217" s="3">
        <v>15561627</v>
      </c>
      <c r="D3217" s="3" t="s">
        <v>6121</v>
      </c>
      <c r="E3217" s="2" t="s">
        <v>2664</v>
      </c>
      <c r="F3217" s="2" t="s">
        <v>10</v>
      </c>
      <c r="G3217" s="2" t="s">
        <v>11</v>
      </c>
      <c r="H3217" s="2">
        <v>25000000</v>
      </c>
      <c r="I3217" s="2">
        <v>4.0999999999999996</v>
      </c>
      <c r="J3217" s="3">
        <v>81150692</v>
      </c>
      <c r="K3217">
        <f t="shared" si="108"/>
        <v>1.3775047412552699E-3</v>
      </c>
      <c r="R3217" s="12" t="str">
        <f ca="1">IFERROR(__xludf.DUMMYFUNCTION("""COMPUTED_VALUE"""),"The Perfect Match ")</f>
        <v>The Perfect Match </v>
      </c>
      <c r="S3217" s="12">
        <f t="shared" si="107"/>
        <v>-69116</v>
      </c>
    </row>
    <row r="3218" spans="1:19" x14ac:dyDescent="0.3">
      <c r="A3218" s="2" t="s">
        <v>860</v>
      </c>
      <c r="B3218" s="2">
        <v>92</v>
      </c>
      <c r="C3218" s="3">
        <v>13558739</v>
      </c>
      <c r="D3218" s="3" t="s">
        <v>6445</v>
      </c>
      <c r="E3218" s="2" t="s">
        <v>861</v>
      </c>
      <c r="F3218" s="2" t="s">
        <v>10</v>
      </c>
      <c r="G3218" s="2" t="s">
        <v>11</v>
      </c>
      <c r="H3218" s="2">
        <v>74000000</v>
      </c>
      <c r="I3218" s="2">
        <v>6</v>
      </c>
      <c r="J3218" s="3">
        <v>81159365</v>
      </c>
      <c r="K3218">
        <f t="shared" si="108"/>
        <v>1.3775047412552699E-3</v>
      </c>
      <c r="R3218" s="12" t="str">
        <f ca="1">IFERROR(__xludf.DUMMYFUNCTION("""COMPUTED_VALUE"""),"Digimon: The Movie ")</f>
        <v>Digimon: The Movie </v>
      </c>
      <c r="S3218" s="12">
        <f t="shared" si="107"/>
        <v>-24492947</v>
      </c>
    </row>
    <row r="3219" spans="1:19" x14ac:dyDescent="0.3">
      <c r="A3219" s="2" t="s">
        <v>3635</v>
      </c>
      <c r="B3219" s="2">
        <v>111</v>
      </c>
      <c r="C3219" s="3">
        <v>82624961</v>
      </c>
      <c r="D3219" s="3" t="s">
        <v>6112</v>
      </c>
      <c r="E3219" s="2" t="s">
        <v>5250</v>
      </c>
      <c r="F3219" s="2" t="s">
        <v>10</v>
      </c>
      <c r="G3219" s="2" t="s">
        <v>11</v>
      </c>
      <c r="H3219" s="2">
        <v>1200000</v>
      </c>
      <c r="I3219" s="2">
        <v>7.7</v>
      </c>
      <c r="J3219" s="3">
        <v>81200000</v>
      </c>
      <c r="K3219">
        <f t="shared" si="108"/>
        <v>1.3775047412552699E-3</v>
      </c>
      <c r="R3219" s="12" t="str">
        <f ca="1">IFERROR(__xludf.DUMMYFUNCTION("""COMPUTED_VALUE"""),"Saved! ")</f>
        <v>Saved! </v>
      </c>
      <c r="S3219" s="12">
        <f t="shared" si="107"/>
        <v>-99945394</v>
      </c>
    </row>
    <row r="3220" spans="1:19" x14ac:dyDescent="0.3">
      <c r="A3220" s="2" t="s">
        <v>3388</v>
      </c>
      <c r="B3220" s="2">
        <v>100</v>
      </c>
      <c r="C3220" s="3">
        <v>2086345</v>
      </c>
      <c r="D3220" s="3" t="s">
        <v>6251</v>
      </c>
      <c r="E3220" s="2" t="s">
        <v>4585</v>
      </c>
      <c r="F3220" s="2" t="s">
        <v>4586</v>
      </c>
      <c r="G3220" s="2" t="s">
        <v>4587</v>
      </c>
      <c r="H3220" s="2">
        <v>30300000</v>
      </c>
      <c r="I3220" s="2">
        <v>7.6</v>
      </c>
      <c r="J3220" s="3">
        <v>81257500</v>
      </c>
      <c r="K3220">
        <f t="shared" si="108"/>
        <v>1.3775047412552699E-3</v>
      </c>
      <c r="R3220" s="12" t="str">
        <f ca="1">IFERROR(__xludf.DUMMYFUNCTION("""COMPUTED_VALUE"""),"The Barbarian Invasions ")</f>
        <v>The Barbarian Invasions </v>
      </c>
      <c r="S3220" s="12">
        <f t="shared" si="107"/>
        <v>3356386</v>
      </c>
    </row>
    <row r="3221" spans="1:19" x14ac:dyDescent="0.3">
      <c r="A3221" s="2" t="s">
        <v>640</v>
      </c>
      <c r="B3221" s="2">
        <v>126</v>
      </c>
      <c r="C3221" s="3">
        <v>27854896</v>
      </c>
      <c r="D3221" s="3" t="s">
        <v>5910</v>
      </c>
      <c r="E3221" s="2" t="s">
        <v>2250</v>
      </c>
      <c r="F3221" s="2" t="s">
        <v>10</v>
      </c>
      <c r="G3221" s="2" t="s">
        <v>11</v>
      </c>
      <c r="H3221" s="2">
        <v>30000000</v>
      </c>
      <c r="I3221" s="2">
        <v>7.6</v>
      </c>
      <c r="J3221" s="3">
        <v>81257845</v>
      </c>
      <c r="K3221">
        <f t="shared" si="108"/>
        <v>1.3775047412552699E-3</v>
      </c>
      <c r="R3221" s="12" t="str">
        <f ca="1">IFERROR(__xludf.DUMMYFUNCTION("""COMPUTED_VALUE"""),"The Forsaken ")</f>
        <v>The Forsaken </v>
      </c>
      <c r="S3221" s="12">
        <f t="shared" si="107"/>
        <v>-16210108</v>
      </c>
    </row>
    <row r="3222" spans="1:19" x14ac:dyDescent="0.3">
      <c r="A3222" s="2" t="s">
        <v>5729</v>
      </c>
      <c r="B3222" s="2">
        <v>80</v>
      </c>
      <c r="C3222" s="3">
        <v>9975684</v>
      </c>
      <c r="D3222" s="3" t="s">
        <v>5767</v>
      </c>
      <c r="E3222" s="2" t="s">
        <v>5730</v>
      </c>
      <c r="F3222" s="2" t="s">
        <v>10</v>
      </c>
      <c r="G3222" s="2" t="s">
        <v>5731</v>
      </c>
      <c r="H3222" s="3">
        <v>474544677</v>
      </c>
      <c r="I3222" s="2">
        <v>6.3</v>
      </c>
      <c r="J3222" s="3">
        <v>81292135</v>
      </c>
      <c r="K3222">
        <f t="shared" si="108"/>
        <v>1.3775047412552699E-3</v>
      </c>
      <c r="R3222" s="12" t="str">
        <f ca="1">IFERROR(__xludf.DUMMYFUNCTION("""COMPUTED_VALUE"""),"UHF ")</f>
        <v>UHF </v>
      </c>
      <c r="S3222" s="12">
        <f t="shared" si="107"/>
        <v>-9305599</v>
      </c>
    </row>
    <row r="3223" spans="1:19" x14ac:dyDescent="0.3">
      <c r="A3223" s="2" t="s">
        <v>1771</v>
      </c>
      <c r="B3223" s="2">
        <v>141</v>
      </c>
      <c r="C3223" s="3">
        <v>19283782</v>
      </c>
      <c r="D3223" s="3" t="s">
        <v>885</v>
      </c>
      <c r="E3223" s="2" t="s">
        <v>2079</v>
      </c>
      <c r="F3223" s="2" t="s">
        <v>10</v>
      </c>
      <c r="G3223" s="2" t="s">
        <v>16</v>
      </c>
      <c r="H3223" s="2">
        <v>35000000</v>
      </c>
      <c r="I3223" s="2">
        <v>7.1</v>
      </c>
      <c r="J3223" s="3">
        <v>81350242</v>
      </c>
      <c r="K3223">
        <f t="shared" si="108"/>
        <v>1.3775047412552699E-3</v>
      </c>
      <c r="R3223" s="12" t="str">
        <f ca="1">IFERROR(__xludf.DUMMYFUNCTION("""COMPUTED_VALUE"""),"Slums of Beverly Hills ")</f>
        <v>Slums of Beverly Hills </v>
      </c>
      <c r="S3223" s="12">
        <f t="shared" si="107"/>
        <v>9093607</v>
      </c>
    </row>
    <row r="3224" spans="1:19" x14ac:dyDescent="0.3">
      <c r="A3224" s="2" t="s">
        <v>2859</v>
      </c>
      <c r="B3224" s="2">
        <v>94</v>
      </c>
      <c r="C3224" s="3">
        <v>5669081</v>
      </c>
      <c r="D3224" s="3" t="s">
        <v>6163</v>
      </c>
      <c r="E3224" s="2" t="s">
        <v>2860</v>
      </c>
      <c r="F3224" s="2" t="s">
        <v>10</v>
      </c>
      <c r="G3224" s="2" t="s">
        <v>11</v>
      </c>
      <c r="H3224" s="2">
        <v>20000000</v>
      </c>
      <c r="I3224" s="2">
        <v>7</v>
      </c>
      <c r="J3224" s="3">
        <v>81517441</v>
      </c>
      <c r="K3224">
        <f t="shared" si="108"/>
        <v>1.3775047412552699E-3</v>
      </c>
      <c r="R3224" s="12" t="str">
        <f ca="1">IFERROR(__xludf.DUMMYFUNCTION("""COMPUTED_VALUE"""),"Made ")</f>
        <v>Made </v>
      </c>
      <c r="S3224" s="12">
        <f t="shared" si="107"/>
        <v>-41707895</v>
      </c>
    </row>
    <row r="3225" spans="1:19" x14ac:dyDescent="0.3">
      <c r="A3225" s="2" t="s">
        <v>1943</v>
      </c>
      <c r="B3225" s="2">
        <v>174</v>
      </c>
      <c r="C3225" s="3">
        <v>399611</v>
      </c>
      <c r="D3225" s="3" t="s">
        <v>6446</v>
      </c>
      <c r="E3225" s="2" t="s">
        <v>4237</v>
      </c>
      <c r="F3225" s="2" t="s">
        <v>10</v>
      </c>
      <c r="G3225" s="2" t="s">
        <v>11</v>
      </c>
      <c r="H3225" s="2">
        <v>8200000</v>
      </c>
      <c r="I3225" s="2">
        <v>8</v>
      </c>
      <c r="J3225" s="3">
        <v>81557479</v>
      </c>
      <c r="K3225">
        <f t="shared" si="108"/>
        <v>1.3775047412552699E-3</v>
      </c>
      <c r="R3225" s="12" t="str">
        <f ca="1">IFERROR(__xludf.DUMMYFUNCTION("""COMPUTED_VALUE"""),"Moon ")</f>
        <v>Moon </v>
      </c>
      <c r="S3225" s="12">
        <f t="shared" ref="S3225:S3288" si="109">C3203-H3203</f>
        <v>-17959412</v>
      </c>
    </row>
    <row r="3226" spans="1:19" x14ac:dyDescent="0.3">
      <c r="A3226" s="2" t="s">
        <v>468</v>
      </c>
      <c r="B3226" s="2">
        <v>123</v>
      </c>
      <c r="C3226" s="3">
        <v>10017041</v>
      </c>
      <c r="D3226" s="3" t="s">
        <v>6427</v>
      </c>
      <c r="E3226" s="2" t="s">
        <v>688</v>
      </c>
      <c r="F3226" s="2" t="s">
        <v>10</v>
      </c>
      <c r="G3226" s="2" t="s">
        <v>11</v>
      </c>
      <c r="H3226" s="2">
        <v>75000000</v>
      </c>
      <c r="I3226" s="2">
        <v>6.8</v>
      </c>
      <c r="J3226" s="3">
        <v>81593527</v>
      </c>
      <c r="K3226">
        <f t="shared" si="108"/>
        <v>1.3775047412552699E-3</v>
      </c>
      <c r="R3226" s="12" t="str">
        <f ca="1">IFERROR(__xludf.DUMMYFUNCTION("""COMPUTED_VALUE"""),"Sea Rex 3D: Journey to a Prehistoric World ")</f>
        <v>Sea Rex 3D: Journey to a Prehistoric World </v>
      </c>
      <c r="S3226" s="12">
        <f t="shared" si="109"/>
        <v>-76926608</v>
      </c>
    </row>
    <row r="3227" spans="1:19" x14ac:dyDescent="0.3">
      <c r="A3227" s="2" t="s">
        <v>1308</v>
      </c>
      <c r="B3227" s="2">
        <v>115</v>
      </c>
      <c r="C3227" s="3">
        <v>169379</v>
      </c>
      <c r="D3227" s="3" t="s">
        <v>6241</v>
      </c>
      <c r="E3227" s="2" t="s">
        <v>1826</v>
      </c>
      <c r="F3227" s="2" t="s">
        <v>10</v>
      </c>
      <c r="G3227" s="2" t="s">
        <v>11</v>
      </c>
      <c r="H3227" s="2">
        <v>40000000</v>
      </c>
      <c r="I3227" s="2">
        <v>5.8</v>
      </c>
      <c r="J3227" s="3">
        <v>81638674</v>
      </c>
      <c r="K3227">
        <f t="shared" si="108"/>
        <v>1.3775047412552699E-3</v>
      </c>
      <c r="R3227" s="12" t="str">
        <f ca="1">IFERROR(__xludf.DUMMYFUNCTION("""COMPUTED_VALUE"""),"The Sweet Hereafter ")</f>
        <v>The Sweet Hereafter </v>
      </c>
      <c r="S3227" s="12">
        <f t="shared" si="109"/>
        <v>-53005089</v>
      </c>
    </row>
    <row r="3228" spans="1:19" x14ac:dyDescent="0.3">
      <c r="A3228" s="2" t="s">
        <v>332</v>
      </c>
      <c r="B3228" s="2">
        <v>119</v>
      </c>
      <c r="C3228" s="3">
        <v>4859475</v>
      </c>
      <c r="D3228" s="3" t="s">
        <v>6447</v>
      </c>
      <c r="E3228" s="2" t="s">
        <v>407</v>
      </c>
      <c r="F3228" s="2" t="s">
        <v>10</v>
      </c>
      <c r="G3228" s="2" t="s">
        <v>11</v>
      </c>
      <c r="H3228" s="2">
        <v>110000000</v>
      </c>
      <c r="I3228" s="2">
        <v>6.3</v>
      </c>
      <c r="J3228" s="3">
        <v>81645152</v>
      </c>
      <c r="K3228">
        <f t="shared" si="108"/>
        <v>1.3775047412552699E-3</v>
      </c>
      <c r="R3228" s="12" t="str">
        <f ca="1">IFERROR(__xludf.DUMMYFUNCTION("""COMPUTED_VALUE"""),"Of Gods and Men ")</f>
        <v>Of Gods and Men </v>
      </c>
      <c r="S3228" s="12">
        <f t="shared" si="109"/>
        <v>-48193881</v>
      </c>
    </row>
    <row r="3229" spans="1:19" x14ac:dyDescent="0.3">
      <c r="A3229" s="2" t="s">
        <v>613</v>
      </c>
      <c r="B3229" s="2">
        <v>99</v>
      </c>
      <c r="C3229" s="3">
        <v>3034181</v>
      </c>
      <c r="D3229" s="3" t="s">
        <v>5940</v>
      </c>
      <c r="E3229" s="2" t="s">
        <v>823</v>
      </c>
      <c r="F3229" s="2" t="s">
        <v>10</v>
      </c>
      <c r="G3229" s="2" t="s">
        <v>16</v>
      </c>
      <c r="H3229" s="2">
        <v>75000000</v>
      </c>
      <c r="I3229" s="2">
        <v>6</v>
      </c>
      <c r="J3229" s="3">
        <v>81687587</v>
      </c>
      <c r="K3229">
        <f t="shared" si="108"/>
        <v>1.3775047412552699E-3</v>
      </c>
      <c r="R3229" s="12" t="str">
        <f ca="1">IFERROR(__xludf.DUMMYFUNCTION("""COMPUTED_VALUE"""),"Bottle Shock ")</f>
        <v>Bottle Shock </v>
      </c>
      <c r="S3229" s="12">
        <f t="shared" si="109"/>
        <v>39178893</v>
      </c>
    </row>
    <row r="3230" spans="1:19" x14ac:dyDescent="0.3">
      <c r="A3230" s="2" t="s">
        <v>1492</v>
      </c>
      <c r="B3230" s="2">
        <v>119</v>
      </c>
      <c r="C3230" s="3">
        <v>71904</v>
      </c>
      <c r="D3230" s="3" t="s">
        <v>885</v>
      </c>
      <c r="E3230" s="2" t="s">
        <v>2687</v>
      </c>
      <c r="F3230" s="2" t="s">
        <v>10</v>
      </c>
      <c r="G3230" s="2" t="s">
        <v>11</v>
      </c>
      <c r="H3230" s="2">
        <v>14000000</v>
      </c>
      <c r="I3230" s="2">
        <v>7.7</v>
      </c>
      <c r="J3230" s="3">
        <v>82161969</v>
      </c>
      <c r="K3230">
        <f t="shared" si="108"/>
        <v>1.3775047412552699E-3</v>
      </c>
      <c r="R3230" s="12" t="str">
        <f ca="1">IFERROR(__xludf.DUMMYFUNCTION("""COMPUTED_VALUE"""),"Heavenly Creatures ")</f>
        <v>Heavenly Creatures </v>
      </c>
      <c r="S3230" s="12">
        <f t="shared" si="109"/>
        <v>-330724</v>
      </c>
    </row>
    <row r="3231" spans="1:19" x14ac:dyDescent="0.3">
      <c r="A3231" s="2" t="s">
        <v>355</v>
      </c>
      <c r="B3231" s="2">
        <v>150</v>
      </c>
      <c r="C3231" s="3">
        <v>21835784</v>
      </c>
      <c r="D3231" s="3" t="s">
        <v>1703</v>
      </c>
      <c r="E3231" s="2" t="s">
        <v>1853</v>
      </c>
      <c r="F3231" s="2" t="s">
        <v>513</v>
      </c>
      <c r="G3231" s="2" t="s">
        <v>233</v>
      </c>
      <c r="H3231" s="2">
        <v>553632000</v>
      </c>
      <c r="I3231" s="2">
        <v>7.4</v>
      </c>
      <c r="J3231" s="3">
        <v>82163317</v>
      </c>
      <c r="K3231">
        <f t="shared" si="108"/>
        <v>1.3775047412552699E-3</v>
      </c>
      <c r="R3231" s="12" t="str">
        <f ca="1">IFERROR(__xludf.DUMMYFUNCTION("""COMPUTED_VALUE"""),"90 Minutes in Heaven ")</f>
        <v>90 Minutes in Heaven </v>
      </c>
      <c r="S3231" s="12">
        <f t="shared" si="109"/>
        <v>-64344335</v>
      </c>
    </row>
    <row r="3232" spans="1:19" x14ac:dyDescent="0.3">
      <c r="A3232" s="2" t="s">
        <v>2451</v>
      </c>
      <c r="B3232" s="2">
        <v>99</v>
      </c>
      <c r="C3232" s="3">
        <v>882290</v>
      </c>
      <c r="D3232" s="3" t="s">
        <v>5940</v>
      </c>
      <c r="E3232" s="2" t="s">
        <v>4503</v>
      </c>
      <c r="F3232" s="2" t="s">
        <v>10</v>
      </c>
      <c r="G3232" s="2" t="s">
        <v>11</v>
      </c>
      <c r="H3232" s="2">
        <v>5000000</v>
      </c>
      <c r="I3232" s="2">
        <v>6.8</v>
      </c>
      <c r="J3232" s="3">
        <v>82226474</v>
      </c>
      <c r="K3232">
        <f t="shared" si="108"/>
        <v>1.3775047412552699E-3</v>
      </c>
      <c r="R3232" s="12" t="str">
        <f ca="1">IFERROR(__xludf.DUMMYFUNCTION("""COMPUTED_VALUE"""),"Everything Must Go ")</f>
        <v>Everything Must Go </v>
      </c>
      <c r="S3232" s="12">
        <f t="shared" si="109"/>
        <v>-14867345</v>
      </c>
    </row>
    <row r="3233" spans="1:19" x14ac:dyDescent="0.3">
      <c r="A3233" s="2" t="s">
        <v>3231</v>
      </c>
      <c r="B3233" s="2">
        <v>109</v>
      </c>
      <c r="C3233" s="3">
        <v>22294341</v>
      </c>
      <c r="D3233" s="3" t="s">
        <v>6041</v>
      </c>
      <c r="E3233" s="2" t="s">
        <v>4633</v>
      </c>
      <c r="F3233" s="2" t="s">
        <v>10</v>
      </c>
      <c r="G3233" s="2" t="s">
        <v>11</v>
      </c>
      <c r="H3233" s="2">
        <v>6000000</v>
      </c>
      <c r="I3233" s="2">
        <v>7.3</v>
      </c>
      <c r="J3233" s="3">
        <v>82234139</v>
      </c>
      <c r="K3233">
        <f t="shared" si="108"/>
        <v>1.3775047412552699E-3</v>
      </c>
      <c r="R3233" s="12" t="str">
        <f ca="1">IFERROR(__xludf.DUMMYFUNCTION("""COMPUTED_VALUE"""),"Zero Effect ")</f>
        <v>Zero Effect </v>
      </c>
      <c r="S3233" s="12">
        <f t="shared" si="109"/>
        <v>152879795</v>
      </c>
    </row>
    <row r="3234" spans="1:19" x14ac:dyDescent="0.3">
      <c r="A3234" s="2" t="s">
        <v>220</v>
      </c>
      <c r="B3234" s="2">
        <v>122</v>
      </c>
      <c r="C3234" s="3">
        <v>13464388</v>
      </c>
      <c r="D3234" s="3" t="s">
        <v>5947</v>
      </c>
      <c r="E3234" s="2" t="s">
        <v>500</v>
      </c>
      <c r="F3234" s="2" t="s">
        <v>10</v>
      </c>
      <c r="G3234" s="2" t="s">
        <v>11</v>
      </c>
      <c r="H3234" s="2">
        <v>100000000</v>
      </c>
      <c r="I3234" s="2">
        <v>7</v>
      </c>
      <c r="J3234" s="3">
        <v>82300000</v>
      </c>
      <c r="K3234">
        <f t="shared" si="108"/>
        <v>1.3775047412552699E-3</v>
      </c>
      <c r="R3234" s="12" t="str">
        <f ca="1">IFERROR(__xludf.DUMMYFUNCTION("""COMPUTED_VALUE"""),"The Machinist ")</f>
        <v>The Machinist </v>
      </c>
      <c r="S3234" s="12">
        <f t="shared" si="109"/>
        <v>-23287889</v>
      </c>
    </row>
    <row r="3235" spans="1:19" x14ac:dyDescent="0.3">
      <c r="A3235" s="2" t="s">
        <v>416</v>
      </c>
      <c r="B3235" s="2">
        <v>88</v>
      </c>
      <c r="C3235" s="2">
        <v>8460990</v>
      </c>
      <c r="D3235" s="3" t="s">
        <v>6199</v>
      </c>
      <c r="E3235" s="2" t="s">
        <v>911</v>
      </c>
      <c r="F3235" s="2" t="s">
        <v>10</v>
      </c>
      <c r="G3235" s="2" t="s">
        <v>11</v>
      </c>
      <c r="H3235" s="2">
        <v>70000000</v>
      </c>
      <c r="I3235" s="2">
        <v>5.6</v>
      </c>
      <c r="J3235" s="3">
        <v>82301521</v>
      </c>
      <c r="K3235">
        <f t="shared" si="108"/>
        <v>1.3775047412552699E-3</v>
      </c>
      <c r="R3235" s="12" t="str">
        <f ca="1">IFERROR(__xludf.DUMMYFUNCTION("""COMPUTED_VALUE"""),"Light Sleeper ")</f>
        <v>Light Sleeper </v>
      </c>
      <c r="S3235" s="12">
        <f t="shared" si="109"/>
        <v>125402</v>
      </c>
    </row>
    <row r="3236" spans="1:19" x14ac:dyDescent="0.3">
      <c r="A3236" s="2" t="s">
        <v>1215</v>
      </c>
      <c r="B3236" s="2">
        <v>123</v>
      </c>
      <c r="C3236" s="3">
        <v>34667015</v>
      </c>
      <c r="D3236" s="3" t="s">
        <v>5894</v>
      </c>
      <c r="E3236" s="2" t="s">
        <v>1270</v>
      </c>
      <c r="F3236" s="2" t="s">
        <v>10</v>
      </c>
      <c r="G3236" s="2" t="s">
        <v>11</v>
      </c>
      <c r="H3236" s="2">
        <v>55000000</v>
      </c>
      <c r="I3236" s="2">
        <v>7.7</v>
      </c>
      <c r="J3236" s="3">
        <v>82389560</v>
      </c>
      <c r="K3236">
        <f t="shared" si="108"/>
        <v>1.3775047412552699E-3</v>
      </c>
      <c r="R3236" s="12" t="str">
        <f ca="1">IFERROR(__xludf.DUMMYFUNCTION("""COMPUTED_VALUE"""),"Kill the Messenger ")</f>
        <v>Kill the Messenger </v>
      </c>
      <c r="S3236" s="12">
        <f t="shared" si="109"/>
        <v>-12458197</v>
      </c>
    </row>
    <row r="3237" spans="1:19" x14ac:dyDescent="0.3">
      <c r="A3237" s="2" t="s">
        <v>2218</v>
      </c>
      <c r="B3237" s="2">
        <v>85</v>
      </c>
      <c r="C3237" s="3">
        <v>9801782</v>
      </c>
      <c r="D3237" s="3" t="s">
        <v>5849</v>
      </c>
      <c r="E3237" s="2" t="s">
        <v>2219</v>
      </c>
      <c r="F3237" s="2" t="s">
        <v>10</v>
      </c>
      <c r="G3237" s="2" t="s">
        <v>71</v>
      </c>
      <c r="H3237" s="2">
        <v>42000000</v>
      </c>
      <c r="I3237" s="2">
        <v>5.8</v>
      </c>
      <c r="J3237" s="3">
        <v>82522790</v>
      </c>
      <c r="K3237">
        <f t="shared" si="108"/>
        <v>1.3775047412552699E-3</v>
      </c>
      <c r="R3237" s="12" t="str">
        <f ca="1">IFERROR(__xludf.DUMMYFUNCTION("""COMPUTED_VALUE"""),"Rabbit Hole ")</f>
        <v>Rabbit Hole </v>
      </c>
      <c r="S3237" s="12">
        <f t="shared" si="109"/>
        <v>20173182</v>
      </c>
    </row>
    <row r="3238" spans="1:19" x14ac:dyDescent="0.3">
      <c r="A3238" s="2" t="s">
        <v>177</v>
      </c>
      <c r="B3238" s="2">
        <v>117</v>
      </c>
      <c r="C3238" s="3">
        <v>16204793</v>
      </c>
      <c r="D3238" s="3" t="s">
        <v>885</v>
      </c>
      <c r="E3238" s="2" t="s">
        <v>2395</v>
      </c>
      <c r="F3238" s="2" t="s">
        <v>10</v>
      </c>
      <c r="G3238" s="2" t="s">
        <v>16</v>
      </c>
      <c r="H3238" s="2">
        <v>30000000</v>
      </c>
      <c r="I3238" s="2">
        <v>7.7</v>
      </c>
      <c r="J3238" s="3">
        <v>82528097</v>
      </c>
      <c r="K3238">
        <f t="shared" si="108"/>
        <v>1.3775047412552699E-3</v>
      </c>
      <c r="R3238" s="12" t="str">
        <f ca="1">IFERROR(__xludf.DUMMYFUNCTION("""COMPUTED_VALUE"""),"Party Monster ")</f>
        <v>Party Monster </v>
      </c>
      <c r="S3238" s="12">
        <f t="shared" si="109"/>
        <v>-64305692</v>
      </c>
    </row>
    <row r="3239" spans="1:19" x14ac:dyDescent="0.3">
      <c r="A3239" s="2" t="s">
        <v>3894</v>
      </c>
      <c r="B3239" s="2">
        <v>107</v>
      </c>
      <c r="C3239" s="3">
        <v>3029870</v>
      </c>
      <c r="D3239" s="3" t="s">
        <v>520</v>
      </c>
      <c r="E3239" s="2" t="s">
        <v>3895</v>
      </c>
      <c r="F3239" s="2" t="s">
        <v>10</v>
      </c>
      <c r="G3239" s="2" t="s">
        <v>11</v>
      </c>
      <c r="H3239" s="2">
        <v>11000000</v>
      </c>
      <c r="I3239" s="2">
        <v>6.8</v>
      </c>
      <c r="J3239" s="3">
        <v>82569532</v>
      </c>
      <c r="K3239">
        <f t="shared" si="108"/>
        <v>1.3775047412552699E-3</v>
      </c>
      <c r="R3239" s="12" t="str">
        <f ca="1">IFERROR(__xludf.DUMMYFUNCTION("""COMPUTED_VALUE"""),"Green Room ")</f>
        <v>Green Room </v>
      </c>
      <c r="S3239" s="12">
        <f t="shared" si="109"/>
        <v>-9438373</v>
      </c>
    </row>
    <row r="3240" spans="1:19" x14ac:dyDescent="0.3">
      <c r="A3240" s="2" t="s">
        <v>1272</v>
      </c>
      <c r="B3240" s="2">
        <v>220</v>
      </c>
      <c r="C3240" s="3">
        <v>27972410</v>
      </c>
      <c r="D3240" s="3" t="s">
        <v>5849</v>
      </c>
      <c r="E3240" s="2" t="s">
        <v>3650</v>
      </c>
      <c r="F3240" s="2" t="s">
        <v>10</v>
      </c>
      <c r="G3240" s="2" t="s">
        <v>11</v>
      </c>
      <c r="H3240" s="2">
        <v>13000000</v>
      </c>
      <c r="I3240" s="2">
        <v>9</v>
      </c>
      <c r="J3240" s="3">
        <v>82624961</v>
      </c>
      <c r="K3240">
        <f t="shared" si="108"/>
        <v>1.3775047412552699E-3</v>
      </c>
      <c r="R3240" s="12" t="str">
        <f ca="1">IFERROR(__xludf.DUMMYFUNCTION("""COMPUTED_VALUE"""),"Atlas Shrugged: Who Is John Galt? ")</f>
        <v>Atlas Shrugged: Who Is John Galt? </v>
      </c>
      <c r="S3240" s="12">
        <f t="shared" si="109"/>
        <v>-60441261</v>
      </c>
    </row>
    <row r="3241" spans="1:19" x14ac:dyDescent="0.3">
      <c r="A3241" s="2" t="s">
        <v>332</v>
      </c>
      <c r="B3241" s="2">
        <v>107</v>
      </c>
      <c r="C3241" s="3">
        <v>3029081</v>
      </c>
      <c r="D3241" s="3" t="s">
        <v>885</v>
      </c>
      <c r="E3241" s="2" t="s">
        <v>1846</v>
      </c>
      <c r="F3241" s="2" t="s">
        <v>10</v>
      </c>
      <c r="G3241" s="2" t="s">
        <v>11</v>
      </c>
      <c r="H3241" s="2">
        <v>39000000</v>
      </c>
      <c r="I3241" s="2">
        <v>7.1</v>
      </c>
      <c r="J3241" s="3">
        <v>82670733</v>
      </c>
      <c r="K3241">
        <f t="shared" si="108"/>
        <v>1.3775047412552699E-3</v>
      </c>
      <c r="R3241" s="12" t="str">
        <f ca="1">IFERROR(__xludf.DUMMYFUNCTION("""COMPUTED_VALUE"""),"Bottle Rocket ")</f>
        <v>Bottle Rocket </v>
      </c>
      <c r="S3241" s="12">
        <f t="shared" si="109"/>
        <v>81424961</v>
      </c>
    </row>
    <row r="3242" spans="1:19" x14ac:dyDescent="0.3">
      <c r="A3242" s="2" t="s">
        <v>4037</v>
      </c>
      <c r="B3242" s="2">
        <v>108</v>
      </c>
      <c r="C3242" s="3">
        <v>7443007</v>
      </c>
      <c r="D3242" s="3" t="s">
        <v>6100</v>
      </c>
      <c r="E3242" s="2" t="s">
        <v>4038</v>
      </c>
      <c r="F3242" s="2" t="s">
        <v>10</v>
      </c>
      <c r="G3242" s="2" t="s">
        <v>11</v>
      </c>
      <c r="H3242" s="2">
        <v>5000000</v>
      </c>
      <c r="I3242" s="2">
        <v>7.1</v>
      </c>
      <c r="J3242" s="3">
        <v>82931301</v>
      </c>
      <c r="K3242">
        <f t="shared" si="108"/>
        <v>1.3775047412552699E-3</v>
      </c>
      <c r="R3242" s="12" t="str">
        <f ca="1">IFERROR(__xludf.DUMMYFUNCTION("""COMPUTED_VALUE"""),"Albino Alligator ")</f>
        <v>Albino Alligator </v>
      </c>
      <c r="S3242" s="12">
        <f t="shared" si="109"/>
        <v>-28213655</v>
      </c>
    </row>
    <row r="3243" spans="1:19" x14ac:dyDescent="0.3">
      <c r="A3243" s="2" t="s">
        <v>5600</v>
      </c>
      <c r="B3243" s="2">
        <v>75</v>
      </c>
      <c r="C3243" s="3">
        <v>4411102</v>
      </c>
      <c r="D3243" s="3" t="s">
        <v>885</v>
      </c>
      <c r="E3243" s="2" t="s">
        <v>5601</v>
      </c>
      <c r="F3243" s="2" t="s">
        <v>10</v>
      </c>
      <c r="G3243" s="2" t="s">
        <v>11</v>
      </c>
      <c r="H3243" s="2">
        <v>250000</v>
      </c>
      <c r="I3243" s="2">
        <v>7</v>
      </c>
      <c r="J3243" s="3">
        <v>83000000</v>
      </c>
      <c r="K3243">
        <f t="shared" si="108"/>
        <v>1.3775047412552699E-3</v>
      </c>
      <c r="R3243" s="12" t="str">
        <f ca="1">IFERROR(__xludf.DUMMYFUNCTION("""COMPUTED_VALUE"""),"Lovely, Still ")</f>
        <v>Lovely, Still </v>
      </c>
      <c r="S3243" s="12">
        <f t="shared" si="109"/>
        <v>-2145104</v>
      </c>
    </row>
    <row r="3244" spans="1:19" x14ac:dyDescent="0.3">
      <c r="A3244" s="2" t="s">
        <v>1492</v>
      </c>
      <c r="B3244" s="2">
        <v>98</v>
      </c>
      <c r="C3244" s="3">
        <v>99851</v>
      </c>
      <c r="D3244" s="3" t="s">
        <v>6448</v>
      </c>
      <c r="E3244" s="2" t="s">
        <v>3808</v>
      </c>
      <c r="F3244" s="2" t="s">
        <v>10</v>
      </c>
      <c r="G3244" s="2" t="s">
        <v>16</v>
      </c>
      <c r="H3244" s="2">
        <v>12000000</v>
      </c>
      <c r="I3244" s="2">
        <v>7.6</v>
      </c>
      <c r="J3244" s="3">
        <v>83024900</v>
      </c>
      <c r="K3244">
        <f t="shared" si="108"/>
        <v>1.3775047412552699E-3</v>
      </c>
      <c r="R3244" s="12" t="str">
        <f ca="1">IFERROR(__xludf.DUMMYFUNCTION("""COMPUTED_VALUE"""),"Desert Blue ")</f>
        <v>Desert Blue </v>
      </c>
      <c r="S3244" s="12">
        <f t="shared" si="109"/>
        <v>-464568993</v>
      </c>
    </row>
    <row r="3245" spans="1:19" x14ac:dyDescent="0.3">
      <c r="A3245" s="2" t="s">
        <v>5522</v>
      </c>
      <c r="B3245" s="2">
        <v>122</v>
      </c>
      <c r="C3245" s="3">
        <v>42071069</v>
      </c>
      <c r="D3245" s="3" t="s">
        <v>520</v>
      </c>
      <c r="E3245" s="2" t="s">
        <v>5523</v>
      </c>
      <c r="F3245" s="2" t="s">
        <v>10</v>
      </c>
      <c r="G3245" s="2" t="s">
        <v>11</v>
      </c>
      <c r="H3245" s="2">
        <v>32000000</v>
      </c>
      <c r="I3245" s="2">
        <v>2.2000000000000002</v>
      </c>
      <c r="J3245" s="3">
        <v>83025853</v>
      </c>
      <c r="K3245">
        <f t="shared" si="108"/>
        <v>1.3775047412552699E-3</v>
      </c>
      <c r="R3245" s="12" t="str">
        <f ca="1">IFERROR(__xludf.DUMMYFUNCTION("""COMPUTED_VALUE"""),"The Visit ")</f>
        <v>The Visit </v>
      </c>
      <c r="S3245" s="12">
        <f t="shared" si="109"/>
        <v>-15716218</v>
      </c>
    </row>
    <row r="3246" spans="1:19" x14ac:dyDescent="0.3">
      <c r="A3246" s="2" t="s">
        <v>1915</v>
      </c>
      <c r="B3246" s="2">
        <v>101</v>
      </c>
      <c r="C3246" s="3">
        <v>444044</v>
      </c>
      <c r="D3246" s="3" t="s">
        <v>5950</v>
      </c>
      <c r="E3246" s="2" t="s">
        <v>1916</v>
      </c>
      <c r="F3246" s="2" t="s">
        <v>10</v>
      </c>
      <c r="G3246" s="2" t="s">
        <v>11</v>
      </c>
      <c r="H3246" s="2">
        <v>36000000</v>
      </c>
      <c r="I3246" s="2">
        <v>6.4</v>
      </c>
      <c r="J3246" s="3">
        <v>83077470</v>
      </c>
      <c r="K3246">
        <f t="shared" si="108"/>
        <v>1.3775047412552699E-3</v>
      </c>
      <c r="R3246" s="12" t="str">
        <f ca="1">IFERROR(__xludf.DUMMYFUNCTION("""COMPUTED_VALUE"""),"Redacted ")</f>
        <v>Redacted </v>
      </c>
      <c r="S3246" s="12">
        <f t="shared" si="109"/>
        <v>-14330919</v>
      </c>
    </row>
    <row r="3247" spans="1:19" x14ac:dyDescent="0.3">
      <c r="A3247" s="2" t="s">
        <v>2840</v>
      </c>
      <c r="B3247" s="2">
        <v>120</v>
      </c>
      <c r="C3247" s="3">
        <v>7434726</v>
      </c>
      <c r="D3247" s="3" t="s">
        <v>6332</v>
      </c>
      <c r="E3247" s="2" t="s">
        <v>2841</v>
      </c>
      <c r="F3247" s="2" t="s">
        <v>10</v>
      </c>
      <c r="G3247" s="2" t="s">
        <v>11</v>
      </c>
      <c r="H3247" s="2">
        <v>21000000</v>
      </c>
      <c r="I3247" s="2">
        <v>6.1</v>
      </c>
      <c r="J3247" s="3">
        <v>83287363</v>
      </c>
      <c r="K3247">
        <f t="shared" si="108"/>
        <v>1.3775047412552699E-3</v>
      </c>
      <c r="R3247" s="12" t="str">
        <f ca="1">IFERROR(__xludf.DUMMYFUNCTION("""COMPUTED_VALUE"""),"Fascination ")</f>
        <v>Fascination </v>
      </c>
      <c r="S3247" s="12">
        <f t="shared" si="109"/>
        <v>-7800389</v>
      </c>
    </row>
    <row r="3248" spans="1:19" x14ac:dyDescent="0.3">
      <c r="A3248" s="2" t="s">
        <v>1130</v>
      </c>
      <c r="B3248" s="2">
        <v>113</v>
      </c>
      <c r="C3248" s="3">
        <v>13782838</v>
      </c>
      <c r="D3248" s="3" t="s">
        <v>6251</v>
      </c>
      <c r="E3248" s="2" t="s">
        <v>3093</v>
      </c>
      <c r="F3248" s="2" t="s">
        <v>10</v>
      </c>
      <c r="G3248" s="2" t="s">
        <v>11</v>
      </c>
      <c r="H3248" s="2">
        <v>19000000</v>
      </c>
      <c r="I3248" s="2">
        <v>6.8</v>
      </c>
      <c r="J3248" s="3">
        <v>83299761</v>
      </c>
      <c r="K3248">
        <f t="shared" si="108"/>
        <v>1.3775047412552699E-3</v>
      </c>
      <c r="R3248" s="12" t="str">
        <f ca="1">IFERROR(__xludf.DUMMYFUNCTION("""COMPUTED_VALUE"""),"Rudderless ")</f>
        <v>Rudderless </v>
      </c>
      <c r="S3248" s="12">
        <f t="shared" si="109"/>
        <v>-64982959</v>
      </c>
    </row>
    <row r="3249" spans="1:19" x14ac:dyDescent="0.3">
      <c r="A3249" s="2" t="s">
        <v>104</v>
      </c>
      <c r="B3249" s="2">
        <v>115</v>
      </c>
      <c r="C3249" s="3">
        <v>100358</v>
      </c>
      <c r="D3249" s="3" t="s">
        <v>5894</v>
      </c>
      <c r="E3249" s="2" t="s">
        <v>2851</v>
      </c>
      <c r="F3249" s="2" t="s">
        <v>10</v>
      </c>
      <c r="G3249" s="2" t="s">
        <v>11</v>
      </c>
      <c r="H3249" s="2">
        <v>18000000</v>
      </c>
      <c r="I3249" s="2">
        <v>8.5</v>
      </c>
      <c r="J3249" s="3">
        <v>83348920</v>
      </c>
      <c r="K3249">
        <f t="shared" si="108"/>
        <v>1.3775047412552699E-3</v>
      </c>
      <c r="R3249" s="12" t="str">
        <f ca="1">IFERROR(__xludf.DUMMYFUNCTION("""COMPUTED_VALUE"""),"I Served the King of England ")</f>
        <v>I Served the King of England </v>
      </c>
      <c r="S3249" s="12">
        <f t="shared" si="109"/>
        <v>-39830621</v>
      </c>
    </row>
    <row r="3250" spans="1:19" x14ac:dyDescent="0.3">
      <c r="A3250" s="2" t="s">
        <v>74</v>
      </c>
      <c r="B3250" s="2">
        <v>147</v>
      </c>
      <c r="C3250" s="3">
        <v>91121452</v>
      </c>
      <c r="D3250" s="3" t="s">
        <v>6147</v>
      </c>
      <c r="E3250" s="2" t="s">
        <v>314</v>
      </c>
      <c r="F3250" s="2" t="s">
        <v>10</v>
      </c>
      <c r="G3250" s="2" t="s">
        <v>11</v>
      </c>
      <c r="H3250" s="2">
        <v>130000000</v>
      </c>
      <c r="I3250" s="2">
        <v>6.6</v>
      </c>
      <c r="J3250" s="3">
        <v>83400000</v>
      </c>
      <c r="K3250">
        <f t="shared" si="108"/>
        <v>1.3775047412552699E-3</v>
      </c>
      <c r="R3250" s="12" t="str">
        <f ca="1">IFERROR(__xludf.DUMMYFUNCTION("""COMPUTED_VALUE"""),"Soul Kitchen ")</f>
        <v>Soul Kitchen </v>
      </c>
      <c r="S3250" s="12">
        <f t="shared" si="109"/>
        <v>-105140525</v>
      </c>
    </row>
    <row r="3251" spans="1:19" x14ac:dyDescent="0.3">
      <c r="A3251" s="2" t="s">
        <v>3447</v>
      </c>
      <c r="B3251" s="2">
        <v>99</v>
      </c>
      <c r="C3251" s="3">
        <v>1309849</v>
      </c>
      <c r="D3251" s="3" t="s">
        <v>5773</v>
      </c>
      <c r="E3251" s="2" t="s">
        <v>3448</v>
      </c>
      <c r="F3251" s="2" t="s">
        <v>10</v>
      </c>
      <c r="G3251" s="2" t="s">
        <v>11</v>
      </c>
      <c r="H3251" s="2">
        <v>15000000</v>
      </c>
      <c r="I3251" s="2">
        <v>4.8</v>
      </c>
      <c r="J3251" s="3">
        <v>83503161</v>
      </c>
      <c r="K3251">
        <f t="shared" si="108"/>
        <v>1.3775047412552699E-3</v>
      </c>
      <c r="R3251" s="12" t="str">
        <f ca="1">IFERROR(__xludf.DUMMYFUNCTION("""COMPUTED_VALUE"""),"Sling Blade ")</f>
        <v>Sling Blade </v>
      </c>
      <c r="S3251" s="12">
        <f t="shared" si="109"/>
        <v>-71965819</v>
      </c>
    </row>
    <row r="3252" spans="1:19" x14ac:dyDescent="0.3">
      <c r="A3252" s="2" t="s">
        <v>557</v>
      </c>
      <c r="B3252" s="2">
        <v>100</v>
      </c>
      <c r="C3252" s="3">
        <v>1754319</v>
      </c>
      <c r="D3252" s="3" t="s">
        <v>6142</v>
      </c>
      <c r="E3252" s="2" t="s">
        <v>1107</v>
      </c>
      <c r="F3252" s="2" t="s">
        <v>10</v>
      </c>
      <c r="G3252" s="2" t="s">
        <v>98</v>
      </c>
      <c r="H3252" s="2">
        <v>60000000</v>
      </c>
      <c r="I3252" s="2">
        <v>7.8</v>
      </c>
      <c r="J3252" s="3">
        <v>83552429</v>
      </c>
      <c r="K3252">
        <f t="shared" si="108"/>
        <v>1.3775047412552699E-3</v>
      </c>
      <c r="R3252" s="12" t="str">
        <f ca="1">IFERROR(__xludf.DUMMYFUNCTION("""COMPUTED_VALUE"""),"Hostel ")</f>
        <v>Hostel </v>
      </c>
      <c r="S3252" s="12">
        <f t="shared" si="109"/>
        <v>-13928096</v>
      </c>
    </row>
    <row r="3253" spans="1:19" x14ac:dyDescent="0.3">
      <c r="A3253" s="2" t="s">
        <v>1405</v>
      </c>
      <c r="B3253" s="2">
        <v>122</v>
      </c>
      <c r="C3253" s="3">
        <v>75573300</v>
      </c>
      <c r="D3253" s="3" t="s">
        <v>885</v>
      </c>
      <c r="E3253" s="2" t="s">
        <v>3181</v>
      </c>
      <c r="F3253" s="2" t="s">
        <v>10</v>
      </c>
      <c r="G3253" s="2" t="s">
        <v>16</v>
      </c>
      <c r="H3253" s="2">
        <v>30000000</v>
      </c>
      <c r="I3253" s="2">
        <v>7.2</v>
      </c>
      <c r="J3253" s="3">
        <v>83574831</v>
      </c>
      <c r="K3253">
        <f t="shared" si="108"/>
        <v>1.3775047412552699E-3</v>
      </c>
      <c r="R3253" s="12" t="str">
        <f ca="1">IFERROR(__xludf.DUMMYFUNCTION("""COMPUTED_VALUE"""),"Tristram Shandy: A Cock and Bull Story ")</f>
        <v>Tristram Shandy: A Cock and Bull Story </v>
      </c>
      <c r="S3253" s="12">
        <f t="shared" si="109"/>
        <v>-531796216</v>
      </c>
    </row>
    <row r="3254" spans="1:19" x14ac:dyDescent="0.3">
      <c r="A3254" s="2" t="s">
        <v>2451</v>
      </c>
      <c r="B3254" s="2">
        <v>123</v>
      </c>
      <c r="C3254" s="3">
        <v>53481</v>
      </c>
      <c r="D3254" s="3" t="s">
        <v>5759</v>
      </c>
      <c r="E3254" s="2" t="s">
        <v>2452</v>
      </c>
      <c r="F3254" s="2" t="s">
        <v>10</v>
      </c>
      <c r="G3254" s="2" t="s">
        <v>11</v>
      </c>
      <c r="H3254" s="2">
        <v>27000000</v>
      </c>
      <c r="I3254" s="2">
        <v>6</v>
      </c>
      <c r="J3254" s="3">
        <v>83640426</v>
      </c>
      <c r="K3254">
        <f t="shared" si="108"/>
        <v>1.3775047412552699E-3</v>
      </c>
      <c r="R3254" s="12" t="str">
        <f ca="1">IFERROR(__xludf.DUMMYFUNCTION("""COMPUTED_VALUE"""),"Take Shelter ")</f>
        <v>Take Shelter </v>
      </c>
      <c r="S3254" s="12">
        <f t="shared" si="109"/>
        <v>-4117710</v>
      </c>
    </row>
    <row r="3255" spans="1:19" x14ac:dyDescent="0.3">
      <c r="A3255" s="2" t="s">
        <v>828</v>
      </c>
      <c r="B3255" s="2">
        <v>91</v>
      </c>
      <c r="C3255" s="3">
        <v>16988996</v>
      </c>
      <c r="D3255" s="3" t="s">
        <v>6406</v>
      </c>
      <c r="E3255" s="2" t="s">
        <v>829</v>
      </c>
      <c r="F3255" s="2" t="s">
        <v>10</v>
      </c>
      <c r="G3255" s="2" t="s">
        <v>11</v>
      </c>
      <c r="H3255" s="2">
        <v>74000000</v>
      </c>
      <c r="I3255" s="2">
        <v>6.4</v>
      </c>
      <c r="J3255" s="3">
        <v>83813460</v>
      </c>
      <c r="K3255">
        <f t="shared" si="108"/>
        <v>1.3775047412552699E-3</v>
      </c>
      <c r="R3255" s="12" t="str">
        <f ca="1">IFERROR(__xludf.DUMMYFUNCTION("""COMPUTED_VALUE"""),"Lady in White ")</f>
        <v>Lady in White </v>
      </c>
      <c r="S3255" s="12">
        <f t="shared" si="109"/>
        <v>16294341</v>
      </c>
    </row>
    <row r="3256" spans="1:19" x14ac:dyDescent="0.3">
      <c r="A3256" s="2" t="s">
        <v>473</v>
      </c>
      <c r="B3256" s="2">
        <v>81</v>
      </c>
      <c r="C3256" s="3">
        <v>2181290</v>
      </c>
      <c r="D3256" s="3" t="s">
        <v>6186</v>
      </c>
      <c r="E3256" s="2" t="s">
        <v>3122</v>
      </c>
      <c r="F3256" s="2" t="s">
        <v>10</v>
      </c>
      <c r="G3256" s="2" t="s">
        <v>11</v>
      </c>
      <c r="H3256" s="2">
        <v>19000000</v>
      </c>
      <c r="I3256" s="2">
        <v>7.7</v>
      </c>
      <c r="J3256" s="3">
        <v>83892374</v>
      </c>
      <c r="K3256">
        <f t="shared" si="108"/>
        <v>1.3775047412552699E-3</v>
      </c>
      <c r="R3256" s="12" t="str">
        <f ca="1">IFERROR(__xludf.DUMMYFUNCTION("""COMPUTED_VALUE"""),"The Texas Chainsaw Massacre 2 ")</f>
        <v>The Texas Chainsaw Massacre 2 </v>
      </c>
      <c r="S3256" s="12">
        <f t="shared" si="109"/>
        <v>-86535612</v>
      </c>
    </row>
    <row r="3257" spans="1:19" x14ac:dyDescent="0.3">
      <c r="A3257" s="2" t="s">
        <v>5036</v>
      </c>
      <c r="B3257" s="2">
        <v>101</v>
      </c>
      <c r="C3257" s="3">
        <v>10149779</v>
      </c>
      <c r="D3257" s="3" t="s">
        <v>5940</v>
      </c>
      <c r="E3257" s="2" t="s">
        <v>5037</v>
      </c>
      <c r="F3257" s="2" t="s">
        <v>10</v>
      </c>
      <c r="G3257" s="2" t="s">
        <v>5038</v>
      </c>
      <c r="H3257" s="2">
        <v>2400000</v>
      </c>
      <c r="I3257" s="2">
        <v>5.0999999999999996</v>
      </c>
      <c r="J3257" s="3">
        <v>83906114</v>
      </c>
      <c r="K3257">
        <f t="shared" si="108"/>
        <v>1.3775047412552699E-3</v>
      </c>
      <c r="R3257" s="12" t="str">
        <f ca="1">IFERROR(__xludf.DUMMYFUNCTION("""COMPUTED_VALUE"""),"Only God Forgives ")</f>
        <v>Only God Forgives </v>
      </c>
      <c r="S3257" s="12">
        <f t="shared" si="109"/>
        <v>-61539010</v>
      </c>
    </row>
    <row r="3258" spans="1:19" x14ac:dyDescent="0.3">
      <c r="A3258" s="2" t="s">
        <v>2451</v>
      </c>
      <c r="B3258" s="2">
        <v>100</v>
      </c>
      <c r="C3258" s="3">
        <v>439162</v>
      </c>
      <c r="D3258" s="3" t="s">
        <v>6449</v>
      </c>
      <c r="E3258" s="2" t="s">
        <v>3046</v>
      </c>
      <c r="F3258" s="2" t="s">
        <v>10</v>
      </c>
      <c r="G3258" s="2" t="s">
        <v>11</v>
      </c>
      <c r="H3258" s="2">
        <v>8700000</v>
      </c>
      <c r="I3258" s="2">
        <v>7.1</v>
      </c>
      <c r="J3258" s="3">
        <v>84037039</v>
      </c>
      <c r="K3258">
        <f t="shared" si="108"/>
        <v>1.3775047412552699E-3</v>
      </c>
      <c r="R3258" s="12" t="str">
        <f ca="1">IFERROR(__xludf.DUMMYFUNCTION("""COMPUTED_VALUE"""),"The Names of Love ")</f>
        <v>The Names of Love </v>
      </c>
      <c r="S3258" s="12">
        <f t="shared" si="109"/>
        <v>-20332985</v>
      </c>
    </row>
    <row r="3259" spans="1:19" x14ac:dyDescent="0.3">
      <c r="A3259" s="2" t="s">
        <v>128</v>
      </c>
      <c r="B3259" s="2">
        <v>170</v>
      </c>
      <c r="C3259" s="3">
        <v>2315683</v>
      </c>
      <c r="D3259" s="3" t="s">
        <v>6100</v>
      </c>
      <c r="E3259" s="2" t="s">
        <v>408</v>
      </c>
      <c r="F3259" s="2" t="s">
        <v>10</v>
      </c>
      <c r="G3259" s="2" t="s">
        <v>11</v>
      </c>
      <c r="H3259" s="2">
        <v>110000000</v>
      </c>
      <c r="I3259" s="2">
        <v>7.5</v>
      </c>
      <c r="J3259" s="3">
        <v>84049211</v>
      </c>
      <c r="K3259">
        <f t="shared" si="108"/>
        <v>1.3775047412552699E-3</v>
      </c>
      <c r="R3259" s="12" t="str">
        <f ca="1">IFERROR(__xludf.DUMMYFUNCTION("""COMPUTED_VALUE"""),"Savage Grace ")</f>
        <v>Savage Grace </v>
      </c>
      <c r="S3259" s="12">
        <f t="shared" si="109"/>
        <v>-32198218</v>
      </c>
    </row>
    <row r="3260" spans="1:19" x14ac:dyDescent="0.3">
      <c r="A3260" s="2" t="s">
        <v>909</v>
      </c>
      <c r="B3260" s="2">
        <v>109</v>
      </c>
      <c r="C3260" s="3">
        <v>22406362</v>
      </c>
      <c r="D3260" s="3" t="s">
        <v>520</v>
      </c>
      <c r="E3260" s="2" t="s">
        <v>1686</v>
      </c>
      <c r="F3260" s="2" t="s">
        <v>10</v>
      </c>
      <c r="G3260" s="2" t="s">
        <v>11</v>
      </c>
      <c r="H3260" s="2">
        <v>35000000</v>
      </c>
      <c r="I3260" s="2">
        <v>5.7</v>
      </c>
      <c r="J3260" s="3">
        <v>84136909</v>
      </c>
      <c r="K3260">
        <f t="shared" si="108"/>
        <v>1.3775047412552699E-3</v>
      </c>
      <c r="R3260" s="12" t="str">
        <f ca="1">IFERROR(__xludf.DUMMYFUNCTION("""COMPUTED_VALUE"""),"Police Academy ")</f>
        <v>Police Academy </v>
      </c>
      <c r="S3260" s="12">
        <f t="shared" si="109"/>
        <v>-13795207</v>
      </c>
    </row>
    <row r="3261" spans="1:19" x14ac:dyDescent="0.3">
      <c r="A3261" s="2" t="s">
        <v>2775</v>
      </c>
      <c r="B3261" s="2">
        <v>107</v>
      </c>
      <c r="C3261" s="3">
        <v>21800302</v>
      </c>
      <c r="D3261" s="3" t="s">
        <v>1703</v>
      </c>
      <c r="E3261" s="2" t="s">
        <v>3177</v>
      </c>
      <c r="F3261" s="2" t="s">
        <v>10</v>
      </c>
      <c r="G3261" s="2" t="s">
        <v>11</v>
      </c>
      <c r="H3261" s="2">
        <v>17000000</v>
      </c>
      <c r="I3261" s="2">
        <v>5.7</v>
      </c>
      <c r="J3261" s="3">
        <v>84185387</v>
      </c>
      <c r="K3261">
        <f t="shared" si="108"/>
        <v>1.3775047412552699E-3</v>
      </c>
      <c r="R3261" s="12" t="str">
        <f ca="1">IFERROR(__xludf.DUMMYFUNCTION("""COMPUTED_VALUE"""),"Four Weddings and a Funeral ")</f>
        <v>Four Weddings and a Funeral </v>
      </c>
      <c r="S3261" s="12">
        <f t="shared" si="109"/>
        <v>-7970130</v>
      </c>
    </row>
    <row r="3262" spans="1:19" x14ac:dyDescent="0.3">
      <c r="A3262" s="2" t="s">
        <v>424</v>
      </c>
      <c r="B3262" s="2">
        <v>129</v>
      </c>
      <c r="C3262" s="3">
        <v>5702083</v>
      </c>
      <c r="D3262" s="3" t="s">
        <v>885</v>
      </c>
      <c r="E3262" s="2" t="s">
        <v>425</v>
      </c>
      <c r="F3262" s="2" t="s">
        <v>10</v>
      </c>
      <c r="G3262" s="2" t="s">
        <v>11</v>
      </c>
      <c r="H3262" s="2">
        <v>110000000</v>
      </c>
      <c r="I3262" s="2">
        <v>7.2</v>
      </c>
      <c r="J3262" s="3">
        <v>84244877</v>
      </c>
      <c r="K3262">
        <f t="shared" si="108"/>
        <v>1.3775047412552699E-3</v>
      </c>
      <c r="R3262" s="12" t="str">
        <f ca="1">IFERROR(__xludf.DUMMYFUNCTION("""COMPUTED_VALUE"""),"25th Hour ")</f>
        <v>25th Hour </v>
      </c>
      <c r="S3262" s="12">
        <f t="shared" si="109"/>
        <v>14972410</v>
      </c>
    </row>
    <row r="3263" spans="1:19" x14ac:dyDescent="0.3">
      <c r="A3263" s="2" t="s">
        <v>1488</v>
      </c>
      <c r="B3263" s="2">
        <v>130</v>
      </c>
      <c r="C3263" s="3">
        <v>68353550</v>
      </c>
      <c r="D3263" s="3" t="s">
        <v>5869</v>
      </c>
      <c r="E3263" s="2" t="s">
        <v>3130</v>
      </c>
      <c r="F3263" s="2" t="s">
        <v>10</v>
      </c>
      <c r="G3263" s="2" t="s">
        <v>11</v>
      </c>
      <c r="H3263" s="2">
        <v>18000000</v>
      </c>
      <c r="I3263" s="2">
        <v>7.3</v>
      </c>
      <c r="J3263" s="3">
        <v>84263837</v>
      </c>
      <c r="K3263">
        <f t="shared" si="108"/>
        <v>1.3775047412552699E-3</v>
      </c>
      <c r="R3263" s="12" t="str">
        <f ca="1">IFERROR(__xludf.DUMMYFUNCTION("""COMPUTED_VALUE"""),"Bound ")</f>
        <v>Bound </v>
      </c>
      <c r="S3263" s="12">
        <f t="shared" si="109"/>
        <v>-35970919</v>
      </c>
    </row>
    <row r="3264" spans="1:19" x14ac:dyDescent="0.3">
      <c r="A3264" s="2" t="s">
        <v>4986</v>
      </c>
      <c r="B3264" s="2">
        <v>88</v>
      </c>
      <c r="C3264" s="3">
        <v>8434601</v>
      </c>
      <c r="D3264" s="3" t="s">
        <v>6358</v>
      </c>
      <c r="E3264" s="2" t="s">
        <v>4987</v>
      </c>
      <c r="F3264" s="2" t="s">
        <v>10</v>
      </c>
      <c r="G3264" s="2" t="s">
        <v>11</v>
      </c>
      <c r="H3264" s="2">
        <v>2800000</v>
      </c>
      <c r="I3264" s="2">
        <v>5.3</v>
      </c>
      <c r="J3264" s="3">
        <v>84300000</v>
      </c>
      <c r="K3264">
        <f t="shared" si="108"/>
        <v>1.3775047412552699E-3</v>
      </c>
      <c r="R3264" s="12" t="str">
        <f ca="1">IFERROR(__xludf.DUMMYFUNCTION("""COMPUTED_VALUE"""),"Requiem for a Dream ")</f>
        <v>Requiem for a Dream </v>
      </c>
      <c r="S3264" s="12">
        <f t="shared" si="109"/>
        <v>2443007</v>
      </c>
    </row>
    <row r="3265" spans="1:19" x14ac:dyDescent="0.3">
      <c r="A3265" s="2" t="s">
        <v>104</v>
      </c>
      <c r="B3265" s="2">
        <v>155</v>
      </c>
      <c r="C3265" s="3">
        <v>609042</v>
      </c>
      <c r="D3265" s="3" t="s">
        <v>5767</v>
      </c>
      <c r="E3265" s="2" t="s">
        <v>1735</v>
      </c>
      <c r="F3265" s="2" t="s">
        <v>10</v>
      </c>
      <c r="G3265" s="2" t="s">
        <v>11</v>
      </c>
      <c r="H3265" s="2">
        <v>36000000</v>
      </c>
      <c r="I3265" s="2">
        <v>7.2</v>
      </c>
      <c r="J3265" s="3">
        <v>84303558</v>
      </c>
      <c r="K3265">
        <f t="shared" si="108"/>
        <v>1.3775047412552699E-3</v>
      </c>
      <c r="R3265" s="12" t="str">
        <f ca="1">IFERROR(__xludf.DUMMYFUNCTION("""COMPUTED_VALUE"""),"Tango ")</f>
        <v>Tango </v>
      </c>
      <c r="S3265" s="12">
        <f t="shared" si="109"/>
        <v>4161102</v>
      </c>
    </row>
    <row r="3266" spans="1:19" x14ac:dyDescent="0.3">
      <c r="A3266" s="2" t="s">
        <v>5124</v>
      </c>
      <c r="B3266" s="2">
        <v>92</v>
      </c>
      <c r="C3266" s="3">
        <v>27829874</v>
      </c>
      <c r="D3266" s="3" t="s">
        <v>6414</v>
      </c>
      <c r="E3266" s="2" t="s">
        <v>5125</v>
      </c>
      <c r="F3266" s="2" t="s">
        <v>10</v>
      </c>
      <c r="G3266" s="2" t="s">
        <v>11</v>
      </c>
      <c r="H3266" s="2">
        <v>2300000</v>
      </c>
      <c r="I3266" s="2">
        <v>7.7</v>
      </c>
      <c r="J3266" s="3">
        <v>84518155</v>
      </c>
      <c r="K3266">
        <f t="shared" ref="K3266:K3329" si="110">CORREL(H$2:H$3941,J$2:J$3941)</f>
        <v>1.3775047412552699E-3</v>
      </c>
      <c r="R3266" s="12" t="str">
        <f ca="1">IFERROR(__xludf.DUMMYFUNCTION("""COMPUTED_VALUE"""),"Moms' Night Out ")</f>
        <v>Moms' Night Out </v>
      </c>
      <c r="S3266" s="12">
        <f t="shared" si="109"/>
        <v>-11900149</v>
      </c>
    </row>
    <row r="3267" spans="1:19" x14ac:dyDescent="0.3">
      <c r="A3267" s="2" t="s">
        <v>799</v>
      </c>
      <c r="B3267" s="2">
        <v>167</v>
      </c>
      <c r="C3267" s="3">
        <v>95149435</v>
      </c>
      <c r="D3267" s="3" t="s">
        <v>5767</v>
      </c>
      <c r="E3267" s="2" t="s">
        <v>2371</v>
      </c>
      <c r="F3267" s="2" t="s">
        <v>10</v>
      </c>
      <c r="G3267" s="2" t="s">
        <v>11</v>
      </c>
      <c r="H3267" s="2">
        <v>28000000</v>
      </c>
      <c r="I3267" s="2">
        <v>7.9</v>
      </c>
      <c r="J3267" s="3">
        <v>84749884</v>
      </c>
      <c r="K3267">
        <f t="shared" si="110"/>
        <v>1.3775047412552699E-3</v>
      </c>
      <c r="R3267" s="12" t="str">
        <f ca="1">IFERROR(__xludf.DUMMYFUNCTION("""COMPUTED_VALUE"""),"Donnie Darko ")</f>
        <v>Donnie Darko </v>
      </c>
      <c r="S3267" s="12">
        <f t="shared" si="109"/>
        <v>10071069</v>
      </c>
    </row>
    <row r="3268" spans="1:19" x14ac:dyDescent="0.3">
      <c r="A3268" s="2" t="s">
        <v>2985</v>
      </c>
      <c r="B3268" s="2">
        <v>84</v>
      </c>
      <c r="C3268" s="3">
        <v>261481</v>
      </c>
      <c r="D3268" s="3" t="s">
        <v>5808</v>
      </c>
      <c r="E3268" s="2" t="s">
        <v>2986</v>
      </c>
      <c r="F3268" s="2" t="s">
        <v>10</v>
      </c>
      <c r="G3268" s="2" t="s">
        <v>11</v>
      </c>
      <c r="H3268" s="2">
        <v>20000000</v>
      </c>
      <c r="I3268" s="2">
        <v>5.8</v>
      </c>
      <c r="J3268" s="3">
        <v>85017401</v>
      </c>
      <c r="K3268">
        <f t="shared" si="110"/>
        <v>1.3775047412552699E-3</v>
      </c>
      <c r="R3268" s="12" t="str">
        <f ca="1">IFERROR(__xludf.DUMMYFUNCTION("""COMPUTED_VALUE"""),"Character ")</f>
        <v>Character </v>
      </c>
      <c r="S3268" s="12">
        <f t="shared" si="109"/>
        <v>-35555956</v>
      </c>
    </row>
    <row r="3269" spans="1:19" x14ac:dyDescent="0.3">
      <c r="A3269" s="2" t="s">
        <v>574</v>
      </c>
      <c r="B3269" s="2">
        <v>92</v>
      </c>
      <c r="C3269" s="3">
        <v>34580635</v>
      </c>
      <c r="D3269" s="3" t="s">
        <v>5940</v>
      </c>
      <c r="E3269" s="2" t="s">
        <v>3972</v>
      </c>
      <c r="F3269" s="2" t="s">
        <v>10</v>
      </c>
      <c r="G3269" s="2" t="s">
        <v>11</v>
      </c>
      <c r="H3269" s="2">
        <v>12000000</v>
      </c>
      <c r="I3269" s="2">
        <v>7</v>
      </c>
      <c r="J3269" s="3">
        <v>85200000</v>
      </c>
      <c r="K3269">
        <f t="shared" si="110"/>
        <v>1.3775047412552699E-3</v>
      </c>
      <c r="R3269" s="12" t="str">
        <f ca="1">IFERROR(__xludf.DUMMYFUNCTION("""COMPUTED_VALUE"""),"Spun ")</f>
        <v>Spun </v>
      </c>
      <c r="S3269" s="12">
        <f t="shared" si="109"/>
        <v>-13565274</v>
      </c>
    </row>
    <row r="3270" spans="1:19" x14ac:dyDescent="0.3">
      <c r="A3270" s="2" t="s">
        <v>3755</v>
      </c>
      <c r="B3270" s="2">
        <v>99</v>
      </c>
      <c r="C3270" s="3">
        <v>51185897</v>
      </c>
      <c r="D3270" s="3" t="s">
        <v>6056</v>
      </c>
      <c r="E3270" s="2" t="s">
        <v>4400</v>
      </c>
      <c r="F3270" s="2" t="s">
        <v>10</v>
      </c>
      <c r="G3270" s="2" t="s">
        <v>11</v>
      </c>
      <c r="H3270" s="2">
        <v>7000000</v>
      </c>
      <c r="I3270" s="2">
        <v>6.4</v>
      </c>
      <c r="J3270" s="3">
        <v>85300000</v>
      </c>
      <c r="K3270">
        <f t="shared" si="110"/>
        <v>1.3775047412552699E-3</v>
      </c>
      <c r="R3270" s="12" t="str">
        <f ca="1">IFERROR(__xludf.DUMMYFUNCTION("""COMPUTED_VALUE"""),"Lady Vengeance ")</f>
        <v>Lady Vengeance </v>
      </c>
      <c r="S3270" s="12">
        <f t="shared" si="109"/>
        <v>-5217162</v>
      </c>
    </row>
    <row r="3271" spans="1:19" x14ac:dyDescent="0.3">
      <c r="A3271" s="2" t="s">
        <v>8</v>
      </c>
      <c r="B3271" s="2">
        <v>141</v>
      </c>
      <c r="C3271" s="3">
        <v>16831505</v>
      </c>
      <c r="D3271" s="3" t="s">
        <v>6062</v>
      </c>
      <c r="E3271" s="2" t="s">
        <v>453</v>
      </c>
      <c r="F3271" s="2" t="s">
        <v>10</v>
      </c>
      <c r="G3271" s="2" t="s">
        <v>11</v>
      </c>
      <c r="H3271" s="2">
        <v>115000000</v>
      </c>
      <c r="I3271" s="2">
        <v>7.2</v>
      </c>
      <c r="J3271" s="3">
        <v>85416609</v>
      </c>
      <c r="K3271">
        <f t="shared" si="110"/>
        <v>1.3775047412552699E-3</v>
      </c>
      <c r="R3271" s="12" t="str">
        <f ca="1">IFERROR(__xludf.DUMMYFUNCTION("""COMPUTED_VALUE"""),"Mean Machine ")</f>
        <v>Mean Machine </v>
      </c>
      <c r="S3271" s="12">
        <f t="shared" si="109"/>
        <v>-17899642</v>
      </c>
    </row>
    <row r="3272" spans="1:19" x14ac:dyDescent="0.3">
      <c r="A3272" s="2" t="s">
        <v>135</v>
      </c>
      <c r="B3272" s="2">
        <v>86</v>
      </c>
      <c r="C3272" s="3">
        <v>191309</v>
      </c>
      <c r="D3272" s="3" t="s">
        <v>885</v>
      </c>
      <c r="E3272" s="2" t="s">
        <v>1501</v>
      </c>
      <c r="F3272" s="2" t="s">
        <v>10</v>
      </c>
      <c r="G3272" s="2" t="s">
        <v>11</v>
      </c>
      <c r="H3272" s="2">
        <v>45000000</v>
      </c>
      <c r="I3272" s="2">
        <v>6.8</v>
      </c>
      <c r="J3272" s="3">
        <v>85463309</v>
      </c>
      <c r="K3272">
        <f t="shared" si="110"/>
        <v>1.3775047412552699E-3</v>
      </c>
      <c r="R3272" s="12" t="str">
        <f ca="1">IFERROR(__xludf.DUMMYFUNCTION("""COMPUTED_VALUE"""),"Exiled ")</f>
        <v>Exiled </v>
      </c>
      <c r="S3272" s="12">
        <f t="shared" si="109"/>
        <v>-38878548</v>
      </c>
    </row>
    <row r="3273" spans="1:19" x14ac:dyDescent="0.3">
      <c r="A3273" s="2" t="s">
        <v>4268</v>
      </c>
      <c r="B3273" s="2">
        <v>86</v>
      </c>
      <c r="C3273" s="3">
        <v>12281500</v>
      </c>
      <c r="D3273" s="3" t="s">
        <v>6355</v>
      </c>
      <c r="E3273" s="2" t="s">
        <v>5314</v>
      </c>
      <c r="F3273" s="2" t="s">
        <v>10</v>
      </c>
      <c r="G3273" s="2" t="s">
        <v>16</v>
      </c>
      <c r="H3273" s="2">
        <v>1000000</v>
      </c>
      <c r="I3273" s="2">
        <v>6.8</v>
      </c>
      <c r="J3273" s="3">
        <v>85570368</v>
      </c>
      <c r="K3273">
        <f t="shared" si="110"/>
        <v>1.3775047412552699E-3</v>
      </c>
      <c r="R3273" s="12" t="str">
        <f ca="1">IFERROR(__xludf.DUMMYFUNCTION("""COMPUTED_VALUE"""),"After.Life ")</f>
        <v>After.Life </v>
      </c>
      <c r="S3273" s="12">
        <f t="shared" si="109"/>
        <v>-13690151</v>
      </c>
    </row>
    <row r="3274" spans="1:19" x14ac:dyDescent="0.3">
      <c r="A3274" s="2" t="s">
        <v>5039</v>
      </c>
      <c r="B3274" s="2">
        <v>90</v>
      </c>
      <c r="C3274" s="3">
        <v>886410</v>
      </c>
      <c r="D3274" s="3" t="s">
        <v>520</v>
      </c>
      <c r="E3274" s="2" t="s">
        <v>5272</v>
      </c>
      <c r="F3274" s="2" t="s">
        <v>10</v>
      </c>
      <c r="G3274" s="2" t="s">
        <v>16</v>
      </c>
      <c r="H3274" s="2">
        <v>695393</v>
      </c>
      <c r="I3274" s="2">
        <v>7.7</v>
      </c>
      <c r="J3274" s="3">
        <v>85707116</v>
      </c>
      <c r="K3274">
        <f t="shared" si="110"/>
        <v>1.3775047412552699E-3</v>
      </c>
      <c r="R3274" s="12" t="str">
        <f ca="1">IFERROR(__xludf.DUMMYFUNCTION("""COMPUTED_VALUE"""),"One Flew Over the Cuckoo's Nest ")</f>
        <v>One Flew Over the Cuckoo's Nest </v>
      </c>
      <c r="S3274" s="12">
        <f t="shared" si="109"/>
        <v>-58245681</v>
      </c>
    </row>
    <row r="3275" spans="1:19" x14ac:dyDescent="0.3">
      <c r="A3275" s="2" t="s">
        <v>4308</v>
      </c>
      <c r="B3275" s="2">
        <v>115</v>
      </c>
      <c r="C3275" s="3">
        <v>442638</v>
      </c>
      <c r="D3275" s="3" t="s">
        <v>520</v>
      </c>
      <c r="E3275" s="2" t="s">
        <v>4894</v>
      </c>
      <c r="F3275" s="2" t="s">
        <v>4208</v>
      </c>
      <c r="G3275" s="2" t="s">
        <v>2058</v>
      </c>
      <c r="H3275" s="2">
        <v>3800000</v>
      </c>
      <c r="I3275" s="2">
        <v>8.3000000000000007</v>
      </c>
      <c r="J3275" s="3">
        <v>85884815</v>
      </c>
      <c r="K3275">
        <f t="shared" si="110"/>
        <v>1.3775047412552699E-3</v>
      </c>
      <c r="R3275" s="12" t="str">
        <f ca="1">IFERROR(__xludf.DUMMYFUNCTION("""COMPUTED_VALUE"""),"Falcon Rising ")</f>
        <v>Falcon Rising </v>
      </c>
      <c r="S3275" s="12">
        <f t="shared" si="109"/>
        <v>45573300</v>
      </c>
    </row>
    <row r="3276" spans="1:19" x14ac:dyDescent="0.3">
      <c r="A3276" s="2" t="s">
        <v>3610</v>
      </c>
      <c r="B3276" s="2">
        <v>87</v>
      </c>
      <c r="C3276" s="3">
        <v>2360184</v>
      </c>
      <c r="D3276" s="3" t="s">
        <v>6450</v>
      </c>
      <c r="E3276" s="2" t="s">
        <v>4178</v>
      </c>
      <c r="F3276" s="2" t="s">
        <v>10</v>
      </c>
      <c r="G3276" s="2" t="s">
        <v>11</v>
      </c>
      <c r="H3276" s="2">
        <v>9000000</v>
      </c>
      <c r="I3276" s="2">
        <v>6.5</v>
      </c>
      <c r="J3276" s="3">
        <v>85911262</v>
      </c>
      <c r="K3276">
        <f t="shared" si="110"/>
        <v>1.3775047412552699E-3</v>
      </c>
      <c r="R3276" s="12" t="str">
        <f ca="1">IFERROR(__xludf.DUMMYFUNCTION("""COMPUTED_VALUE"""),"The Sweeney ")</f>
        <v>The Sweeney </v>
      </c>
      <c r="S3276" s="12">
        <f t="shared" si="109"/>
        <v>-26946519</v>
      </c>
    </row>
    <row r="3277" spans="1:19" x14ac:dyDescent="0.3">
      <c r="A3277" s="2" t="s">
        <v>183</v>
      </c>
      <c r="B3277" s="2">
        <v>98</v>
      </c>
      <c r="C3277" s="2">
        <v>60655503</v>
      </c>
      <c r="D3277" s="3" t="s">
        <v>5921</v>
      </c>
      <c r="E3277" s="2" t="s">
        <v>184</v>
      </c>
      <c r="F3277" s="2" t="s">
        <v>10</v>
      </c>
      <c r="G3277" s="2" t="s">
        <v>11</v>
      </c>
      <c r="H3277" s="2">
        <v>160000000</v>
      </c>
      <c r="I3277" s="2">
        <v>5.6</v>
      </c>
      <c r="J3277" s="3">
        <v>86049418</v>
      </c>
      <c r="K3277">
        <f t="shared" si="110"/>
        <v>1.3775047412552699E-3</v>
      </c>
      <c r="R3277" s="12" t="str">
        <f ca="1">IFERROR(__xludf.DUMMYFUNCTION("""COMPUTED_VALUE"""),"Whale Rider ")</f>
        <v>Whale Rider </v>
      </c>
      <c r="S3277" s="12">
        <f t="shared" si="109"/>
        <v>-57011004</v>
      </c>
    </row>
    <row r="3278" spans="1:19" x14ac:dyDescent="0.3">
      <c r="A3278" s="2" t="s">
        <v>5390</v>
      </c>
      <c r="B3278" s="2">
        <v>94</v>
      </c>
      <c r="C3278" s="3">
        <v>10014234</v>
      </c>
      <c r="D3278" s="3" t="s">
        <v>5892</v>
      </c>
      <c r="E3278" s="2" t="s">
        <v>5391</v>
      </c>
      <c r="F3278" s="2" t="s">
        <v>10</v>
      </c>
      <c r="G3278" s="2" t="s">
        <v>11</v>
      </c>
      <c r="H3278" s="2">
        <v>1000000</v>
      </c>
      <c r="I3278" s="2">
        <v>3.9</v>
      </c>
      <c r="J3278" s="3">
        <v>86208010</v>
      </c>
      <c r="K3278">
        <f t="shared" si="110"/>
        <v>1.3775047412552699E-3</v>
      </c>
      <c r="R3278" s="12" t="str">
        <f ca="1">IFERROR(__xludf.DUMMYFUNCTION("""COMPUTED_VALUE"""),"Paa ")</f>
        <v>Paa </v>
      </c>
      <c r="S3278" s="12">
        <f t="shared" si="109"/>
        <v>-16818710</v>
      </c>
    </row>
    <row r="3279" spans="1:19" x14ac:dyDescent="0.3">
      <c r="A3279" s="2" t="s">
        <v>605</v>
      </c>
      <c r="B3279" s="2">
        <v>139</v>
      </c>
      <c r="C3279" s="3">
        <v>102310175</v>
      </c>
      <c r="D3279" s="3" t="s">
        <v>5958</v>
      </c>
      <c r="E3279" s="2" t="s">
        <v>1430</v>
      </c>
      <c r="F3279" s="2" t="s">
        <v>10</v>
      </c>
      <c r="G3279" s="2" t="s">
        <v>11</v>
      </c>
      <c r="H3279" s="2">
        <v>50000000</v>
      </c>
      <c r="I3279" s="2">
        <v>6.7</v>
      </c>
      <c r="J3279" s="3">
        <v>86300000</v>
      </c>
      <c r="K3279">
        <f t="shared" si="110"/>
        <v>1.3775047412552699E-3</v>
      </c>
      <c r="R3279" s="12" t="str">
        <f ca="1">IFERROR(__xludf.DUMMYFUNCTION("""COMPUTED_VALUE"""),"Night Watch ")</f>
        <v>Night Watch </v>
      </c>
      <c r="S3279" s="12">
        <f t="shared" si="109"/>
        <v>7749779</v>
      </c>
    </row>
    <row r="3280" spans="1:19" x14ac:dyDescent="0.3">
      <c r="A3280" s="2" t="s">
        <v>358</v>
      </c>
      <c r="B3280" s="2">
        <v>102</v>
      </c>
      <c r="C3280" s="3">
        <v>334041</v>
      </c>
      <c r="D3280" s="3" t="s">
        <v>5849</v>
      </c>
      <c r="E3280" s="2" t="s">
        <v>3770</v>
      </c>
      <c r="F3280" s="2" t="s">
        <v>10</v>
      </c>
      <c r="G3280" s="2" t="s">
        <v>11</v>
      </c>
      <c r="H3280" s="2">
        <v>12000000</v>
      </c>
      <c r="I3280" s="2">
        <v>6.3</v>
      </c>
      <c r="J3280" s="3">
        <v>86897182</v>
      </c>
      <c r="K3280">
        <f t="shared" si="110"/>
        <v>1.3775047412552699E-3</v>
      </c>
      <c r="R3280" s="12" t="str">
        <f ca="1">IFERROR(__xludf.DUMMYFUNCTION("""COMPUTED_VALUE"""),"The Crying Game ")</f>
        <v>The Crying Game </v>
      </c>
      <c r="S3280" s="12">
        <f t="shared" si="109"/>
        <v>-8260838</v>
      </c>
    </row>
    <row r="3281" spans="1:19" x14ac:dyDescent="0.3">
      <c r="A3281" s="2" t="s">
        <v>99</v>
      </c>
      <c r="B3281" s="2">
        <v>116</v>
      </c>
      <c r="C3281" s="3">
        <v>25571351</v>
      </c>
      <c r="D3281" s="3" t="s">
        <v>5958</v>
      </c>
      <c r="E3281" s="2" t="s">
        <v>100</v>
      </c>
      <c r="F3281" s="2" t="s">
        <v>10</v>
      </c>
      <c r="G3281" s="2" t="s">
        <v>11</v>
      </c>
      <c r="H3281" s="2">
        <v>200000000</v>
      </c>
      <c r="I3281" s="2">
        <v>6.6</v>
      </c>
      <c r="J3281" s="3">
        <v>86930411</v>
      </c>
      <c r="K3281">
        <f t="shared" si="110"/>
        <v>1.3775047412552699E-3</v>
      </c>
      <c r="R3281" s="12" t="str">
        <f ca="1">IFERROR(__xludf.DUMMYFUNCTION("""COMPUTED_VALUE"""),"Porky's ")</f>
        <v>Porky's </v>
      </c>
      <c r="S3281" s="12">
        <f t="shared" si="109"/>
        <v>-107684317</v>
      </c>
    </row>
    <row r="3282" spans="1:19" x14ac:dyDescent="0.3">
      <c r="A3282" s="2" t="s">
        <v>3343</v>
      </c>
      <c r="B3282" s="2">
        <v>100</v>
      </c>
      <c r="C3282" s="3">
        <v>75590286</v>
      </c>
      <c r="D3282" s="3" t="s">
        <v>5849</v>
      </c>
      <c r="E3282" s="2" t="s">
        <v>3344</v>
      </c>
      <c r="F3282" s="2" t="s">
        <v>10</v>
      </c>
      <c r="G3282" s="2" t="s">
        <v>199</v>
      </c>
      <c r="H3282" s="2">
        <v>16000000</v>
      </c>
      <c r="I3282" s="2">
        <v>7</v>
      </c>
      <c r="J3282" s="3">
        <v>87025093</v>
      </c>
      <c r="K3282">
        <f t="shared" si="110"/>
        <v>1.3775047412552699E-3</v>
      </c>
      <c r="R3282" s="12" t="str">
        <f ca="1">IFERROR(__xludf.DUMMYFUNCTION("""COMPUTED_VALUE"""),"Survival of the Dead ")</f>
        <v>Survival of the Dead </v>
      </c>
      <c r="S3282" s="12">
        <f t="shared" si="109"/>
        <v>-12593638</v>
      </c>
    </row>
    <row r="3283" spans="1:19" x14ac:dyDescent="0.3">
      <c r="A3283" s="2" t="s">
        <v>479</v>
      </c>
      <c r="B3283" s="2">
        <v>102</v>
      </c>
      <c r="C3283" s="3">
        <v>16247775</v>
      </c>
      <c r="D3283" s="3" t="s">
        <v>6245</v>
      </c>
      <c r="E3283" s="2" t="s">
        <v>752</v>
      </c>
      <c r="F3283" s="2" t="s">
        <v>10</v>
      </c>
      <c r="G3283" s="2" t="s">
        <v>16</v>
      </c>
      <c r="H3283" s="2">
        <v>52000000</v>
      </c>
      <c r="I3283" s="2">
        <v>4.2</v>
      </c>
      <c r="J3283" s="3">
        <v>87100000</v>
      </c>
      <c r="K3283">
        <f t="shared" si="110"/>
        <v>1.3775047412552699E-3</v>
      </c>
      <c r="R3283" s="12" t="str">
        <f ca="1">IFERROR(__xludf.DUMMYFUNCTION("""COMPUTED_VALUE"""),"Lost in Translation ")</f>
        <v>Lost in Translation </v>
      </c>
      <c r="S3283" s="12">
        <f t="shared" si="109"/>
        <v>4800302</v>
      </c>
    </row>
    <row r="3284" spans="1:19" x14ac:dyDescent="0.3">
      <c r="A3284" s="2" t="s">
        <v>50</v>
      </c>
      <c r="B3284" s="2">
        <v>117</v>
      </c>
      <c r="C3284" s="3">
        <v>21000000</v>
      </c>
      <c r="D3284" s="3" t="s">
        <v>885</v>
      </c>
      <c r="E3284" s="2" t="s">
        <v>2053</v>
      </c>
      <c r="F3284" s="2" t="s">
        <v>10</v>
      </c>
      <c r="G3284" s="2" t="s">
        <v>11</v>
      </c>
      <c r="H3284" s="2">
        <v>35000000</v>
      </c>
      <c r="I3284" s="2">
        <v>6.9</v>
      </c>
      <c r="J3284" s="3">
        <v>87341380</v>
      </c>
      <c r="K3284">
        <f t="shared" si="110"/>
        <v>1.3775047412552699E-3</v>
      </c>
      <c r="R3284" s="12" t="str">
        <f ca="1">IFERROR(__xludf.DUMMYFUNCTION("""COMPUTED_VALUE"""),"Annie Hall ")</f>
        <v>Annie Hall </v>
      </c>
      <c r="S3284" s="12">
        <f t="shared" si="109"/>
        <v>-104297917</v>
      </c>
    </row>
    <row r="3285" spans="1:19" x14ac:dyDescent="0.3">
      <c r="A3285" s="2" t="s">
        <v>498</v>
      </c>
      <c r="B3285" s="2">
        <v>94</v>
      </c>
      <c r="C3285" s="3">
        <v>9714482</v>
      </c>
      <c r="D3285" s="3" t="s">
        <v>520</v>
      </c>
      <c r="E3285" s="2" t="s">
        <v>499</v>
      </c>
      <c r="F3285" s="2" t="s">
        <v>10</v>
      </c>
      <c r="G3285" s="2" t="s">
        <v>11</v>
      </c>
      <c r="H3285" s="2">
        <v>84000000</v>
      </c>
      <c r="I3285" s="2">
        <v>2.2000000000000002</v>
      </c>
      <c r="J3285" s="3">
        <v>87666629</v>
      </c>
      <c r="K3285">
        <f t="shared" si="110"/>
        <v>1.3775047412552699E-3</v>
      </c>
      <c r="R3285" s="12" t="str">
        <f ca="1">IFERROR(__xludf.DUMMYFUNCTION("""COMPUTED_VALUE"""),"The Greatest Show on Earth ")</f>
        <v>The Greatest Show on Earth </v>
      </c>
      <c r="S3285" s="12">
        <f t="shared" si="109"/>
        <v>50353550</v>
      </c>
    </row>
    <row r="3286" spans="1:19" x14ac:dyDescent="0.3">
      <c r="A3286" s="2" t="s">
        <v>3326</v>
      </c>
      <c r="B3286" s="2">
        <v>114</v>
      </c>
      <c r="C3286" s="3">
        <v>2175312</v>
      </c>
      <c r="D3286" s="3" t="s">
        <v>520</v>
      </c>
      <c r="E3286" s="2" t="s">
        <v>3327</v>
      </c>
      <c r="F3286" s="2" t="s">
        <v>10</v>
      </c>
      <c r="G3286" s="2" t="s">
        <v>11</v>
      </c>
      <c r="H3286" s="2">
        <v>16500000</v>
      </c>
      <c r="I3286" s="2">
        <v>4.9000000000000004</v>
      </c>
      <c r="J3286" s="3">
        <v>87704396</v>
      </c>
      <c r="K3286">
        <f t="shared" si="110"/>
        <v>1.3775047412552699E-3</v>
      </c>
      <c r="R3286" s="12" t="str">
        <f ca="1">IFERROR(__xludf.DUMMYFUNCTION("""COMPUTED_VALUE"""),"Monster's Ball ")</f>
        <v>Monster's Ball </v>
      </c>
      <c r="S3286" s="12">
        <f t="shared" si="109"/>
        <v>5634601</v>
      </c>
    </row>
    <row r="3287" spans="1:19" x14ac:dyDescent="0.3">
      <c r="A3287" s="2" t="s">
        <v>821</v>
      </c>
      <c r="B3287" s="2">
        <v>124</v>
      </c>
      <c r="C3287" s="3">
        <v>8786715</v>
      </c>
      <c r="D3287" s="3" t="s">
        <v>6048</v>
      </c>
      <c r="E3287" s="2" t="s">
        <v>2716</v>
      </c>
      <c r="F3287" s="2" t="s">
        <v>10</v>
      </c>
      <c r="G3287" s="2" t="s">
        <v>11</v>
      </c>
      <c r="H3287" s="2">
        <v>24000000</v>
      </c>
      <c r="I3287" s="2">
        <v>5.4</v>
      </c>
      <c r="J3287" s="3">
        <v>87856565</v>
      </c>
      <c r="K3287">
        <f t="shared" si="110"/>
        <v>1.3775047412552699E-3</v>
      </c>
      <c r="R3287" s="12" t="str">
        <f ca="1">IFERROR(__xludf.DUMMYFUNCTION("""COMPUTED_VALUE"""),"Maggie ")</f>
        <v>Maggie </v>
      </c>
      <c r="S3287" s="12">
        <f t="shared" si="109"/>
        <v>-35390958</v>
      </c>
    </row>
    <row r="3288" spans="1:19" x14ac:dyDescent="0.3">
      <c r="A3288" s="2" t="s">
        <v>1461</v>
      </c>
      <c r="B3288" s="2">
        <v>101</v>
      </c>
      <c r="C3288" s="3">
        <v>3148482</v>
      </c>
      <c r="D3288" s="3" t="s">
        <v>5940</v>
      </c>
      <c r="E3288" s="2" t="s">
        <v>3588</v>
      </c>
      <c r="F3288" s="2" t="s">
        <v>10</v>
      </c>
      <c r="G3288" s="2" t="s">
        <v>11</v>
      </c>
      <c r="H3288" s="2">
        <v>15000000</v>
      </c>
      <c r="I3288" s="2">
        <v>5.5</v>
      </c>
      <c r="J3288" s="3">
        <v>88200225</v>
      </c>
      <c r="K3288">
        <f t="shared" si="110"/>
        <v>1.3775047412552699E-3</v>
      </c>
      <c r="R3288" s="12" t="str">
        <f ca="1">IFERROR(__xludf.DUMMYFUNCTION("""COMPUTED_VALUE"""),"Leaving Las Vegas ")</f>
        <v>Leaving Las Vegas </v>
      </c>
      <c r="S3288" s="12">
        <f t="shared" si="109"/>
        <v>25529874</v>
      </c>
    </row>
    <row r="3289" spans="1:19" x14ac:dyDescent="0.3">
      <c r="A3289" s="2" t="s">
        <v>3620</v>
      </c>
      <c r="B3289" s="2">
        <v>137</v>
      </c>
      <c r="C3289" s="3">
        <v>21199</v>
      </c>
      <c r="D3289" s="3" t="s">
        <v>5763</v>
      </c>
      <c r="E3289" s="2" t="s">
        <v>3621</v>
      </c>
      <c r="F3289" s="2" t="s">
        <v>10</v>
      </c>
      <c r="G3289" s="2" t="s">
        <v>11</v>
      </c>
      <c r="H3289" s="2">
        <v>26000000</v>
      </c>
      <c r="I3289" s="2">
        <v>7.6</v>
      </c>
      <c r="J3289" s="3">
        <v>88246220</v>
      </c>
      <c r="K3289">
        <f t="shared" si="110"/>
        <v>1.3775047412552699E-3</v>
      </c>
      <c r="R3289" s="12" t="str">
        <f ca="1">IFERROR(__xludf.DUMMYFUNCTION("""COMPUTED_VALUE"""),"The Boy Next Door ")</f>
        <v>The Boy Next Door </v>
      </c>
      <c r="S3289" s="12">
        <f t="shared" ref="S3289:S3352" si="111">C3267-H3267</f>
        <v>67149435</v>
      </c>
    </row>
    <row r="3290" spans="1:19" x14ac:dyDescent="0.3">
      <c r="A3290" s="2" t="s">
        <v>857</v>
      </c>
      <c r="B3290" s="2">
        <v>113</v>
      </c>
      <c r="C3290" s="3">
        <v>5664251</v>
      </c>
      <c r="D3290" s="3" t="s">
        <v>6040</v>
      </c>
      <c r="E3290" s="2" t="s">
        <v>1510</v>
      </c>
      <c r="F3290" s="2" t="s">
        <v>10</v>
      </c>
      <c r="G3290" s="2" t="s">
        <v>11</v>
      </c>
      <c r="H3290" s="2">
        <v>40000000</v>
      </c>
      <c r="I3290" s="2">
        <v>5.7</v>
      </c>
      <c r="J3290" s="3">
        <v>88504640</v>
      </c>
      <c r="K3290">
        <f t="shared" si="110"/>
        <v>1.3775047412552699E-3</v>
      </c>
      <c r="R3290" s="12" t="str">
        <f ca="1">IFERROR(__xludf.DUMMYFUNCTION("""COMPUTED_VALUE"""),"The Kids Are All Right ")</f>
        <v>The Kids Are All Right </v>
      </c>
      <c r="S3290" s="12">
        <f t="shared" si="111"/>
        <v>-19738519</v>
      </c>
    </row>
    <row r="3291" spans="1:19" x14ac:dyDescent="0.3">
      <c r="A3291" s="2" t="s">
        <v>1288</v>
      </c>
      <c r="B3291" s="2">
        <v>89</v>
      </c>
      <c r="C3291" s="3">
        <v>7518876</v>
      </c>
      <c r="D3291" s="3" t="s">
        <v>5763</v>
      </c>
      <c r="E3291" s="2" t="s">
        <v>2458</v>
      </c>
      <c r="F3291" s="2" t="s">
        <v>10</v>
      </c>
      <c r="G3291" s="2" t="s">
        <v>11</v>
      </c>
      <c r="H3291" s="2">
        <v>27000000</v>
      </c>
      <c r="I3291" s="2">
        <v>3.6</v>
      </c>
      <c r="J3291" s="3">
        <v>88625922</v>
      </c>
      <c r="K3291">
        <f t="shared" si="110"/>
        <v>1.3775047412552699E-3</v>
      </c>
      <c r="R3291" s="12" t="str">
        <f ca="1">IFERROR(__xludf.DUMMYFUNCTION("""COMPUTED_VALUE"""),"They Live ")</f>
        <v>They Live </v>
      </c>
      <c r="S3291" s="12">
        <f t="shared" si="111"/>
        <v>22580635</v>
      </c>
    </row>
    <row r="3292" spans="1:19" x14ac:dyDescent="0.3">
      <c r="A3292" s="2" t="s">
        <v>5162</v>
      </c>
      <c r="B3292" s="2">
        <v>98</v>
      </c>
      <c r="C3292" s="3">
        <v>5701643</v>
      </c>
      <c r="D3292" s="3" t="s">
        <v>6041</v>
      </c>
      <c r="E3292" s="2" t="s">
        <v>5163</v>
      </c>
      <c r="F3292" s="2" t="s">
        <v>10</v>
      </c>
      <c r="G3292" s="2" t="s">
        <v>11</v>
      </c>
      <c r="H3292" s="2">
        <v>1700000</v>
      </c>
      <c r="I3292" s="2">
        <v>6.3</v>
      </c>
      <c r="J3292" s="3">
        <v>88658172</v>
      </c>
      <c r="K3292">
        <f t="shared" si="110"/>
        <v>1.3775047412552699E-3</v>
      </c>
      <c r="R3292" s="12" t="str">
        <f ca="1">IFERROR(__xludf.DUMMYFUNCTION("""COMPUTED_VALUE"""),"The Last Exorcism Part II ")</f>
        <v>The Last Exorcism Part II </v>
      </c>
      <c r="S3292" s="12">
        <f t="shared" si="111"/>
        <v>44185897</v>
      </c>
    </row>
    <row r="3293" spans="1:19" x14ac:dyDescent="0.3">
      <c r="A3293" s="2" t="s">
        <v>1492</v>
      </c>
      <c r="B3293" s="2">
        <v>108</v>
      </c>
      <c r="C3293" s="3">
        <v>395592</v>
      </c>
      <c r="D3293" s="3" t="s">
        <v>885</v>
      </c>
      <c r="E3293" s="2" t="s">
        <v>1493</v>
      </c>
      <c r="F3293" s="2" t="s">
        <v>10</v>
      </c>
      <c r="G3293" s="2" t="s">
        <v>11</v>
      </c>
      <c r="H3293" s="2">
        <v>47000000</v>
      </c>
      <c r="I3293" s="2">
        <v>5.8</v>
      </c>
      <c r="J3293" s="3">
        <v>88761720</v>
      </c>
      <c r="K3293">
        <f t="shared" si="110"/>
        <v>1.3775047412552699E-3</v>
      </c>
      <c r="R3293" s="12" t="str">
        <f ca="1">IFERROR(__xludf.DUMMYFUNCTION("""COMPUTED_VALUE"""),"Boyhood ")</f>
        <v>Boyhood </v>
      </c>
      <c r="S3293" s="12">
        <f t="shared" si="111"/>
        <v>-98168495</v>
      </c>
    </row>
    <row r="3294" spans="1:19" x14ac:dyDescent="0.3">
      <c r="A3294" s="2" t="s">
        <v>2035</v>
      </c>
      <c r="B3294" s="2">
        <v>111</v>
      </c>
      <c r="C3294" s="3">
        <v>12232937</v>
      </c>
      <c r="D3294" s="3" t="s">
        <v>885</v>
      </c>
      <c r="E3294" s="2" t="s">
        <v>2036</v>
      </c>
      <c r="F3294" s="2" t="s">
        <v>10</v>
      </c>
      <c r="G3294" s="2" t="s">
        <v>11</v>
      </c>
      <c r="H3294" s="2">
        <v>35000000</v>
      </c>
      <c r="I3294" s="2">
        <v>6.8</v>
      </c>
      <c r="J3294" s="3">
        <v>88915214</v>
      </c>
      <c r="K3294">
        <f t="shared" si="110"/>
        <v>1.3775047412552699E-3</v>
      </c>
      <c r="R3294" s="12" t="str">
        <f ca="1">IFERROR(__xludf.DUMMYFUNCTION("""COMPUTED_VALUE"""),"Scoop ")</f>
        <v>Scoop </v>
      </c>
      <c r="S3294" s="12">
        <f t="shared" si="111"/>
        <v>-44808691</v>
      </c>
    </row>
    <row r="3295" spans="1:19" x14ac:dyDescent="0.3">
      <c r="A3295" s="2" t="s">
        <v>1301</v>
      </c>
      <c r="B3295" s="2">
        <v>150</v>
      </c>
      <c r="C3295" s="3">
        <v>144431</v>
      </c>
      <c r="D3295" s="3" t="s">
        <v>6049</v>
      </c>
      <c r="E3295" s="2" t="s">
        <v>2316</v>
      </c>
      <c r="F3295" s="2" t="s">
        <v>10</v>
      </c>
      <c r="G3295" s="2" t="s">
        <v>11</v>
      </c>
      <c r="H3295" s="2">
        <v>30000000</v>
      </c>
      <c r="I3295" s="2">
        <v>6.7</v>
      </c>
      <c r="J3295" s="3">
        <v>89021735</v>
      </c>
      <c r="K3295">
        <f t="shared" si="110"/>
        <v>1.3775047412552699E-3</v>
      </c>
      <c r="R3295" s="12" t="str">
        <f ca="1">IFERROR(__xludf.DUMMYFUNCTION("""COMPUTED_VALUE"""),"The Wash ")</f>
        <v>The Wash </v>
      </c>
      <c r="S3295" s="12">
        <f t="shared" si="111"/>
        <v>11281500</v>
      </c>
    </row>
    <row r="3296" spans="1:19" x14ac:dyDescent="0.3">
      <c r="A3296" s="2" t="s">
        <v>3863</v>
      </c>
      <c r="B3296" s="2">
        <v>114</v>
      </c>
      <c r="C3296" s="3">
        <v>9701559</v>
      </c>
      <c r="D3296" s="3" t="s">
        <v>6162</v>
      </c>
      <c r="E3296" s="2" t="s">
        <v>3864</v>
      </c>
      <c r="F3296" s="2" t="s">
        <v>10</v>
      </c>
      <c r="G3296" s="2" t="s">
        <v>11</v>
      </c>
      <c r="H3296" s="2">
        <v>10000000</v>
      </c>
      <c r="I3296" s="2">
        <v>7.2</v>
      </c>
      <c r="J3296" s="3">
        <v>89138076</v>
      </c>
      <c r="K3296">
        <f t="shared" si="110"/>
        <v>1.3775047412552699E-3</v>
      </c>
      <c r="R3296" s="12" t="str">
        <f ca="1">IFERROR(__xludf.DUMMYFUNCTION("""COMPUTED_VALUE"""),"3 Strikes ")</f>
        <v>3 Strikes </v>
      </c>
      <c r="S3296" s="12">
        <f t="shared" si="111"/>
        <v>191017</v>
      </c>
    </row>
    <row r="3297" spans="1:19" x14ac:dyDescent="0.3">
      <c r="A3297" s="2" t="s">
        <v>141</v>
      </c>
      <c r="B3297" s="2">
        <v>130</v>
      </c>
      <c r="C3297" s="3">
        <v>7002255</v>
      </c>
      <c r="D3297" s="3" t="s">
        <v>6451</v>
      </c>
      <c r="E3297" s="2" t="s">
        <v>509</v>
      </c>
      <c r="F3297" s="2" t="s">
        <v>10</v>
      </c>
      <c r="G3297" s="2" t="s">
        <v>11</v>
      </c>
      <c r="H3297" s="2">
        <v>98000000</v>
      </c>
      <c r="I3297" s="2">
        <v>6.3</v>
      </c>
      <c r="J3297" s="3">
        <v>89253340</v>
      </c>
      <c r="K3297">
        <f t="shared" si="110"/>
        <v>1.3775047412552699E-3</v>
      </c>
      <c r="R3297" s="12" t="str">
        <f ca="1">IFERROR(__xludf.DUMMYFUNCTION("""COMPUTED_VALUE"""),"The Cooler ")</f>
        <v>The Cooler </v>
      </c>
      <c r="S3297" s="12">
        <f t="shared" si="111"/>
        <v>-3357362</v>
      </c>
    </row>
    <row r="3298" spans="1:19" x14ac:dyDescent="0.3">
      <c r="A3298" s="2" t="s">
        <v>3670</v>
      </c>
      <c r="B3298" s="2">
        <v>117</v>
      </c>
      <c r="C3298" s="3">
        <v>3607</v>
      </c>
      <c r="D3298" s="3" t="s">
        <v>520</v>
      </c>
      <c r="E3298" s="2" t="s">
        <v>3671</v>
      </c>
      <c r="F3298" s="2" t="s">
        <v>10</v>
      </c>
      <c r="G3298" s="2" t="s">
        <v>11</v>
      </c>
      <c r="H3298" s="2">
        <v>13000000</v>
      </c>
      <c r="I3298" s="2">
        <v>6.1</v>
      </c>
      <c r="J3298" s="3">
        <v>89289910</v>
      </c>
      <c r="K3298">
        <f t="shared" si="110"/>
        <v>1.3775047412552699E-3</v>
      </c>
      <c r="R3298" s="12" t="str">
        <f ca="1">IFERROR(__xludf.DUMMYFUNCTION("""COMPUTED_VALUE"""),"The Night Listener ")</f>
        <v>The Night Listener </v>
      </c>
      <c r="S3298" s="12">
        <f t="shared" si="111"/>
        <v>-6639816</v>
      </c>
    </row>
    <row r="3299" spans="1:19" x14ac:dyDescent="0.3">
      <c r="A3299" s="2" t="s">
        <v>666</v>
      </c>
      <c r="B3299" s="2">
        <v>101</v>
      </c>
      <c r="C3299" s="3">
        <v>258113</v>
      </c>
      <c r="D3299" s="3" t="s">
        <v>885</v>
      </c>
      <c r="E3299" s="2" t="s">
        <v>1077</v>
      </c>
      <c r="F3299" s="2" t="s">
        <v>10</v>
      </c>
      <c r="G3299" s="2" t="s">
        <v>11</v>
      </c>
      <c r="H3299" s="2">
        <v>60000000</v>
      </c>
      <c r="I3299" s="2">
        <v>6.1</v>
      </c>
      <c r="J3299" s="3">
        <v>89296573</v>
      </c>
      <c r="K3299">
        <f t="shared" si="110"/>
        <v>1.3775047412552699E-3</v>
      </c>
      <c r="R3299" s="12" t="str">
        <f ca="1">IFERROR(__xludf.DUMMYFUNCTION("""COMPUTED_VALUE"""),"The Orphanage ")</f>
        <v>The Orphanage </v>
      </c>
      <c r="S3299" s="12">
        <f t="shared" si="111"/>
        <v>-99344497</v>
      </c>
    </row>
    <row r="3300" spans="1:19" x14ac:dyDescent="0.3">
      <c r="A3300" s="2" t="s">
        <v>5329</v>
      </c>
      <c r="B3300" s="2">
        <v>88</v>
      </c>
      <c r="C3300" s="3">
        <v>4398392</v>
      </c>
      <c r="D3300" s="3" t="s">
        <v>5910</v>
      </c>
      <c r="E3300" s="2" t="s">
        <v>5330</v>
      </c>
      <c r="F3300" s="2" t="s">
        <v>10</v>
      </c>
      <c r="G3300" s="2" t="s">
        <v>11</v>
      </c>
      <c r="H3300" s="2">
        <v>1000000</v>
      </c>
      <c r="I3300" s="2">
        <v>6.7</v>
      </c>
      <c r="J3300" s="3">
        <v>89706988</v>
      </c>
      <c r="K3300">
        <f t="shared" si="110"/>
        <v>1.3775047412552699E-3</v>
      </c>
      <c r="R3300" s="12" t="str">
        <f ca="1">IFERROR(__xludf.DUMMYFUNCTION("""COMPUTED_VALUE"""),"A Haunted House 2 ")</f>
        <v>A Haunted House 2 </v>
      </c>
      <c r="S3300" s="12">
        <f t="shared" si="111"/>
        <v>9014234</v>
      </c>
    </row>
    <row r="3301" spans="1:19" x14ac:dyDescent="0.3">
      <c r="A3301" s="2" t="s">
        <v>4497</v>
      </c>
      <c r="B3301" s="2">
        <v>98</v>
      </c>
      <c r="C3301" s="3">
        <v>37440</v>
      </c>
      <c r="D3301" s="3" t="s">
        <v>520</v>
      </c>
      <c r="E3301" s="2" t="s">
        <v>4498</v>
      </c>
      <c r="F3301" s="2" t="s">
        <v>10</v>
      </c>
      <c r="G3301" s="2" t="s">
        <v>11</v>
      </c>
      <c r="H3301" s="2">
        <v>6000000</v>
      </c>
      <c r="I3301" s="2">
        <v>6.1</v>
      </c>
      <c r="J3301" s="3">
        <v>89732035</v>
      </c>
      <c r="K3301">
        <f t="shared" si="110"/>
        <v>1.3775047412552699E-3</v>
      </c>
      <c r="R3301" s="12" t="str">
        <f ca="1">IFERROR(__xludf.DUMMYFUNCTION("""COMPUTED_VALUE"""),"The Rules of Attraction ")</f>
        <v>The Rules of Attraction </v>
      </c>
      <c r="S3301" s="12">
        <f t="shared" si="111"/>
        <v>52310175</v>
      </c>
    </row>
    <row r="3302" spans="1:19" x14ac:dyDescent="0.3">
      <c r="A3302" s="2" t="s">
        <v>1338</v>
      </c>
      <c r="B3302" s="2">
        <v>123</v>
      </c>
      <c r="C3302" s="3">
        <v>22201636</v>
      </c>
      <c r="D3302" s="3" t="s">
        <v>5869</v>
      </c>
      <c r="E3302" s="2" t="s">
        <v>5243</v>
      </c>
      <c r="F3302" s="2" t="s">
        <v>10</v>
      </c>
      <c r="G3302" s="2" t="s">
        <v>11</v>
      </c>
      <c r="H3302" s="2">
        <v>1420000</v>
      </c>
      <c r="I3302" s="2">
        <v>4.0999999999999996</v>
      </c>
      <c r="J3302" s="3">
        <v>89808372</v>
      </c>
      <c r="K3302">
        <f t="shared" si="110"/>
        <v>1.3775047412552699E-3</v>
      </c>
      <c r="R3302" s="12" t="str">
        <f ca="1">IFERROR(__xludf.DUMMYFUNCTION("""COMPUTED_VALUE"""),"Four Rooms ")</f>
        <v>Four Rooms </v>
      </c>
      <c r="S3302" s="12">
        <f t="shared" si="111"/>
        <v>-11665959</v>
      </c>
    </row>
    <row r="3303" spans="1:19" x14ac:dyDescent="0.3">
      <c r="A3303" s="2" t="s">
        <v>3424</v>
      </c>
      <c r="B3303" s="2">
        <v>119</v>
      </c>
      <c r="C3303" s="3">
        <v>16842303</v>
      </c>
      <c r="D3303" s="3" t="s">
        <v>5767</v>
      </c>
      <c r="E3303" s="2" t="s">
        <v>3425</v>
      </c>
      <c r="F3303" s="2" t="s">
        <v>10</v>
      </c>
      <c r="G3303" s="2" t="s">
        <v>11</v>
      </c>
      <c r="H3303" s="2">
        <v>15000000</v>
      </c>
      <c r="I3303" s="2">
        <v>4.9000000000000004</v>
      </c>
      <c r="J3303" s="3">
        <v>90135191</v>
      </c>
      <c r="K3303">
        <f t="shared" si="110"/>
        <v>1.3775047412552699E-3</v>
      </c>
      <c r="R3303" s="12" t="str">
        <f ca="1">IFERROR(__xludf.DUMMYFUNCTION("""COMPUTED_VALUE"""),"Secretary ")</f>
        <v>Secretary </v>
      </c>
      <c r="S3303" s="12">
        <f t="shared" si="111"/>
        <v>-174428649</v>
      </c>
    </row>
    <row r="3304" spans="1:19" x14ac:dyDescent="0.3">
      <c r="A3304" s="2" t="s">
        <v>114</v>
      </c>
      <c r="B3304" s="2">
        <v>138</v>
      </c>
      <c r="C3304" s="3">
        <v>3064356</v>
      </c>
      <c r="D3304" s="3" t="s">
        <v>5940</v>
      </c>
      <c r="E3304" s="2" t="s">
        <v>2151</v>
      </c>
      <c r="F3304" s="2" t="s">
        <v>10</v>
      </c>
      <c r="G3304" s="2" t="s">
        <v>11</v>
      </c>
      <c r="H3304" s="2">
        <v>31000000</v>
      </c>
      <c r="I3304" s="2">
        <v>7.3</v>
      </c>
      <c r="J3304" s="3">
        <v>90341670</v>
      </c>
      <c r="K3304">
        <f t="shared" si="110"/>
        <v>1.3775047412552699E-3</v>
      </c>
      <c r="R3304" s="12" t="str">
        <f ca="1">IFERROR(__xludf.DUMMYFUNCTION("""COMPUTED_VALUE"""),"The Real Cancun ")</f>
        <v>The Real Cancun </v>
      </c>
      <c r="S3304" s="12">
        <f t="shared" si="111"/>
        <v>59590286</v>
      </c>
    </row>
    <row r="3305" spans="1:19" x14ac:dyDescent="0.3">
      <c r="A3305" s="2" t="s">
        <v>2352</v>
      </c>
      <c r="B3305" s="2">
        <v>115</v>
      </c>
      <c r="C3305" s="3">
        <v>9795017</v>
      </c>
      <c r="D3305" s="3" t="s">
        <v>5803</v>
      </c>
      <c r="E3305" s="2" t="s">
        <v>2353</v>
      </c>
      <c r="F3305" s="2" t="s">
        <v>10</v>
      </c>
      <c r="G3305" s="2" t="s">
        <v>11</v>
      </c>
      <c r="H3305" s="2">
        <v>29000000</v>
      </c>
      <c r="I3305" s="2">
        <v>6.5</v>
      </c>
      <c r="J3305" s="3">
        <v>90353764</v>
      </c>
      <c r="K3305">
        <f t="shared" si="110"/>
        <v>1.3775047412552699E-3</v>
      </c>
      <c r="R3305" s="12" t="str">
        <f ca="1">IFERROR(__xludf.DUMMYFUNCTION("""COMPUTED_VALUE"""),"Talk Radio ")</f>
        <v>Talk Radio </v>
      </c>
      <c r="S3305" s="12">
        <f t="shared" si="111"/>
        <v>-35752225</v>
      </c>
    </row>
    <row r="3306" spans="1:19" x14ac:dyDescent="0.3">
      <c r="A3306" s="2" t="s">
        <v>3996</v>
      </c>
      <c r="B3306" s="2">
        <v>114</v>
      </c>
      <c r="C3306" s="3">
        <v>3049135</v>
      </c>
      <c r="D3306" s="3" t="s">
        <v>5857</v>
      </c>
      <c r="E3306" s="2" t="s">
        <v>3997</v>
      </c>
      <c r="F3306" s="2" t="s">
        <v>10</v>
      </c>
      <c r="G3306" s="2" t="s">
        <v>11</v>
      </c>
      <c r="H3306" s="2">
        <v>17000000</v>
      </c>
      <c r="I3306" s="2">
        <v>6.5</v>
      </c>
      <c r="J3306" s="3">
        <v>90356857</v>
      </c>
      <c r="K3306">
        <f t="shared" si="110"/>
        <v>1.3775047412552699E-3</v>
      </c>
      <c r="R3306" s="12" t="str">
        <f ca="1">IFERROR(__xludf.DUMMYFUNCTION("""COMPUTED_VALUE"""),"Waiting for Guffman ")</f>
        <v>Waiting for Guffman </v>
      </c>
      <c r="S3306" s="12">
        <f t="shared" si="111"/>
        <v>-14000000</v>
      </c>
    </row>
    <row r="3307" spans="1:19" x14ac:dyDescent="0.3">
      <c r="A3307" s="2" t="s">
        <v>1604</v>
      </c>
      <c r="B3307" s="2">
        <v>128</v>
      </c>
      <c r="C3307" s="3">
        <v>876671</v>
      </c>
      <c r="D3307" s="3" t="s">
        <v>885</v>
      </c>
      <c r="E3307" s="2" t="s">
        <v>2921</v>
      </c>
      <c r="F3307" s="2" t="s">
        <v>10</v>
      </c>
      <c r="G3307" s="2" t="s">
        <v>11</v>
      </c>
      <c r="H3307" s="2">
        <v>20000000</v>
      </c>
      <c r="I3307" s="2">
        <v>7.6</v>
      </c>
      <c r="J3307" s="3">
        <v>90443603</v>
      </c>
      <c r="K3307">
        <f t="shared" si="110"/>
        <v>1.3775047412552699E-3</v>
      </c>
      <c r="R3307" s="12" t="str">
        <f ca="1">IFERROR(__xludf.DUMMYFUNCTION("""COMPUTED_VALUE"""),"Love Stinks ")</f>
        <v>Love Stinks </v>
      </c>
      <c r="S3307" s="12">
        <f t="shared" si="111"/>
        <v>-74285518</v>
      </c>
    </row>
    <row r="3308" spans="1:19" x14ac:dyDescent="0.3">
      <c r="A3308" s="2" t="s">
        <v>67</v>
      </c>
      <c r="B3308" s="2">
        <v>106</v>
      </c>
      <c r="C3308" s="3">
        <v>2301777</v>
      </c>
      <c r="D3308" s="3" t="s">
        <v>5996</v>
      </c>
      <c r="E3308" s="2" t="s">
        <v>4045</v>
      </c>
      <c r="F3308" s="2" t="s">
        <v>10</v>
      </c>
      <c r="G3308" s="2" t="s">
        <v>11</v>
      </c>
      <c r="H3308" s="2">
        <v>10000000</v>
      </c>
      <c r="I3308" s="2">
        <v>7</v>
      </c>
      <c r="J3308" s="3">
        <v>90454043</v>
      </c>
      <c r="K3308">
        <f t="shared" si="110"/>
        <v>1.3775047412552699E-3</v>
      </c>
      <c r="R3308" s="12" t="str">
        <f ca="1">IFERROR(__xludf.DUMMYFUNCTION("""COMPUTED_VALUE"""),"You Kill Me ")</f>
        <v>You Kill Me </v>
      </c>
      <c r="S3308" s="12">
        <f t="shared" si="111"/>
        <v>-14324688</v>
      </c>
    </row>
    <row r="3309" spans="1:19" x14ac:dyDescent="0.3">
      <c r="A3309" s="2" t="s">
        <v>705</v>
      </c>
      <c r="B3309" s="2">
        <v>116</v>
      </c>
      <c r="C3309" s="3">
        <v>49474048</v>
      </c>
      <c r="D3309" s="3" t="s">
        <v>5895</v>
      </c>
      <c r="E3309" s="2" t="s">
        <v>1723</v>
      </c>
      <c r="F3309" s="2" t="s">
        <v>10</v>
      </c>
      <c r="G3309" s="2" t="s">
        <v>11</v>
      </c>
      <c r="H3309" s="2">
        <v>40000000</v>
      </c>
      <c r="I3309" s="2">
        <v>5.9</v>
      </c>
      <c r="J3309" s="3">
        <v>90556401</v>
      </c>
      <c r="K3309">
        <f t="shared" si="110"/>
        <v>1.3775047412552699E-3</v>
      </c>
      <c r="R3309" s="12" t="str">
        <f ca="1">IFERROR(__xludf.DUMMYFUNCTION("""COMPUTED_VALUE"""),"Thumbsucker ")</f>
        <v>Thumbsucker </v>
      </c>
      <c r="S3309" s="12">
        <f t="shared" si="111"/>
        <v>-15213285</v>
      </c>
    </row>
    <row r="3310" spans="1:19" x14ac:dyDescent="0.3">
      <c r="A3310" s="2" t="s">
        <v>4678</v>
      </c>
      <c r="B3310" s="2">
        <v>41</v>
      </c>
      <c r="C3310" s="3">
        <v>5308707</v>
      </c>
      <c r="D3310" s="3" t="s">
        <v>5857</v>
      </c>
      <c r="E3310" s="2" t="s">
        <v>4679</v>
      </c>
      <c r="F3310" s="2" t="s">
        <v>10</v>
      </c>
      <c r="G3310" s="2" t="s">
        <v>16</v>
      </c>
      <c r="H3310" s="2">
        <v>5000000</v>
      </c>
      <c r="I3310" s="2">
        <v>6.9</v>
      </c>
      <c r="J3310" s="3">
        <v>90567722</v>
      </c>
      <c r="K3310">
        <f t="shared" si="110"/>
        <v>1.3775047412552699E-3</v>
      </c>
      <c r="R3310" s="12" t="str">
        <f ca="1">IFERROR(__xludf.DUMMYFUNCTION("""COMPUTED_VALUE"""),"Mirrormask ")</f>
        <v>Mirrormask </v>
      </c>
      <c r="S3310" s="12">
        <f t="shared" si="111"/>
        <v>-11851518</v>
      </c>
    </row>
    <row r="3311" spans="1:19" x14ac:dyDescent="0.3">
      <c r="A3311" s="2" t="s">
        <v>2362</v>
      </c>
      <c r="B3311" s="2">
        <v>115</v>
      </c>
      <c r="C3311" s="3">
        <v>26049082</v>
      </c>
      <c r="D3311" s="3" t="s">
        <v>6452</v>
      </c>
      <c r="E3311" s="2" t="s">
        <v>2782</v>
      </c>
      <c r="F3311" s="2" t="s">
        <v>10</v>
      </c>
      <c r="G3311" s="2" t="s">
        <v>16</v>
      </c>
      <c r="H3311" s="2">
        <v>22000000</v>
      </c>
      <c r="I3311" s="2">
        <v>7.4</v>
      </c>
      <c r="J3311" s="3">
        <v>90636983</v>
      </c>
      <c r="K3311">
        <f t="shared" si="110"/>
        <v>1.3775047412552699E-3</v>
      </c>
      <c r="R3311" s="12" t="str">
        <f ca="1">IFERROR(__xludf.DUMMYFUNCTION("""COMPUTED_VALUE"""),"Samsara ")</f>
        <v>Samsara </v>
      </c>
      <c r="S3311" s="12">
        <f t="shared" si="111"/>
        <v>-25978801</v>
      </c>
    </row>
    <row r="3312" spans="1:19" x14ac:dyDescent="0.3">
      <c r="A3312" s="2" t="s">
        <v>67</v>
      </c>
      <c r="B3312" s="2">
        <v>119</v>
      </c>
      <c r="C3312" s="3">
        <v>3000000</v>
      </c>
      <c r="D3312" s="3" t="s">
        <v>6453</v>
      </c>
      <c r="E3312" s="2" t="s">
        <v>449</v>
      </c>
      <c r="F3312" s="2" t="s">
        <v>10</v>
      </c>
      <c r="G3312" s="2" t="s">
        <v>11</v>
      </c>
      <c r="H3312" s="2">
        <v>100000000</v>
      </c>
      <c r="I3312" s="2">
        <v>5.7</v>
      </c>
      <c r="J3312" s="3">
        <v>90646554</v>
      </c>
      <c r="K3312">
        <f t="shared" si="110"/>
        <v>1.3775047412552699E-3</v>
      </c>
      <c r="R3312" s="12" t="str">
        <f ca="1">IFERROR(__xludf.DUMMYFUNCTION("""COMPUTED_VALUE"""),"The Barbarians ")</f>
        <v>The Barbarians </v>
      </c>
      <c r="S3312" s="12">
        <f t="shared" si="111"/>
        <v>-34335749</v>
      </c>
    </row>
    <row r="3313" spans="1:19" x14ac:dyDescent="0.3">
      <c r="A3313" s="2" t="s">
        <v>3942</v>
      </c>
      <c r="B3313" s="2">
        <v>193</v>
      </c>
      <c r="C3313" s="3">
        <v>9694105</v>
      </c>
      <c r="D3313" s="3" t="s">
        <v>6251</v>
      </c>
      <c r="E3313" s="2" t="s">
        <v>3943</v>
      </c>
      <c r="F3313" s="2" t="s">
        <v>3944</v>
      </c>
      <c r="G3313" s="2" t="s">
        <v>1845</v>
      </c>
      <c r="H3313" s="2">
        <v>700000000</v>
      </c>
      <c r="I3313" s="2">
        <v>6</v>
      </c>
      <c r="J3313" s="3">
        <v>90703745</v>
      </c>
      <c r="K3313">
        <f t="shared" si="110"/>
        <v>1.3775047412552699E-3</v>
      </c>
      <c r="R3313" s="12" t="str">
        <f ca="1">IFERROR(__xludf.DUMMYFUNCTION("""COMPUTED_VALUE"""),"Poolhall Junkies ")</f>
        <v>Poolhall Junkies </v>
      </c>
      <c r="S3313" s="12">
        <f t="shared" si="111"/>
        <v>-19481124</v>
      </c>
    </row>
    <row r="3314" spans="1:19" x14ac:dyDescent="0.3">
      <c r="A3314" s="2" t="s">
        <v>1979</v>
      </c>
      <c r="B3314" s="2">
        <v>88</v>
      </c>
      <c r="C3314" s="3">
        <v>13134</v>
      </c>
      <c r="D3314" s="3" t="s">
        <v>6454</v>
      </c>
      <c r="E3314" s="2" t="s">
        <v>4170</v>
      </c>
      <c r="F3314" s="2" t="s">
        <v>10</v>
      </c>
      <c r="G3314" s="2" t="s">
        <v>11</v>
      </c>
      <c r="H3314" s="3">
        <v>474544677</v>
      </c>
      <c r="I3314" s="2">
        <v>7.5</v>
      </c>
      <c r="J3314" s="3">
        <v>90755643</v>
      </c>
      <c r="K3314">
        <f t="shared" si="110"/>
        <v>1.3775047412552699E-3</v>
      </c>
      <c r="R3314" s="12" t="str">
        <f ca="1">IFERROR(__xludf.DUMMYFUNCTION("""COMPUTED_VALUE"""),"The Loss of Sexual Innocence ")</f>
        <v>The Loss of Sexual Innocence </v>
      </c>
      <c r="S3314" s="12">
        <f t="shared" si="111"/>
        <v>4001643</v>
      </c>
    </row>
    <row r="3315" spans="1:19" x14ac:dyDescent="0.3">
      <c r="A3315" s="2" t="s">
        <v>1305</v>
      </c>
      <c r="B3315" s="2">
        <v>133</v>
      </c>
      <c r="C3315" s="3">
        <v>9402410</v>
      </c>
      <c r="D3315" s="3" t="s">
        <v>885</v>
      </c>
      <c r="E3315" s="2" t="s">
        <v>4751</v>
      </c>
      <c r="F3315" s="2" t="s">
        <v>10</v>
      </c>
      <c r="G3315" s="2" t="s">
        <v>11</v>
      </c>
      <c r="H3315" s="2">
        <v>4400000</v>
      </c>
      <c r="I3315" s="2">
        <v>8.6999999999999993</v>
      </c>
      <c r="J3315" s="3">
        <v>90800000</v>
      </c>
      <c r="K3315">
        <f t="shared" si="110"/>
        <v>1.3775047412552699E-3</v>
      </c>
      <c r="R3315" s="12" t="str">
        <f ca="1">IFERROR(__xludf.DUMMYFUNCTION("""COMPUTED_VALUE"""),"Joe ")</f>
        <v>Joe </v>
      </c>
      <c r="S3315" s="12">
        <f t="shared" si="111"/>
        <v>-46604408</v>
      </c>
    </row>
    <row r="3316" spans="1:19" x14ac:dyDescent="0.3">
      <c r="A3316" s="2" t="s">
        <v>2903</v>
      </c>
      <c r="B3316" s="2">
        <v>137</v>
      </c>
      <c r="C3316" s="3">
        <v>10042266</v>
      </c>
      <c r="D3316" s="3" t="s">
        <v>5940</v>
      </c>
      <c r="E3316" s="2" t="s">
        <v>2904</v>
      </c>
      <c r="F3316" s="2" t="s">
        <v>10</v>
      </c>
      <c r="G3316" s="2" t="s">
        <v>11</v>
      </c>
      <c r="H3316" s="2">
        <v>20000000</v>
      </c>
      <c r="I3316" s="2">
        <v>5</v>
      </c>
      <c r="J3316" s="3">
        <v>90835030</v>
      </c>
      <c r="K3316">
        <f t="shared" si="110"/>
        <v>1.3775047412552699E-3</v>
      </c>
      <c r="R3316" s="12" t="str">
        <f ca="1">IFERROR(__xludf.DUMMYFUNCTION("""COMPUTED_VALUE"""),"Shooting Fish ")</f>
        <v>Shooting Fish </v>
      </c>
      <c r="S3316" s="12">
        <f t="shared" si="111"/>
        <v>-22767063</v>
      </c>
    </row>
    <row r="3317" spans="1:19" x14ac:dyDescent="0.3">
      <c r="A3317" s="2" t="s">
        <v>1896</v>
      </c>
      <c r="B3317" s="2">
        <v>106</v>
      </c>
      <c r="C3317" s="3">
        <v>5600000</v>
      </c>
      <c r="D3317" s="3" t="s">
        <v>6241</v>
      </c>
      <c r="E3317" s="2" t="s">
        <v>2792</v>
      </c>
      <c r="F3317" s="2" t="s">
        <v>10</v>
      </c>
      <c r="G3317" s="2" t="s">
        <v>16</v>
      </c>
      <c r="H3317" s="2">
        <v>22000000</v>
      </c>
      <c r="I3317" s="2">
        <v>6.4</v>
      </c>
      <c r="J3317" s="3">
        <v>91030827</v>
      </c>
      <c r="K3317">
        <f t="shared" si="110"/>
        <v>1.3775047412552699E-3</v>
      </c>
      <c r="R3317" s="12" t="str">
        <f ca="1">IFERROR(__xludf.DUMMYFUNCTION("""COMPUTED_VALUE"""),"Prison ")</f>
        <v>Prison </v>
      </c>
      <c r="S3317" s="12">
        <f t="shared" si="111"/>
        <v>-29855569</v>
      </c>
    </row>
    <row r="3318" spans="1:19" x14ac:dyDescent="0.3">
      <c r="A3318" s="2" t="s">
        <v>2072</v>
      </c>
      <c r="B3318" s="2">
        <v>129</v>
      </c>
      <c r="C3318" s="3">
        <v>42575718</v>
      </c>
      <c r="D3318" s="3" t="s">
        <v>520</v>
      </c>
      <c r="E3318" s="2" t="s">
        <v>2115</v>
      </c>
      <c r="F3318" s="2" t="s">
        <v>10</v>
      </c>
      <c r="G3318" s="2" t="s">
        <v>11</v>
      </c>
      <c r="H3318" s="2">
        <v>32000000</v>
      </c>
      <c r="I3318" s="2">
        <v>7.2</v>
      </c>
      <c r="J3318" s="3">
        <v>91038276</v>
      </c>
      <c r="K3318">
        <f t="shared" si="110"/>
        <v>1.3775047412552699E-3</v>
      </c>
      <c r="R3318" s="12" t="str">
        <f ca="1">IFERROR(__xludf.DUMMYFUNCTION("""COMPUTED_VALUE"""),"Psycho Beach Party ")</f>
        <v>Psycho Beach Party </v>
      </c>
      <c r="S3318" s="12">
        <f t="shared" si="111"/>
        <v>-298441</v>
      </c>
    </row>
    <row r="3319" spans="1:19" x14ac:dyDescent="0.3">
      <c r="A3319" s="2" t="s">
        <v>5253</v>
      </c>
      <c r="B3319" s="2">
        <v>113</v>
      </c>
      <c r="C3319" s="3">
        <v>37479778</v>
      </c>
      <c r="D3319" s="3" t="s">
        <v>5940</v>
      </c>
      <c r="E3319" s="2" t="s">
        <v>5254</v>
      </c>
      <c r="F3319" s="2" t="s">
        <v>10</v>
      </c>
      <c r="G3319" s="2" t="s">
        <v>11</v>
      </c>
      <c r="H3319" s="2">
        <v>1200000</v>
      </c>
      <c r="I3319" s="2">
        <v>6</v>
      </c>
      <c r="J3319" s="3">
        <v>91121452</v>
      </c>
      <c r="K3319">
        <f t="shared" si="110"/>
        <v>1.3775047412552699E-3</v>
      </c>
      <c r="R3319" s="12" t="str">
        <f ca="1">IFERROR(__xludf.DUMMYFUNCTION("""COMPUTED_VALUE"""),"The Big Tease ")</f>
        <v>The Big Tease </v>
      </c>
      <c r="S3319" s="12">
        <f t="shared" si="111"/>
        <v>-90997745</v>
      </c>
    </row>
    <row r="3320" spans="1:19" x14ac:dyDescent="0.3">
      <c r="A3320" s="2" t="s">
        <v>4794</v>
      </c>
      <c r="B3320" s="2">
        <v>96</v>
      </c>
      <c r="C3320" s="3">
        <v>872643</v>
      </c>
      <c r="D3320" s="3" t="s">
        <v>5910</v>
      </c>
      <c r="E3320" s="2" t="s">
        <v>4795</v>
      </c>
      <c r="F3320" s="2" t="s">
        <v>10</v>
      </c>
      <c r="G3320" s="2" t="s">
        <v>11</v>
      </c>
      <c r="H3320" s="2">
        <v>8000000</v>
      </c>
      <c r="I3320" s="2">
        <v>2.7</v>
      </c>
      <c r="J3320" s="3">
        <v>91188905</v>
      </c>
      <c r="K3320">
        <f t="shared" si="110"/>
        <v>1.3775047412552699E-3</v>
      </c>
      <c r="R3320" s="12" t="str">
        <f ca="1">IFERROR(__xludf.DUMMYFUNCTION("""COMPUTED_VALUE"""),"Buen Día, Ramón ")</f>
        <v>Buen Día, Ramón </v>
      </c>
      <c r="S3320" s="12">
        <f t="shared" si="111"/>
        <v>-12996393</v>
      </c>
    </row>
    <row r="3321" spans="1:19" x14ac:dyDescent="0.3">
      <c r="A3321" s="2" t="s">
        <v>1721</v>
      </c>
      <c r="B3321" s="2">
        <v>107</v>
      </c>
      <c r="C3321" s="3">
        <v>4360548</v>
      </c>
      <c r="D3321" s="3" t="s">
        <v>6221</v>
      </c>
      <c r="E3321" s="2" t="s">
        <v>1722</v>
      </c>
      <c r="F3321" s="2" t="s">
        <v>10</v>
      </c>
      <c r="G3321" s="2" t="s">
        <v>11</v>
      </c>
      <c r="H3321" s="2">
        <v>40000000</v>
      </c>
      <c r="I3321" s="2">
        <v>6.4</v>
      </c>
      <c r="J3321" s="3">
        <v>91400000</v>
      </c>
      <c r="K3321">
        <f t="shared" si="110"/>
        <v>1.3775047412552699E-3</v>
      </c>
      <c r="R3321" s="12" t="str">
        <f ca="1">IFERROR(__xludf.DUMMYFUNCTION("""COMPUTED_VALUE"""),"Trust ")</f>
        <v>Trust </v>
      </c>
      <c r="S3321" s="12">
        <f t="shared" si="111"/>
        <v>-59741887</v>
      </c>
    </row>
    <row r="3322" spans="1:19" x14ac:dyDescent="0.3">
      <c r="A3322" s="2" t="s">
        <v>1801</v>
      </c>
      <c r="B3322" s="2">
        <v>91</v>
      </c>
      <c r="C3322" s="3">
        <v>5755286</v>
      </c>
      <c r="D3322" s="3" t="s">
        <v>6148</v>
      </c>
      <c r="E3322" s="2" t="s">
        <v>3322</v>
      </c>
      <c r="F3322" s="2" t="s">
        <v>10</v>
      </c>
      <c r="G3322" s="2" t="s">
        <v>11</v>
      </c>
      <c r="H3322" s="2">
        <v>17700000</v>
      </c>
      <c r="I3322" s="2">
        <v>5.9</v>
      </c>
      <c r="J3322" s="3">
        <v>91439400</v>
      </c>
      <c r="K3322">
        <f t="shared" si="110"/>
        <v>1.3775047412552699E-3</v>
      </c>
      <c r="R3322" s="12" t="str">
        <f ca="1">IFERROR(__xludf.DUMMYFUNCTION("""COMPUTED_VALUE"""),"An Everlasting Piece ")</f>
        <v>An Everlasting Piece </v>
      </c>
      <c r="S3322" s="12">
        <f t="shared" si="111"/>
        <v>3398392</v>
      </c>
    </row>
    <row r="3323" spans="1:19" x14ac:dyDescent="0.3">
      <c r="A3323" s="2" t="s">
        <v>1464</v>
      </c>
      <c r="B3323" s="2">
        <v>100</v>
      </c>
      <c r="C3323" s="3">
        <v>48814909</v>
      </c>
      <c r="D3323" s="3" t="s">
        <v>520</v>
      </c>
      <c r="E3323" s="2" t="s">
        <v>2320</v>
      </c>
      <c r="F3323" s="2" t="s">
        <v>10</v>
      </c>
      <c r="G3323" s="2" t="s">
        <v>11</v>
      </c>
      <c r="H3323" s="2">
        <v>45000000</v>
      </c>
      <c r="I3323" s="2">
        <v>2.7</v>
      </c>
      <c r="J3323" s="3">
        <v>91443253</v>
      </c>
      <c r="K3323">
        <f t="shared" si="110"/>
        <v>1.3775047412552699E-3</v>
      </c>
      <c r="R3323" s="12" t="str">
        <f ca="1">IFERROR(__xludf.DUMMYFUNCTION("""COMPUTED_VALUE"""),"Among Giants ")</f>
        <v>Among Giants </v>
      </c>
      <c r="S3323" s="12">
        <f t="shared" si="111"/>
        <v>-5962560</v>
      </c>
    </row>
    <row r="3324" spans="1:19" x14ac:dyDescent="0.3">
      <c r="A3324" s="2" t="s">
        <v>4000</v>
      </c>
      <c r="B3324" s="2">
        <v>103</v>
      </c>
      <c r="C3324" s="3">
        <v>20999103</v>
      </c>
      <c r="D3324" s="3" t="s">
        <v>5849</v>
      </c>
      <c r="E3324" s="2" t="s">
        <v>4001</v>
      </c>
      <c r="F3324" s="2" t="s">
        <v>10</v>
      </c>
      <c r="G3324" s="2" t="s">
        <v>11</v>
      </c>
      <c r="H3324" s="2">
        <v>12000000</v>
      </c>
      <c r="I3324" s="2">
        <v>5.5</v>
      </c>
      <c r="J3324" s="3">
        <v>91457688</v>
      </c>
      <c r="K3324">
        <f t="shared" si="110"/>
        <v>1.3775047412552699E-3</v>
      </c>
      <c r="R3324" s="12" t="str">
        <f ca="1">IFERROR(__xludf.DUMMYFUNCTION("""COMPUTED_VALUE"""),"Adore ")</f>
        <v>Adore </v>
      </c>
      <c r="S3324" s="12">
        <f t="shared" si="111"/>
        <v>20781636</v>
      </c>
    </row>
    <row r="3325" spans="1:19" x14ac:dyDescent="0.3">
      <c r="A3325" s="2" t="s">
        <v>330</v>
      </c>
      <c r="B3325" s="2">
        <v>102</v>
      </c>
      <c r="C3325" s="3">
        <v>45434443</v>
      </c>
      <c r="D3325" s="3" t="s">
        <v>5857</v>
      </c>
      <c r="E3325" s="2" t="s">
        <v>3182</v>
      </c>
      <c r="F3325" s="2" t="s">
        <v>10</v>
      </c>
      <c r="G3325" s="2" t="s">
        <v>71</v>
      </c>
      <c r="H3325" s="2">
        <v>18000000</v>
      </c>
      <c r="I3325" s="2">
        <v>5.3</v>
      </c>
      <c r="J3325" s="3">
        <v>91547205</v>
      </c>
      <c r="K3325">
        <f t="shared" si="110"/>
        <v>1.3775047412552699E-3</v>
      </c>
      <c r="R3325" s="12" t="str">
        <f ca="1">IFERROR(__xludf.DUMMYFUNCTION("""COMPUTED_VALUE"""),"Mondays in the Sun ")</f>
        <v>Mondays in the Sun </v>
      </c>
      <c r="S3325" s="12">
        <f t="shared" si="111"/>
        <v>1842303</v>
      </c>
    </row>
    <row r="3326" spans="1:19" x14ac:dyDescent="0.3">
      <c r="A3326" s="2" t="s">
        <v>3832</v>
      </c>
      <c r="B3326" s="2">
        <v>81</v>
      </c>
      <c r="C3326" s="3">
        <v>7159147</v>
      </c>
      <c r="D3326" s="3" t="s">
        <v>5892</v>
      </c>
      <c r="E3326" s="2" t="s">
        <v>3833</v>
      </c>
      <c r="F3326" s="2" t="s">
        <v>10</v>
      </c>
      <c r="G3326" s="2" t="s">
        <v>11</v>
      </c>
      <c r="H3326" s="2">
        <v>10000000</v>
      </c>
      <c r="I3326" s="2">
        <v>5.7</v>
      </c>
      <c r="J3326" s="3">
        <v>92001027</v>
      </c>
      <c r="K3326">
        <f t="shared" si="110"/>
        <v>1.3775047412552699E-3</v>
      </c>
      <c r="R3326" s="12" t="str">
        <f ca="1">IFERROR(__xludf.DUMMYFUNCTION("""COMPUTED_VALUE"""),"Stake Land ")</f>
        <v>Stake Land </v>
      </c>
      <c r="S3326" s="12">
        <f t="shared" si="111"/>
        <v>-27935644</v>
      </c>
    </row>
    <row r="3327" spans="1:19" x14ac:dyDescent="0.3">
      <c r="A3327" s="2" t="s">
        <v>1876</v>
      </c>
      <c r="B3327" s="2">
        <v>109</v>
      </c>
      <c r="C3327" s="3">
        <v>7382993</v>
      </c>
      <c r="D3327" s="3" t="s">
        <v>6221</v>
      </c>
      <c r="E3327" s="2" t="s">
        <v>1877</v>
      </c>
      <c r="F3327" s="2" t="s">
        <v>10</v>
      </c>
      <c r="G3327" s="2" t="s">
        <v>11</v>
      </c>
      <c r="H3327" s="2">
        <v>10000000</v>
      </c>
      <c r="I3327" s="2">
        <v>7.3</v>
      </c>
      <c r="J3327" s="3">
        <v>92115211</v>
      </c>
      <c r="K3327">
        <f t="shared" si="110"/>
        <v>1.3775047412552699E-3</v>
      </c>
      <c r="R3327" s="12" t="str">
        <f ca="1">IFERROR(__xludf.DUMMYFUNCTION("""COMPUTED_VALUE"""),"The Last Time I Committed Suicide ")</f>
        <v>The Last Time I Committed Suicide </v>
      </c>
      <c r="S3327" s="12">
        <f t="shared" si="111"/>
        <v>-19204983</v>
      </c>
    </row>
    <row r="3328" spans="1:19" x14ac:dyDescent="0.3">
      <c r="A3328" s="2" t="s">
        <v>1506</v>
      </c>
      <c r="B3328" s="2">
        <v>84</v>
      </c>
      <c r="C3328" s="3">
        <v>12870569</v>
      </c>
      <c r="D3328" s="3" t="s">
        <v>6455</v>
      </c>
      <c r="E3328" s="2" t="s">
        <v>1507</v>
      </c>
      <c r="F3328" s="2" t="s">
        <v>10</v>
      </c>
      <c r="G3328" s="2" t="s">
        <v>11</v>
      </c>
      <c r="H3328" s="2">
        <v>48000000</v>
      </c>
      <c r="I3328" s="2">
        <v>5.5</v>
      </c>
      <c r="J3328" s="3">
        <v>92173235</v>
      </c>
      <c r="K3328">
        <f t="shared" si="110"/>
        <v>1.3775047412552699E-3</v>
      </c>
      <c r="R3328" s="12" t="str">
        <f ca="1">IFERROR(__xludf.DUMMYFUNCTION("""COMPUTED_VALUE"""),"Futuro Beach ")</f>
        <v>Futuro Beach </v>
      </c>
      <c r="S3328" s="12">
        <f t="shared" si="111"/>
        <v>-13950865</v>
      </c>
    </row>
    <row r="3329" spans="1:19" x14ac:dyDescent="0.3">
      <c r="A3329" s="2" t="s">
        <v>1048</v>
      </c>
      <c r="B3329" s="2">
        <v>113</v>
      </c>
      <c r="C3329" s="3">
        <v>35794166</v>
      </c>
      <c r="D3329" s="3" t="s">
        <v>6157</v>
      </c>
      <c r="E3329" s="2" t="s">
        <v>1049</v>
      </c>
      <c r="F3329" s="2" t="s">
        <v>10</v>
      </c>
      <c r="G3329" s="2" t="s">
        <v>11</v>
      </c>
      <c r="H3329" s="2">
        <v>60000000</v>
      </c>
      <c r="I3329" s="2">
        <v>5.5</v>
      </c>
      <c r="J3329" s="3">
        <v>92823600</v>
      </c>
      <c r="K3329">
        <f t="shared" si="110"/>
        <v>1.3775047412552699E-3</v>
      </c>
      <c r="R3329" s="12" t="str">
        <f ca="1">IFERROR(__xludf.DUMMYFUNCTION("""COMPUTED_VALUE"""),"Inescapable ")</f>
        <v>Inescapable </v>
      </c>
      <c r="S3329" s="12">
        <f t="shared" si="111"/>
        <v>-19123329</v>
      </c>
    </row>
    <row r="3330" spans="1:19" x14ac:dyDescent="0.3">
      <c r="A3330" s="2" t="s">
        <v>1656</v>
      </c>
      <c r="B3330" s="2">
        <v>126</v>
      </c>
      <c r="C3330" s="3">
        <v>1089365</v>
      </c>
      <c r="D3330" s="3" t="s">
        <v>6456</v>
      </c>
      <c r="E3330" s="2" t="s">
        <v>1657</v>
      </c>
      <c r="F3330" s="2" t="s">
        <v>10</v>
      </c>
      <c r="G3330" s="2" t="s">
        <v>11</v>
      </c>
      <c r="H3330" s="2">
        <v>8000000</v>
      </c>
      <c r="I3330" s="2">
        <v>7.2</v>
      </c>
      <c r="J3330" s="3">
        <v>92930005</v>
      </c>
      <c r="K3330">
        <f t="shared" ref="K3330:K3393" si="112">CORREL(H$2:H$3941,J$2:J$3941)</f>
        <v>1.3775047412552699E-3</v>
      </c>
      <c r="R3330" s="12" t="str">
        <f ca="1">IFERROR(__xludf.DUMMYFUNCTION("""COMPUTED_VALUE"""),"Gone with the Wind ")</f>
        <v>Gone with the Wind </v>
      </c>
      <c r="S3330" s="12">
        <f t="shared" si="111"/>
        <v>-7698223</v>
      </c>
    </row>
    <row r="3331" spans="1:19" x14ac:dyDescent="0.3">
      <c r="A3331" s="2" t="s">
        <v>4625</v>
      </c>
      <c r="B3331" s="2">
        <v>134</v>
      </c>
      <c r="C3331" s="3">
        <v>871577</v>
      </c>
      <c r="D3331" s="3" t="s">
        <v>5869</v>
      </c>
      <c r="E3331" s="2" t="s">
        <v>4626</v>
      </c>
      <c r="F3331" s="2" t="s">
        <v>10</v>
      </c>
      <c r="G3331" s="2" t="s">
        <v>11</v>
      </c>
      <c r="H3331" s="2">
        <v>5000000</v>
      </c>
      <c r="I3331" s="2">
        <v>7.2</v>
      </c>
      <c r="J3331" s="3">
        <v>92969824</v>
      </c>
      <c r="K3331">
        <f t="shared" si="112"/>
        <v>1.3775047412552699E-3</v>
      </c>
      <c r="R3331" s="12" t="str">
        <f ca="1">IFERROR(__xludf.DUMMYFUNCTION("""COMPUTED_VALUE"""),"Desert Dancer ")</f>
        <v>Desert Dancer </v>
      </c>
      <c r="S3331" s="12">
        <f t="shared" si="111"/>
        <v>9474048</v>
      </c>
    </row>
    <row r="3332" spans="1:19" x14ac:dyDescent="0.3">
      <c r="A3332" s="2" t="s">
        <v>2540</v>
      </c>
      <c r="B3332" s="2">
        <v>121</v>
      </c>
      <c r="C3332" s="3">
        <v>136007</v>
      </c>
      <c r="D3332" s="3" t="s">
        <v>5940</v>
      </c>
      <c r="E3332" s="2" t="s">
        <v>2878</v>
      </c>
      <c r="F3332" s="2" t="s">
        <v>10</v>
      </c>
      <c r="G3332" s="2" t="s">
        <v>11</v>
      </c>
      <c r="H3332" s="2">
        <v>20000000</v>
      </c>
      <c r="I3332" s="2">
        <v>4.4000000000000004</v>
      </c>
      <c r="J3332" s="3">
        <v>93050117</v>
      </c>
      <c r="K3332">
        <f t="shared" si="112"/>
        <v>1.3775047412552699E-3</v>
      </c>
      <c r="R3332" s="12" t="str">
        <f ca="1">IFERROR(__xludf.DUMMYFUNCTION("""COMPUTED_VALUE"""),"Major Dundee ")</f>
        <v>Major Dundee </v>
      </c>
      <c r="S3332" s="12">
        <f t="shared" si="111"/>
        <v>308707</v>
      </c>
    </row>
    <row r="3333" spans="1:19" x14ac:dyDescent="0.3">
      <c r="A3333" s="2" t="s">
        <v>4412</v>
      </c>
      <c r="B3333" s="2">
        <v>106</v>
      </c>
      <c r="C3333" s="3">
        <v>3000000</v>
      </c>
      <c r="D3333" s="3" t="s">
        <v>5850</v>
      </c>
      <c r="E3333" s="2" t="s">
        <v>4413</v>
      </c>
      <c r="F3333" s="2" t="s">
        <v>10</v>
      </c>
      <c r="G3333" s="2" t="s">
        <v>11</v>
      </c>
      <c r="H3333" s="2">
        <v>7000000</v>
      </c>
      <c r="I3333" s="2">
        <v>7.1</v>
      </c>
      <c r="J3333" s="3">
        <v>93307796</v>
      </c>
      <c r="K3333">
        <f t="shared" si="112"/>
        <v>1.3775047412552699E-3</v>
      </c>
      <c r="R3333" s="12" t="str">
        <f ca="1">IFERROR(__xludf.DUMMYFUNCTION("""COMPUTED_VALUE"""),"Annie Get Your Gun ")</f>
        <v>Annie Get Your Gun </v>
      </c>
      <c r="S3333" s="12">
        <f t="shared" si="111"/>
        <v>4049082</v>
      </c>
    </row>
    <row r="3334" spans="1:19" x14ac:dyDescent="0.3">
      <c r="A3334" s="2" t="s">
        <v>1861</v>
      </c>
      <c r="B3334" s="2">
        <v>129</v>
      </c>
      <c r="C3334" s="3">
        <v>2963012</v>
      </c>
      <c r="D3334" s="3" t="s">
        <v>6457</v>
      </c>
      <c r="E3334" s="2" t="s">
        <v>3857</v>
      </c>
      <c r="F3334" s="2" t="s">
        <v>1933</v>
      </c>
      <c r="G3334" s="2" t="s">
        <v>1008</v>
      </c>
      <c r="H3334" s="2">
        <v>12000000</v>
      </c>
      <c r="I3334" s="2">
        <v>7.5</v>
      </c>
      <c r="J3334" s="3">
        <v>93375151</v>
      </c>
      <c r="K3334">
        <f t="shared" si="112"/>
        <v>1.3775047412552699E-3</v>
      </c>
      <c r="R3334" s="12" t="str">
        <f ca="1">IFERROR(__xludf.DUMMYFUNCTION("""COMPUTED_VALUE"""),"Defendor ")</f>
        <v>Defendor </v>
      </c>
      <c r="S3334" s="12">
        <f t="shared" si="111"/>
        <v>-97000000</v>
      </c>
    </row>
    <row r="3335" spans="1:19" x14ac:dyDescent="0.3">
      <c r="A3335" s="2" t="s">
        <v>456</v>
      </c>
      <c r="B3335" s="2">
        <v>109</v>
      </c>
      <c r="C3335" s="3">
        <v>23838</v>
      </c>
      <c r="D3335" s="3" t="s">
        <v>6245</v>
      </c>
      <c r="E3335" s="2" t="s">
        <v>1810</v>
      </c>
      <c r="F3335" s="2" t="s">
        <v>10</v>
      </c>
      <c r="G3335" s="2" t="s">
        <v>11</v>
      </c>
      <c r="H3335" s="2">
        <v>40000000</v>
      </c>
      <c r="I3335" s="2">
        <v>5.9</v>
      </c>
      <c r="J3335" s="3">
        <v>93417865</v>
      </c>
      <c r="K3335">
        <f t="shared" si="112"/>
        <v>1.3775047412552699E-3</v>
      </c>
      <c r="R3335" s="12" t="str">
        <f ca="1">IFERROR(__xludf.DUMMYFUNCTION("""COMPUTED_VALUE"""),"The Pirate ")</f>
        <v>The Pirate </v>
      </c>
      <c r="S3335" s="12">
        <f t="shared" si="111"/>
        <v>-690305895</v>
      </c>
    </row>
    <row r="3336" spans="1:19" x14ac:dyDescent="0.3">
      <c r="A3336" s="2" t="s">
        <v>404</v>
      </c>
      <c r="B3336" s="2">
        <v>131</v>
      </c>
      <c r="C3336" s="3">
        <v>7417210</v>
      </c>
      <c r="D3336" s="3" t="s">
        <v>6245</v>
      </c>
      <c r="E3336" s="2" t="s">
        <v>1327</v>
      </c>
      <c r="F3336" s="2" t="s">
        <v>10</v>
      </c>
      <c r="G3336" s="2" t="s">
        <v>11</v>
      </c>
      <c r="H3336" s="2">
        <v>52000000</v>
      </c>
      <c r="I3336" s="2">
        <v>7.3</v>
      </c>
      <c r="J3336" s="3">
        <v>93452056</v>
      </c>
      <c r="K3336">
        <f t="shared" si="112"/>
        <v>1.3775047412552699E-3</v>
      </c>
      <c r="R3336" s="12" t="str">
        <f ca="1">IFERROR(__xludf.DUMMYFUNCTION("""COMPUTED_VALUE"""),"The Good Heart ")</f>
        <v>The Good Heart </v>
      </c>
      <c r="S3336" s="12">
        <f t="shared" si="111"/>
        <v>-474531543</v>
      </c>
    </row>
    <row r="3337" spans="1:19" x14ac:dyDescent="0.3">
      <c r="A3337" s="2" t="s">
        <v>1182</v>
      </c>
      <c r="B3337" s="2">
        <v>125</v>
      </c>
      <c r="C3337" s="3">
        <v>49551662</v>
      </c>
      <c r="D3337" s="3" t="s">
        <v>6017</v>
      </c>
      <c r="E3337" s="2" t="s">
        <v>1183</v>
      </c>
      <c r="F3337" s="2" t="s">
        <v>10</v>
      </c>
      <c r="G3337" s="2" t="s">
        <v>11</v>
      </c>
      <c r="H3337" s="2">
        <v>58000000</v>
      </c>
      <c r="I3337" s="2">
        <v>5.9</v>
      </c>
      <c r="J3337" s="3">
        <v>93571803</v>
      </c>
      <c r="K3337">
        <f t="shared" si="112"/>
        <v>1.3775047412552699E-3</v>
      </c>
      <c r="R3337" s="12" t="str">
        <f ca="1">IFERROR(__xludf.DUMMYFUNCTION("""COMPUTED_VALUE"""),"The History Boys ")</f>
        <v>The History Boys </v>
      </c>
      <c r="S3337" s="12">
        <f t="shared" si="111"/>
        <v>5002410</v>
      </c>
    </row>
    <row r="3338" spans="1:19" x14ac:dyDescent="0.3">
      <c r="A3338" s="2" t="s">
        <v>3523</v>
      </c>
      <c r="B3338" s="2">
        <v>107</v>
      </c>
      <c r="C3338" s="3">
        <v>7156725</v>
      </c>
      <c r="D3338" s="3" t="s">
        <v>5940</v>
      </c>
      <c r="E3338" s="2" t="s">
        <v>3524</v>
      </c>
      <c r="F3338" s="2" t="s">
        <v>10</v>
      </c>
      <c r="G3338" s="2" t="s">
        <v>16</v>
      </c>
      <c r="H3338" s="2">
        <v>15000000</v>
      </c>
      <c r="I3338" s="2">
        <v>8</v>
      </c>
      <c r="J3338" s="3">
        <v>93607673</v>
      </c>
      <c r="K3338">
        <f t="shared" si="112"/>
        <v>1.3775047412552699E-3</v>
      </c>
      <c r="R3338" s="12" t="str">
        <f ca="1">IFERROR(__xludf.DUMMYFUNCTION("""COMPUTED_VALUE"""),"The Full Monty ")</f>
        <v>The Full Monty </v>
      </c>
      <c r="S3338" s="12">
        <f t="shared" si="111"/>
        <v>-9957734</v>
      </c>
    </row>
    <row r="3339" spans="1:19" x14ac:dyDescent="0.3">
      <c r="A3339" s="2" t="s">
        <v>3870</v>
      </c>
      <c r="B3339" s="2">
        <v>134</v>
      </c>
      <c r="C3339" s="3">
        <v>16248701</v>
      </c>
      <c r="D3339" s="3" t="s">
        <v>6144</v>
      </c>
      <c r="E3339" s="2" t="s">
        <v>3871</v>
      </c>
      <c r="F3339" s="2" t="s">
        <v>3872</v>
      </c>
      <c r="G3339" s="2" t="s">
        <v>2947</v>
      </c>
      <c r="H3339" s="2">
        <v>2500000000</v>
      </c>
      <c r="I3339" s="2">
        <v>7.1</v>
      </c>
      <c r="J3339" s="3">
        <v>93749203</v>
      </c>
      <c r="K3339">
        <f t="shared" si="112"/>
        <v>1.3775047412552699E-3</v>
      </c>
      <c r="R3339" s="12" t="str">
        <f ca="1">IFERROR(__xludf.DUMMYFUNCTION("""COMPUTED_VALUE"""),"Airplane! ")</f>
        <v>Airplane! </v>
      </c>
      <c r="S3339" s="12">
        <f t="shared" si="111"/>
        <v>-16400000</v>
      </c>
    </row>
    <row r="3340" spans="1:19" x14ac:dyDescent="0.3">
      <c r="A3340" s="2" t="s">
        <v>840</v>
      </c>
      <c r="B3340" s="2">
        <v>87</v>
      </c>
      <c r="C3340" s="3">
        <v>2283276</v>
      </c>
      <c r="D3340" s="3" t="s">
        <v>5894</v>
      </c>
      <c r="E3340" s="2" t="s">
        <v>841</v>
      </c>
      <c r="F3340" s="2" t="s">
        <v>10</v>
      </c>
      <c r="G3340" s="2" t="s">
        <v>11</v>
      </c>
      <c r="H3340" s="2">
        <v>72000000</v>
      </c>
      <c r="I3340" s="2">
        <v>4.5999999999999996</v>
      </c>
      <c r="J3340" s="3">
        <v>93771072</v>
      </c>
      <c r="K3340">
        <f t="shared" si="112"/>
        <v>1.3775047412552699E-3</v>
      </c>
      <c r="R3340" s="12" t="str">
        <f ca="1">IFERROR(__xludf.DUMMYFUNCTION("""COMPUTED_VALUE"""),"Friday ")</f>
        <v>Friday </v>
      </c>
      <c r="S3340" s="12">
        <f t="shared" si="111"/>
        <v>10575718</v>
      </c>
    </row>
    <row r="3341" spans="1:19" x14ac:dyDescent="0.3">
      <c r="A3341" s="2" t="s">
        <v>2406</v>
      </c>
      <c r="B3341" s="2">
        <v>97</v>
      </c>
      <c r="C3341" s="3">
        <v>4357000</v>
      </c>
      <c r="D3341" s="3" t="s">
        <v>6201</v>
      </c>
      <c r="E3341" s="2" t="s">
        <v>2407</v>
      </c>
      <c r="F3341" s="2" t="s">
        <v>10</v>
      </c>
      <c r="G3341" s="2" t="s">
        <v>11</v>
      </c>
      <c r="H3341" s="2">
        <v>28000000</v>
      </c>
      <c r="I3341" s="2">
        <v>4.8</v>
      </c>
      <c r="J3341" s="3">
        <v>93815117</v>
      </c>
      <c r="K3341">
        <f t="shared" si="112"/>
        <v>1.3775047412552699E-3</v>
      </c>
      <c r="R3341" s="12" t="str">
        <f ca="1">IFERROR(__xludf.DUMMYFUNCTION("""COMPUTED_VALUE"""),"Menace II Society ")</f>
        <v>Menace II Society </v>
      </c>
      <c r="S3341" s="12">
        <f t="shared" si="111"/>
        <v>36279778</v>
      </c>
    </row>
    <row r="3342" spans="1:19" x14ac:dyDescent="0.3">
      <c r="A3342" s="2" t="s">
        <v>1338</v>
      </c>
      <c r="B3342" s="2">
        <v>142</v>
      </c>
      <c r="C3342" s="3">
        <v>95016</v>
      </c>
      <c r="D3342" s="3" t="s">
        <v>885</v>
      </c>
      <c r="E3342" s="2" t="s">
        <v>2788</v>
      </c>
      <c r="F3342" s="2" t="s">
        <v>10</v>
      </c>
      <c r="G3342" s="2" t="s">
        <v>11</v>
      </c>
      <c r="H3342" s="2">
        <v>22000000</v>
      </c>
      <c r="I3342" s="2">
        <v>6.6</v>
      </c>
      <c r="J3342" s="3">
        <v>93926386</v>
      </c>
      <c r="K3342">
        <f t="shared" si="112"/>
        <v>1.3775047412552699E-3</v>
      </c>
      <c r="R3342" s="12" t="str">
        <f ca="1">IFERROR(__xludf.DUMMYFUNCTION("""COMPUTED_VALUE"""),"Creepshow 2 ")</f>
        <v>Creepshow 2 </v>
      </c>
      <c r="S3342" s="12">
        <f t="shared" si="111"/>
        <v>-7127357</v>
      </c>
    </row>
    <row r="3343" spans="1:19" x14ac:dyDescent="0.3">
      <c r="A3343" s="2" t="s">
        <v>1425</v>
      </c>
      <c r="B3343" s="2">
        <v>93</v>
      </c>
      <c r="C3343" s="3">
        <v>9664316</v>
      </c>
      <c r="D3343" s="3" t="s">
        <v>5767</v>
      </c>
      <c r="E3343" s="2" t="s">
        <v>4776</v>
      </c>
      <c r="F3343" s="2" t="s">
        <v>10</v>
      </c>
      <c r="G3343" s="2" t="s">
        <v>11</v>
      </c>
      <c r="H3343" s="2">
        <v>4000000</v>
      </c>
      <c r="I3343" s="2">
        <v>7.3</v>
      </c>
      <c r="J3343" s="3">
        <v>93952276</v>
      </c>
      <c r="K3343">
        <f t="shared" si="112"/>
        <v>1.3775047412552699E-3</v>
      </c>
      <c r="R3343" s="12" t="str">
        <f ca="1">IFERROR(__xludf.DUMMYFUNCTION("""COMPUTED_VALUE"""),"The Witch ")</f>
        <v>The Witch </v>
      </c>
      <c r="S3343" s="12">
        <f t="shared" si="111"/>
        <v>-35639452</v>
      </c>
    </row>
    <row r="3344" spans="1:19" x14ac:dyDescent="0.3">
      <c r="A3344" s="2" t="s">
        <v>3437</v>
      </c>
      <c r="B3344" s="2">
        <v>89</v>
      </c>
      <c r="C3344" s="3">
        <v>9821335</v>
      </c>
      <c r="D3344" s="3" t="s">
        <v>5767</v>
      </c>
      <c r="E3344" s="2" t="s">
        <v>3438</v>
      </c>
      <c r="F3344" s="2" t="s">
        <v>10</v>
      </c>
      <c r="G3344" s="2" t="s">
        <v>199</v>
      </c>
      <c r="H3344" s="2">
        <v>15000000</v>
      </c>
      <c r="I3344" s="2">
        <v>4.5999999999999996</v>
      </c>
      <c r="J3344" s="3">
        <v>94125426</v>
      </c>
      <c r="K3344">
        <f t="shared" si="112"/>
        <v>1.3775047412552699E-3</v>
      </c>
      <c r="R3344" s="12" t="str">
        <f ca="1">IFERROR(__xludf.DUMMYFUNCTION("""COMPUTED_VALUE"""),"I Got the Hook Up ")</f>
        <v>I Got the Hook Up </v>
      </c>
      <c r="S3344" s="12">
        <f t="shared" si="111"/>
        <v>-11944714</v>
      </c>
    </row>
    <row r="3345" spans="1:19" x14ac:dyDescent="0.3">
      <c r="A3345" s="2" t="s">
        <v>2570</v>
      </c>
      <c r="B3345" s="2">
        <v>90</v>
      </c>
      <c r="C3345" s="2">
        <v>37470017</v>
      </c>
      <c r="D3345" s="3" t="s">
        <v>5894</v>
      </c>
      <c r="E3345" s="2" t="s">
        <v>3973</v>
      </c>
      <c r="F3345" s="2" t="s">
        <v>10</v>
      </c>
      <c r="G3345" s="2" t="s">
        <v>199</v>
      </c>
      <c r="H3345" s="2">
        <v>10000000</v>
      </c>
      <c r="I3345" s="2">
        <v>6.1</v>
      </c>
      <c r="J3345" s="3">
        <v>94175854</v>
      </c>
      <c r="K3345">
        <f t="shared" si="112"/>
        <v>1.3775047412552699E-3</v>
      </c>
      <c r="R3345" s="12" t="str">
        <f ca="1">IFERROR(__xludf.DUMMYFUNCTION("""COMPUTED_VALUE"""),"She's the One ")</f>
        <v>She's the One </v>
      </c>
      <c r="S3345" s="12">
        <f t="shared" si="111"/>
        <v>3814909</v>
      </c>
    </row>
    <row r="3346" spans="1:19" x14ac:dyDescent="0.3">
      <c r="A3346" s="2" t="s">
        <v>522</v>
      </c>
      <c r="B3346" s="2">
        <v>89</v>
      </c>
      <c r="C3346" s="3">
        <v>27758465</v>
      </c>
      <c r="D3346" s="3" t="s">
        <v>5849</v>
      </c>
      <c r="E3346" s="2" t="s">
        <v>1664</v>
      </c>
      <c r="F3346" s="2" t="s">
        <v>10</v>
      </c>
      <c r="G3346" s="2" t="s">
        <v>504</v>
      </c>
      <c r="H3346" s="2">
        <v>40000000</v>
      </c>
      <c r="I3346" s="2">
        <v>6.4</v>
      </c>
      <c r="J3346" s="3">
        <v>94497271</v>
      </c>
      <c r="K3346">
        <f t="shared" si="112"/>
        <v>1.3775047412552699E-3</v>
      </c>
      <c r="R3346" s="12" t="str">
        <f ca="1">IFERROR(__xludf.DUMMYFUNCTION("""COMPUTED_VALUE"""),"Gods and Monsters ")</f>
        <v>Gods and Monsters </v>
      </c>
      <c r="S3346" s="12">
        <f t="shared" si="111"/>
        <v>8999103</v>
      </c>
    </row>
    <row r="3347" spans="1:19" x14ac:dyDescent="0.3">
      <c r="A3347" s="2" t="s">
        <v>714</v>
      </c>
      <c r="B3347" s="2">
        <v>138</v>
      </c>
      <c r="C3347" s="3">
        <v>871527</v>
      </c>
      <c r="D3347" s="3" t="s">
        <v>520</v>
      </c>
      <c r="E3347" s="2" t="s">
        <v>2858</v>
      </c>
      <c r="F3347" s="2" t="s">
        <v>10</v>
      </c>
      <c r="G3347" s="2" t="s">
        <v>11</v>
      </c>
      <c r="H3347" s="2">
        <v>19000000</v>
      </c>
      <c r="I3347" s="2">
        <v>8.6</v>
      </c>
      <c r="J3347" s="3">
        <v>94822707</v>
      </c>
      <c r="K3347">
        <f t="shared" si="112"/>
        <v>1.3775047412552699E-3</v>
      </c>
      <c r="R3347" s="12" t="str">
        <f ca="1">IFERROR(__xludf.DUMMYFUNCTION("""COMPUTED_VALUE"""),"The Secret in Their Eyes ")</f>
        <v>The Secret in Their Eyes </v>
      </c>
      <c r="S3347" s="12">
        <f t="shared" si="111"/>
        <v>27434443</v>
      </c>
    </row>
    <row r="3348" spans="1:19" x14ac:dyDescent="0.3">
      <c r="A3348" s="2" t="s">
        <v>1157</v>
      </c>
      <c r="B3348" s="2">
        <v>120</v>
      </c>
      <c r="C3348" s="3">
        <v>64604977</v>
      </c>
      <c r="D3348" s="3" t="s">
        <v>5753</v>
      </c>
      <c r="E3348" s="2" t="s">
        <v>1476</v>
      </c>
      <c r="F3348" s="2" t="s">
        <v>10</v>
      </c>
      <c r="G3348" s="2" t="s">
        <v>11</v>
      </c>
      <c r="H3348" s="2">
        <v>48000000</v>
      </c>
      <c r="I3348" s="2">
        <v>7.4</v>
      </c>
      <c r="J3348" s="3">
        <v>94900000</v>
      </c>
      <c r="K3348">
        <f t="shared" si="112"/>
        <v>1.3775047412552699E-3</v>
      </c>
      <c r="R3348" s="12" t="str">
        <f ca="1">IFERROR(__xludf.DUMMYFUNCTION("""COMPUTED_VALUE"""),"Evil Dead II ")</f>
        <v>Evil Dead II </v>
      </c>
      <c r="S3348" s="12">
        <f t="shared" si="111"/>
        <v>-2840853</v>
      </c>
    </row>
    <row r="3349" spans="1:19" x14ac:dyDescent="0.3">
      <c r="A3349" s="2" t="s">
        <v>4077</v>
      </c>
      <c r="B3349" s="2">
        <v>120</v>
      </c>
      <c r="C3349" s="3">
        <v>1357042</v>
      </c>
      <c r="D3349" s="3" t="s">
        <v>885</v>
      </c>
      <c r="E3349" s="2" t="s">
        <v>4078</v>
      </c>
      <c r="F3349" s="2" t="s">
        <v>2623</v>
      </c>
      <c r="G3349" s="2" t="s">
        <v>2336</v>
      </c>
      <c r="H3349" s="2">
        <v>10000000</v>
      </c>
      <c r="I3349" s="2">
        <v>7</v>
      </c>
      <c r="J3349" s="3">
        <v>94999143</v>
      </c>
      <c r="K3349">
        <f t="shared" si="112"/>
        <v>1.3775047412552699E-3</v>
      </c>
      <c r="R3349" s="12" t="str">
        <f ca="1">IFERROR(__xludf.DUMMYFUNCTION("""COMPUTED_VALUE"""),"Pootie Tang ")</f>
        <v>Pootie Tang </v>
      </c>
      <c r="S3349" s="12">
        <f t="shared" si="111"/>
        <v>-2617007</v>
      </c>
    </row>
    <row r="3350" spans="1:19" x14ac:dyDescent="0.3">
      <c r="A3350" s="2" t="s">
        <v>5466</v>
      </c>
      <c r="B3350" s="2">
        <v>98</v>
      </c>
      <c r="C3350" s="3">
        <v>9929000</v>
      </c>
      <c r="D3350" s="3" t="s">
        <v>6440</v>
      </c>
      <c r="E3350" s="2" t="s">
        <v>5467</v>
      </c>
      <c r="F3350" s="2" t="s">
        <v>10</v>
      </c>
      <c r="G3350" s="2" t="s">
        <v>11</v>
      </c>
      <c r="H3350" s="2">
        <v>600000</v>
      </c>
      <c r="I3350" s="2">
        <v>4.5</v>
      </c>
      <c r="J3350" s="3">
        <v>95001343</v>
      </c>
      <c r="K3350">
        <f t="shared" si="112"/>
        <v>1.3775047412552699E-3</v>
      </c>
      <c r="R3350" s="12" t="str">
        <f ca="1">IFERROR(__xludf.DUMMYFUNCTION("""COMPUTED_VALUE"""),"La otra conquista ")</f>
        <v>La otra conquista </v>
      </c>
      <c r="S3350" s="12">
        <f t="shared" si="111"/>
        <v>-35129431</v>
      </c>
    </row>
    <row r="3351" spans="1:19" x14ac:dyDescent="0.3">
      <c r="A3351" s="2" t="s">
        <v>5583</v>
      </c>
      <c r="B3351" s="2">
        <v>109</v>
      </c>
      <c r="C3351" s="3">
        <v>32741596</v>
      </c>
      <c r="D3351" s="3" t="s">
        <v>1703</v>
      </c>
      <c r="E3351" s="2" t="s">
        <v>5584</v>
      </c>
      <c r="F3351" s="2" t="s">
        <v>10</v>
      </c>
      <c r="G3351" s="2" t="s">
        <v>11</v>
      </c>
      <c r="H3351" s="3">
        <v>474544677</v>
      </c>
      <c r="I3351" s="2">
        <v>6.6</v>
      </c>
      <c r="J3351" s="3">
        <v>95001351</v>
      </c>
      <c r="K3351">
        <f t="shared" si="112"/>
        <v>1.3775047412552699E-3</v>
      </c>
      <c r="R3351" s="12" t="str">
        <f ca="1">IFERROR(__xludf.DUMMYFUNCTION("""COMPUTED_VALUE"""),"Trollhunter ")</f>
        <v>Trollhunter </v>
      </c>
      <c r="S3351" s="12">
        <f t="shared" si="111"/>
        <v>-24205834</v>
      </c>
    </row>
    <row r="3352" spans="1:19" x14ac:dyDescent="0.3">
      <c r="A3352" s="2" t="s">
        <v>404</v>
      </c>
      <c r="B3352" s="2">
        <v>190</v>
      </c>
      <c r="C3352" s="3">
        <v>7362100</v>
      </c>
      <c r="D3352" s="3" t="s">
        <v>520</v>
      </c>
      <c r="E3352" s="2" t="s">
        <v>1467</v>
      </c>
      <c r="F3352" s="2" t="s">
        <v>10</v>
      </c>
      <c r="G3352" s="2" t="s">
        <v>11</v>
      </c>
      <c r="H3352" s="2">
        <v>48000000</v>
      </c>
      <c r="I3352" s="2">
        <v>7.6</v>
      </c>
      <c r="J3352" s="3">
        <v>95149435</v>
      </c>
      <c r="K3352">
        <f t="shared" si="112"/>
        <v>1.3775047412552699E-3</v>
      </c>
      <c r="R3352" s="12" t="str">
        <f ca="1">IFERROR(__xludf.DUMMYFUNCTION("""COMPUTED_VALUE"""),"Ira &amp; Abby ")</f>
        <v>Ira &amp; Abby </v>
      </c>
      <c r="S3352" s="12">
        <f t="shared" si="111"/>
        <v>-6910635</v>
      </c>
    </row>
    <row r="3353" spans="1:19" x14ac:dyDescent="0.3">
      <c r="A3353" s="2" t="s">
        <v>1492</v>
      </c>
      <c r="B3353" s="2">
        <v>119</v>
      </c>
      <c r="C3353" s="3">
        <v>6851969</v>
      </c>
      <c r="D3353" s="3" t="s">
        <v>6458</v>
      </c>
      <c r="E3353" s="2" t="s">
        <v>2687</v>
      </c>
      <c r="F3353" s="2" t="s">
        <v>10</v>
      </c>
      <c r="G3353" s="2" t="s">
        <v>11</v>
      </c>
      <c r="H3353" s="2">
        <v>14000000</v>
      </c>
      <c r="I3353" s="2">
        <v>7.7</v>
      </c>
      <c r="J3353" s="3">
        <v>95308367</v>
      </c>
      <c r="K3353">
        <f t="shared" si="112"/>
        <v>1.3775047412552699E-3</v>
      </c>
      <c r="R3353" s="12" t="str">
        <f ca="1">IFERROR(__xludf.DUMMYFUNCTION("""COMPUTED_VALUE"""),"Winter Passing ")</f>
        <v>Winter Passing </v>
      </c>
      <c r="S3353" s="12">
        <f t="shared" ref="S3353:S3416" si="113">C3331-H3331</f>
        <v>-4128423</v>
      </c>
    </row>
    <row r="3354" spans="1:19" x14ac:dyDescent="0.3">
      <c r="A3354" s="2" t="s">
        <v>842</v>
      </c>
      <c r="B3354" s="2">
        <v>120</v>
      </c>
      <c r="C3354" s="3">
        <v>336467</v>
      </c>
      <c r="D3354" s="3" t="s">
        <v>6195</v>
      </c>
      <c r="E3354" s="2" t="s">
        <v>2504</v>
      </c>
      <c r="F3354" s="2" t="s">
        <v>2505</v>
      </c>
      <c r="G3354" s="2" t="s">
        <v>11</v>
      </c>
      <c r="H3354" s="2">
        <v>30000000</v>
      </c>
      <c r="I3354" s="2">
        <v>7.1</v>
      </c>
      <c r="J3354" s="3">
        <v>95328937</v>
      </c>
      <c r="K3354">
        <f t="shared" si="112"/>
        <v>1.3775047412552699E-3</v>
      </c>
      <c r="R3354" s="12" t="str">
        <f ca="1">IFERROR(__xludf.DUMMYFUNCTION("""COMPUTED_VALUE"""),"D.E.B.S. ")</f>
        <v>D.E.B.S. </v>
      </c>
      <c r="S3354" s="12">
        <f t="shared" si="113"/>
        <v>-19863993</v>
      </c>
    </row>
    <row r="3355" spans="1:19" x14ac:dyDescent="0.3">
      <c r="A3355" s="2" t="s">
        <v>1943</v>
      </c>
      <c r="B3355" s="2">
        <v>143</v>
      </c>
      <c r="C3355" s="3">
        <v>869325</v>
      </c>
      <c r="D3355" s="3" t="s">
        <v>5767</v>
      </c>
      <c r="E3355" s="2" t="s">
        <v>1944</v>
      </c>
      <c r="F3355" s="2" t="s">
        <v>10</v>
      </c>
      <c r="G3355" s="2" t="s">
        <v>11</v>
      </c>
      <c r="H3355" s="2">
        <v>35000000</v>
      </c>
      <c r="I3355" s="2">
        <v>6.4</v>
      </c>
      <c r="J3355" s="3">
        <v>95632614</v>
      </c>
      <c r="K3355">
        <f t="shared" si="112"/>
        <v>1.3775047412552699E-3</v>
      </c>
      <c r="R3355" s="12" t="str">
        <f ca="1">IFERROR(__xludf.DUMMYFUNCTION("""COMPUTED_VALUE"""),"The Masked Saint ")</f>
        <v>The Masked Saint </v>
      </c>
      <c r="S3355" s="12">
        <f t="shared" si="113"/>
        <v>-4000000</v>
      </c>
    </row>
    <row r="3356" spans="1:19" x14ac:dyDescent="0.3">
      <c r="A3356" s="2" t="s">
        <v>671</v>
      </c>
      <c r="B3356" s="2">
        <v>124</v>
      </c>
      <c r="C3356" s="3">
        <v>5108820</v>
      </c>
      <c r="D3356" s="3" t="s">
        <v>6056</v>
      </c>
      <c r="E3356" s="2" t="s">
        <v>1395</v>
      </c>
      <c r="F3356" s="2" t="s">
        <v>10</v>
      </c>
      <c r="G3356" s="2" t="s">
        <v>11</v>
      </c>
      <c r="H3356" s="2">
        <v>50000000</v>
      </c>
      <c r="I3356" s="2">
        <v>5.9</v>
      </c>
      <c r="J3356" s="3">
        <v>95720716</v>
      </c>
      <c r="K3356">
        <f t="shared" si="112"/>
        <v>1.3775047412552699E-3</v>
      </c>
      <c r="R3356" s="12" t="str">
        <f ca="1">IFERROR(__xludf.DUMMYFUNCTION("""COMPUTED_VALUE"""),"Time to Choose ")</f>
        <v>Time to Choose </v>
      </c>
      <c r="S3356" s="12">
        <f t="shared" si="113"/>
        <v>-9036988</v>
      </c>
    </row>
    <row r="3357" spans="1:19" x14ac:dyDescent="0.3">
      <c r="A3357" s="2" t="s">
        <v>542</v>
      </c>
      <c r="B3357" s="2">
        <v>86</v>
      </c>
      <c r="C3357" s="3">
        <v>35635046</v>
      </c>
      <c r="D3357" s="3" t="s">
        <v>6148</v>
      </c>
      <c r="E3357" s="2" t="s">
        <v>3617</v>
      </c>
      <c r="F3357" s="2" t="s">
        <v>10</v>
      </c>
      <c r="G3357" s="2" t="s">
        <v>11</v>
      </c>
      <c r="H3357" s="2">
        <v>14000000</v>
      </c>
      <c r="I3357" s="2">
        <v>5.4</v>
      </c>
      <c r="J3357" s="3">
        <v>95860116</v>
      </c>
      <c r="K3357">
        <f t="shared" si="112"/>
        <v>1.3775047412552699E-3</v>
      </c>
      <c r="R3357" s="12" t="str">
        <f ca="1">IFERROR(__xludf.DUMMYFUNCTION("""COMPUTED_VALUE"""),"March of the Penguins ")</f>
        <v>March of the Penguins </v>
      </c>
      <c r="S3357" s="12">
        <f t="shared" si="113"/>
        <v>-39976162</v>
      </c>
    </row>
    <row r="3358" spans="1:19" x14ac:dyDescent="0.3">
      <c r="A3358" s="2" t="s">
        <v>45</v>
      </c>
      <c r="B3358" s="2">
        <v>201</v>
      </c>
      <c r="C3358" s="3">
        <v>21589307</v>
      </c>
      <c r="D3358" s="3" t="s">
        <v>6459</v>
      </c>
      <c r="E3358" s="2" t="s">
        <v>55</v>
      </c>
      <c r="F3358" s="2" t="s">
        <v>10</v>
      </c>
      <c r="G3358" s="2" t="s">
        <v>47</v>
      </c>
      <c r="H3358" s="2">
        <v>207000000</v>
      </c>
      <c r="I3358" s="2">
        <v>7.2</v>
      </c>
      <c r="J3358" s="3">
        <v>96067179</v>
      </c>
      <c r="K3358">
        <f t="shared" si="112"/>
        <v>1.3775047412552699E-3</v>
      </c>
      <c r="R3358" s="12" t="str">
        <f ca="1">IFERROR(__xludf.DUMMYFUNCTION("""COMPUTED_VALUE"""),"Margin Call ")</f>
        <v>Margin Call </v>
      </c>
      <c r="S3358" s="12">
        <f t="shared" si="113"/>
        <v>-44582790</v>
      </c>
    </row>
    <row r="3359" spans="1:19" x14ac:dyDescent="0.3">
      <c r="A3359" s="2" t="s">
        <v>337</v>
      </c>
      <c r="B3359" s="2">
        <v>96</v>
      </c>
      <c r="C3359" s="3">
        <v>34566746</v>
      </c>
      <c r="D3359" s="3" t="s">
        <v>6382</v>
      </c>
      <c r="E3359" s="2" t="s">
        <v>592</v>
      </c>
      <c r="F3359" s="2" t="s">
        <v>10</v>
      </c>
      <c r="G3359" s="2" t="s">
        <v>11</v>
      </c>
      <c r="H3359" s="2">
        <v>90000000</v>
      </c>
      <c r="I3359" s="2">
        <v>7</v>
      </c>
      <c r="J3359" s="3">
        <v>96471845</v>
      </c>
      <c r="K3359">
        <f t="shared" si="112"/>
        <v>1.3775047412552699E-3</v>
      </c>
      <c r="R3359" s="12" t="str">
        <f ca="1">IFERROR(__xludf.DUMMYFUNCTION("""COMPUTED_VALUE"""),"Choke ")</f>
        <v>Choke </v>
      </c>
      <c r="S3359" s="12">
        <f t="shared" si="113"/>
        <v>-8448338</v>
      </c>
    </row>
    <row r="3360" spans="1:19" x14ac:dyDescent="0.3">
      <c r="A3360" s="2" t="s">
        <v>821</v>
      </c>
      <c r="B3360" s="2">
        <v>116</v>
      </c>
      <c r="C3360" s="3">
        <v>9658370</v>
      </c>
      <c r="D3360" s="3" t="s">
        <v>6163</v>
      </c>
      <c r="E3360" s="2" t="s">
        <v>822</v>
      </c>
      <c r="F3360" s="2" t="s">
        <v>10</v>
      </c>
      <c r="G3360" s="2" t="s">
        <v>11</v>
      </c>
      <c r="H3360" s="2">
        <v>75000000</v>
      </c>
      <c r="I3360" s="2">
        <v>5.3</v>
      </c>
      <c r="J3360" s="3">
        <v>96917897</v>
      </c>
      <c r="K3360">
        <f t="shared" si="112"/>
        <v>1.3775047412552699E-3</v>
      </c>
      <c r="R3360" s="12" t="str">
        <f ca="1">IFERROR(__xludf.DUMMYFUNCTION("""COMPUTED_VALUE"""),"Whiplash ")</f>
        <v>Whiplash </v>
      </c>
      <c r="S3360" s="12">
        <f t="shared" si="113"/>
        <v>-7843275</v>
      </c>
    </row>
    <row r="3361" spans="1:19" x14ac:dyDescent="0.3">
      <c r="A3361" s="2" t="s">
        <v>316</v>
      </c>
      <c r="B3361" s="2">
        <v>98</v>
      </c>
      <c r="C3361" s="3">
        <v>231417</v>
      </c>
      <c r="D3361" s="3" t="s">
        <v>5998</v>
      </c>
      <c r="E3361" s="2" t="s">
        <v>3625</v>
      </c>
      <c r="F3361" s="2" t="s">
        <v>10</v>
      </c>
      <c r="G3361" s="2" t="s">
        <v>504</v>
      </c>
      <c r="H3361" s="2">
        <v>14000000</v>
      </c>
      <c r="I3361" s="2">
        <v>6.7</v>
      </c>
      <c r="J3361" s="3">
        <v>97030725</v>
      </c>
      <c r="K3361">
        <f t="shared" si="112"/>
        <v>1.3775047412552699E-3</v>
      </c>
      <c r="R3361" s="12" t="str">
        <f ca="1">IFERROR(__xludf.DUMMYFUNCTION("""COMPUTED_VALUE"""),"City of God ")</f>
        <v>City of God </v>
      </c>
      <c r="S3361" s="12">
        <f t="shared" si="113"/>
        <v>-2483751299</v>
      </c>
    </row>
    <row r="3362" spans="1:19" x14ac:dyDescent="0.3">
      <c r="A3362" s="2" t="s">
        <v>2968</v>
      </c>
      <c r="B3362" s="2">
        <v>118</v>
      </c>
      <c r="C3362" s="3">
        <v>1197786</v>
      </c>
      <c r="D3362" s="3" t="s">
        <v>5887</v>
      </c>
      <c r="E3362" s="2" t="s">
        <v>3809</v>
      </c>
      <c r="F3362" s="2" t="s">
        <v>10</v>
      </c>
      <c r="G3362" s="2" t="s">
        <v>11</v>
      </c>
      <c r="H3362" s="2">
        <v>9000000</v>
      </c>
      <c r="I3362" s="2">
        <v>6.9</v>
      </c>
      <c r="J3362" s="3">
        <v>97360069</v>
      </c>
      <c r="K3362">
        <f t="shared" si="112"/>
        <v>1.3775047412552699E-3</v>
      </c>
      <c r="R3362" s="12" t="str">
        <f ca="1">IFERROR(__xludf.DUMMYFUNCTION("""COMPUTED_VALUE"""),"Human Traffic ")</f>
        <v>Human Traffic </v>
      </c>
      <c r="S3362" s="12">
        <f t="shared" si="113"/>
        <v>-69716724</v>
      </c>
    </row>
    <row r="3363" spans="1:19" x14ac:dyDescent="0.3">
      <c r="A3363" s="2" t="s">
        <v>4017</v>
      </c>
      <c r="B3363" s="2">
        <v>101</v>
      </c>
      <c r="C3363" s="3">
        <v>5542025</v>
      </c>
      <c r="D3363" s="3" t="s">
        <v>6272</v>
      </c>
      <c r="E3363" s="2" t="s">
        <v>4018</v>
      </c>
      <c r="F3363" s="2" t="s">
        <v>10</v>
      </c>
      <c r="G3363" s="2" t="s">
        <v>11</v>
      </c>
      <c r="H3363" s="2">
        <v>10000000</v>
      </c>
      <c r="I3363" s="2">
        <v>6.7</v>
      </c>
      <c r="J3363" s="3">
        <v>97680195</v>
      </c>
      <c r="K3363">
        <f t="shared" si="112"/>
        <v>1.3775047412552699E-3</v>
      </c>
      <c r="R3363" s="12" t="str">
        <f ca="1">IFERROR(__xludf.DUMMYFUNCTION("""COMPUTED_VALUE"""),"The Hunt ")</f>
        <v>The Hunt </v>
      </c>
      <c r="S3363" s="12">
        <f t="shared" si="113"/>
        <v>-23643000</v>
      </c>
    </row>
    <row r="3364" spans="1:19" x14ac:dyDescent="0.3">
      <c r="A3364" s="2" t="s">
        <v>4048</v>
      </c>
      <c r="B3364" s="2">
        <v>95</v>
      </c>
      <c r="C3364" s="3">
        <v>4308981</v>
      </c>
      <c r="D3364" s="3" t="s">
        <v>6460</v>
      </c>
      <c r="E3364" s="2" t="s">
        <v>4049</v>
      </c>
      <c r="F3364" s="2" t="s">
        <v>10</v>
      </c>
      <c r="G3364" s="2" t="s">
        <v>11</v>
      </c>
      <c r="H3364" s="2">
        <v>10000000</v>
      </c>
      <c r="I3364" s="2">
        <v>5.5</v>
      </c>
      <c r="J3364" s="3">
        <v>98711404</v>
      </c>
      <c r="K3364">
        <f t="shared" si="112"/>
        <v>1.3775047412552699E-3</v>
      </c>
      <c r="R3364" s="12" t="str">
        <f ca="1">IFERROR(__xludf.DUMMYFUNCTION("""COMPUTED_VALUE"""),"Bella ")</f>
        <v>Bella </v>
      </c>
      <c r="S3364" s="12">
        <f t="shared" si="113"/>
        <v>-21904984</v>
      </c>
    </row>
    <row r="3365" spans="1:19" x14ac:dyDescent="0.3">
      <c r="A3365" s="2" t="s">
        <v>104</v>
      </c>
      <c r="B3365" s="2">
        <v>129</v>
      </c>
      <c r="C3365" s="3">
        <v>183490</v>
      </c>
      <c r="D3365" s="3" t="s">
        <v>5874</v>
      </c>
      <c r="E3365" s="2" t="s">
        <v>777</v>
      </c>
      <c r="F3365" s="2" t="s">
        <v>10</v>
      </c>
      <c r="G3365" s="2" t="s">
        <v>11</v>
      </c>
      <c r="H3365" s="2">
        <v>73000000</v>
      </c>
      <c r="I3365" s="2">
        <v>6.5</v>
      </c>
      <c r="J3365" s="3">
        <v>98780042</v>
      </c>
      <c r="K3365">
        <f t="shared" si="112"/>
        <v>1.3775047412552699E-3</v>
      </c>
      <c r="R3365" s="12" t="str">
        <f ca="1">IFERROR(__xludf.DUMMYFUNCTION("""COMPUTED_VALUE"""),"Dreaming of Joseph Lees ")</f>
        <v>Dreaming of Joseph Lees </v>
      </c>
      <c r="S3365" s="12">
        <f t="shared" si="113"/>
        <v>5664316</v>
      </c>
    </row>
    <row r="3366" spans="1:19" x14ac:dyDescent="0.3">
      <c r="A3366" s="2" t="s">
        <v>987</v>
      </c>
      <c r="B3366" s="2">
        <v>136</v>
      </c>
      <c r="C3366" s="3">
        <v>1744858</v>
      </c>
      <c r="D3366" s="3" t="s">
        <v>520</v>
      </c>
      <c r="E3366" s="2" t="s">
        <v>1184</v>
      </c>
      <c r="F3366" s="2" t="s">
        <v>10</v>
      </c>
      <c r="G3366" s="2" t="s">
        <v>11</v>
      </c>
      <c r="H3366" s="2">
        <v>57000000</v>
      </c>
      <c r="I3366" s="2">
        <v>7.5</v>
      </c>
      <c r="J3366" s="3">
        <v>98895417</v>
      </c>
      <c r="K3366">
        <f t="shared" si="112"/>
        <v>1.3775047412552699E-3</v>
      </c>
      <c r="R3366" s="12" t="str">
        <f ca="1">IFERROR(__xludf.DUMMYFUNCTION("""COMPUTED_VALUE"""),"Maria Full of Grace ")</f>
        <v>Maria Full of Grace </v>
      </c>
      <c r="S3366" s="12">
        <f t="shared" si="113"/>
        <v>-5178665</v>
      </c>
    </row>
    <row r="3367" spans="1:19" x14ac:dyDescent="0.3">
      <c r="A3367" s="2" t="s">
        <v>308</v>
      </c>
      <c r="B3367" s="2">
        <v>117</v>
      </c>
      <c r="C3367" s="3">
        <v>3060858</v>
      </c>
      <c r="D3367" s="3" t="s">
        <v>5767</v>
      </c>
      <c r="E3367" s="2" t="s">
        <v>309</v>
      </c>
      <c r="F3367" s="2" t="s">
        <v>10</v>
      </c>
      <c r="G3367" s="2" t="s">
        <v>11</v>
      </c>
      <c r="H3367" s="2">
        <v>130000000</v>
      </c>
      <c r="I3367" s="2">
        <v>7.4</v>
      </c>
      <c r="J3367" s="3">
        <v>100003492</v>
      </c>
      <c r="K3367">
        <f t="shared" si="112"/>
        <v>1.3775047412552699E-3</v>
      </c>
      <c r="R3367" s="12" t="str">
        <f ca="1">IFERROR(__xludf.DUMMYFUNCTION("""COMPUTED_VALUE"""),"Beginners ")</f>
        <v>Beginners </v>
      </c>
      <c r="S3367" s="12">
        <f t="shared" si="113"/>
        <v>27470017</v>
      </c>
    </row>
    <row r="3368" spans="1:19" x14ac:dyDescent="0.3">
      <c r="A3368" s="2" t="s">
        <v>4174</v>
      </c>
      <c r="B3368" s="2">
        <v>130</v>
      </c>
      <c r="C3368" s="3">
        <v>428535</v>
      </c>
      <c r="D3368" s="3" t="s">
        <v>5958</v>
      </c>
      <c r="E3368" s="2" t="s">
        <v>4175</v>
      </c>
      <c r="F3368" s="2" t="s">
        <v>10</v>
      </c>
      <c r="G3368" s="2" t="s">
        <v>16</v>
      </c>
      <c r="H3368" s="2">
        <v>9000000</v>
      </c>
      <c r="I3368" s="2">
        <v>7</v>
      </c>
      <c r="J3368" s="3">
        <v>100012500</v>
      </c>
      <c r="K3368">
        <f t="shared" si="112"/>
        <v>1.3775047412552699E-3</v>
      </c>
      <c r="R3368" s="12" t="str">
        <f ca="1">IFERROR(__xludf.DUMMYFUNCTION("""COMPUTED_VALUE"""),"Animal House ")</f>
        <v>Animal House </v>
      </c>
      <c r="S3368" s="12">
        <f t="shared" si="113"/>
        <v>-12241535</v>
      </c>
    </row>
    <row r="3369" spans="1:19" x14ac:dyDescent="0.3">
      <c r="A3369" s="2" t="s">
        <v>256</v>
      </c>
      <c r="B3369" s="2">
        <v>116</v>
      </c>
      <c r="C3369" s="3">
        <v>447750</v>
      </c>
      <c r="D3369" s="3" t="s">
        <v>6054</v>
      </c>
      <c r="E3369" s="2" t="s">
        <v>257</v>
      </c>
      <c r="F3369" s="2" t="s">
        <v>10</v>
      </c>
      <c r="G3369" s="2" t="s">
        <v>11</v>
      </c>
      <c r="H3369" s="2">
        <v>144000000</v>
      </c>
      <c r="I3369" s="2">
        <v>5.5</v>
      </c>
      <c r="J3369" s="3">
        <v>100018837</v>
      </c>
      <c r="K3369">
        <f t="shared" si="112"/>
        <v>1.3775047412552699E-3</v>
      </c>
      <c r="R3369" s="12" t="str">
        <f ca="1">IFERROR(__xludf.DUMMYFUNCTION("""COMPUTED_VALUE"""),"Goldfinger ")</f>
        <v>Goldfinger </v>
      </c>
      <c r="S3369" s="12">
        <f t="shared" si="113"/>
        <v>-18128473</v>
      </c>
    </row>
    <row r="3370" spans="1:19" x14ac:dyDescent="0.3">
      <c r="A3370" s="2" t="s">
        <v>956</v>
      </c>
      <c r="B3370" s="2">
        <v>158</v>
      </c>
      <c r="C3370" s="3">
        <v>255352</v>
      </c>
      <c r="D3370" s="3" t="s">
        <v>5940</v>
      </c>
      <c r="E3370" s="2" t="s">
        <v>957</v>
      </c>
      <c r="F3370" s="2" t="s">
        <v>10</v>
      </c>
      <c r="G3370" s="2" t="s">
        <v>11</v>
      </c>
      <c r="H3370" s="2">
        <v>61000000</v>
      </c>
      <c r="I3370" s="2">
        <v>7.6</v>
      </c>
      <c r="J3370" s="3">
        <v>100117603</v>
      </c>
      <c r="K3370">
        <f t="shared" si="112"/>
        <v>1.3775047412552699E-3</v>
      </c>
      <c r="R3370" s="12" t="str">
        <f ca="1">IFERROR(__xludf.DUMMYFUNCTION("""COMPUTED_VALUE"""),"Trainspotting ")</f>
        <v>Trainspotting </v>
      </c>
      <c r="S3370" s="12">
        <f t="shared" si="113"/>
        <v>16604977</v>
      </c>
    </row>
    <row r="3371" spans="1:19" x14ac:dyDescent="0.3">
      <c r="A3371" s="2" t="s">
        <v>3465</v>
      </c>
      <c r="B3371" s="2">
        <v>92</v>
      </c>
      <c r="C3371" s="3">
        <v>16779636</v>
      </c>
      <c r="D3371" s="3" t="s">
        <v>5940</v>
      </c>
      <c r="E3371" s="2" t="s">
        <v>3466</v>
      </c>
      <c r="F3371" s="2" t="s">
        <v>10</v>
      </c>
      <c r="G3371" s="2" t="s">
        <v>11</v>
      </c>
      <c r="H3371" s="2">
        <v>20000000</v>
      </c>
      <c r="I3371" s="2">
        <v>4.7</v>
      </c>
      <c r="J3371" s="3">
        <v>100125340</v>
      </c>
      <c r="K3371">
        <f t="shared" si="112"/>
        <v>1.3775047412552699E-3</v>
      </c>
      <c r="R3371" s="12" t="str">
        <f ca="1">IFERROR(__xludf.DUMMYFUNCTION("""COMPUTED_VALUE"""),"The Original Kings of Comedy ")</f>
        <v>The Original Kings of Comedy </v>
      </c>
      <c r="S3371" s="12">
        <f t="shared" si="113"/>
        <v>-8642958</v>
      </c>
    </row>
    <row r="3372" spans="1:19" x14ac:dyDescent="0.3">
      <c r="A3372" s="2" t="s">
        <v>135</v>
      </c>
      <c r="B3372" s="2">
        <v>101</v>
      </c>
      <c r="C3372" s="3">
        <v>902835</v>
      </c>
      <c r="D3372" s="3" t="s">
        <v>5869</v>
      </c>
      <c r="E3372" s="2" t="s">
        <v>661</v>
      </c>
      <c r="F3372" s="2" t="s">
        <v>10</v>
      </c>
      <c r="G3372" s="2" t="s">
        <v>11</v>
      </c>
      <c r="H3372" s="2">
        <v>81000000</v>
      </c>
      <c r="I3372" s="2">
        <v>6.7</v>
      </c>
      <c r="J3372" s="3">
        <v>100169068</v>
      </c>
      <c r="K3372">
        <f t="shared" si="112"/>
        <v>1.3775047412552699E-3</v>
      </c>
      <c r="R3372" s="12" t="str">
        <f ca="1">IFERROR(__xludf.DUMMYFUNCTION("""COMPUTED_VALUE"""),"Paranormal Activity 2 ")</f>
        <v>Paranormal Activity 2 </v>
      </c>
      <c r="S3372" s="12">
        <f t="shared" si="113"/>
        <v>9329000</v>
      </c>
    </row>
    <row r="3373" spans="1:19" x14ac:dyDescent="0.3">
      <c r="A3373" s="2" t="s">
        <v>4615</v>
      </c>
      <c r="B3373" s="2">
        <v>87</v>
      </c>
      <c r="C3373" s="3">
        <v>20380</v>
      </c>
      <c r="D3373" s="3" t="s">
        <v>6461</v>
      </c>
      <c r="E3373" s="2" t="s">
        <v>5687</v>
      </c>
      <c r="F3373" s="2" t="s">
        <v>10</v>
      </c>
      <c r="G3373" s="2" t="s">
        <v>11</v>
      </c>
      <c r="H3373" s="3">
        <v>474544677</v>
      </c>
      <c r="I3373" s="2">
        <v>5.8</v>
      </c>
      <c r="J3373" s="3">
        <v>100189501</v>
      </c>
      <c r="K3373">
        <f t="shared" si="112"/>
        <v>1.3775047412552699E-3</v>
      </c>
      <c r="R3373" s="12" t="str">
        <f ca="1">IFERROR(__xludf.DUMMYFUNCTION("""COMPUTED_VALUE"""),"Waking Ned Devine ")</f>
        <v>Waking Ned Devine </v>
      </c>
      <c r="S3373" s="12">
        <f t="shared" si="113"/>
        <v>-441803081</v>
      </c>
    </row>
    <row r="3374" spans="1:19" x14ac:dyDescent="0.3">
      <c r="A3374" s="2" t="s">
        <v>824</v>
      </c>
      <c r="B3374" s="2">
        <v>100</v>
      </c>
      <c r="C3374" s="3">
        <v>20991497</v>
      </c>
      <c r="D3374" s="3" t="s">
        <v>6195</v>
      </c>
      <c r="E3374" s="2" t="s">
        <v>1072</v>
      </c>
      <c r="F3374" s="2" t="s">
        <v>10</v>
      </c>
      <c r="G3374" s="2" t="s">
        <v>11</v>
      </c>
      <c r="H3374" s="2">
        <v>60000000</v>
      </c>
      <c r="I3374" s="2">
        <v>7.7</v>
      </c>
      <c r="J3374" s="3">
        <v>100241322</v>
      </c>
      <c r="K3374">
        <f t="shared" si="112"/>
        <v>1.3775047412552699E-3</v>
      </c>
      <c r="R3374" s="12" t="str">
        <f ca="1">IFERROR(__xludf.DUMMYFUNCTION("""COMPUTED_VALUE"""),"Bowling for Columbine ")</f>
        <v>Bowling for Columbine </v>
      </c>
      <c r="S3374" s="12">
        <f t="shared" si="113"/>
        <v>-40637900</v>
      </c>
    </row>
    <row r="3375" spans="1:19" x14ac:dyDescent="0.3">
      <c r="A3375" s="2" t="s">
        <v>1568</v>
      </c>
      <c r="B3375" s="2">
        <v>148</v>
      </c>
      <c r="C3375" s="3">
        <v>20262</v>
      </c>
      <c r="D3375" s="3" t="s">
        <v>5818</v>
      </c>
      <c r="E3375" s="2" t="s">
        <v>2970</v>
      </c>
      <c r="F3375" s="2" t="s">
        <v>10</v>
      </c>
      <c r="G3375" s="2" t="s">
        <v>11</v>
      </c>
      <c r="H3375" s="2">
        <v>15000000</v>
      </c>
      <c r="I3375" s="2">
        <v>8.1999999999999993</v>
      </c>
      <c r="J3375" s="3">
        <v>100289690</v>
      </c>
      <c r="K3375">
        <f t="shared" si="112"/>
        <v>1.3775047412552699E-3</v>
      </c>
      <c r="R3375" s="12" t="str">
        <f ca="1">IFERROR(__xludf.DUMMYFUNCTION("""COMPUTED_VALUE"""),"A Nightmare on Elm Street 2: Freddy's Revenge ")</f>
        <v>A Nightmare on Elm Street 2: Freddy's Revenge </v>
      </c>
      <c r="S3375" s="12">
        <f t="shared" si="113"/>
        <v>-7148031</v>
      </c>
    </row>
    <row r="3376" spans="1:19" x14ac:dyDescent="0.3">
      <c r="A3376" s="2" t="s">
        <v>4478</v>
      </c>
      <c r="B3376" s="2">
        <v>152</v>
      </c>
      <c r="C3376" s="3">
        <v>32095318</v>
      </c>
      <c r="D3376" s="3" t="s">
        <v>885</v>
      </c>
      <c r="E3376" s="2" t="s">
        <v>4479</v>
      </c>
      <c r="F3376" s="2" t="s">
        <v>10</v>
      </c>
      <c r="G3376" s="2" t="s">
        <v>11</v>
      </c>
      <c r="H3376" s="2">
        <v>6000000</v>
      </c>
      <c r="I3376" s="2">
        <v>7.6</v>
      </c>
      <c r="J3376" s="3">
        <v>100292856</v>
      </c>
      <c r="K3376">
        <f t="shared" si="112"/>
        <v>1.3775047412552699E-3</v>
      </c>
      <c r="R3376" s="12" t="str">
        <f ca="1">IFERROR(__xludf.DUMMYFUNCTION("""COMPUTED_VALUE"""),"A Room with a View ")</f>
        <v>A Room with a View </v>
      </c>
      <c r="S3376" s="12">
        <f t="shared" si="113"/>
        <v>-29663533</v>
      </c>
    </row>
    <row r="3377" spans="1:19" x14ac:dyDescent="0.3">
      <c r="A3377" s="2" t="s">
        <v>873</v>
      </c>
      <c r="B3377" s="2">
        <v>124</v>
      </c>
      <c r="C3377" s="3">
        <v>4350774</v>
      </c>
      <c r="D3377" s="3" t="s">
        <v>6136</v>
      </c>
      <c r="E3377" s="2" t="s">
        <v>874</v>
      </c>
      <c r="F3377" s="2" t="s">
        <v>10</v>
      </c>
      <c r="G3377" s="2" t="s">
        <v>11</v>
      </c>
      <c r="H3377" s="2">
        <v>75000000</v>
      </c>
      <c r="I3377" s="2">
        <v>7.1</v>
      </c>
      <c r="J3377" s="3">
        <v>100328194</v>
      </c>
      <c r="K3377">
        <f t="shared" si="112"/>
        <v>1.3775047412552699E-3</v>
      </c>
      <c r="R3377" s="12" t="str">
        <f ca="1">IFERROR(__xludf.DUMMYFUNCTION("""COMPUTED_VALUE"""),"The Purge ")</f>
        <v>The Purge </v>
      </c>
      <c r="S3377" s="12">
        <f t="shared" si="113"/>
        <v>-34130675</v>
      </c>
    </row>
    <row r="3378" spans="1:19" x14ac:dyDescent="0.3">
      <c r="A3378" s="2" t="s">
        <v>3822</v>
      </c>
      <c r="B3378" s="2">
        <v>93</v>
      </c>
      <c r="C3378" s="2">
        <v>10198766</v>
      </c>
      <c r="D3378" s="3" t="s">
        <v>5857</v>
      </c>
      <c r="E3378" s="2" t="s">
        <v>3823</v>
      </c>
      <c r="F3378" s="2" t="s">
        <v>10</v>
      </c>
      <c r="G3378" s="2" t="s">
        <v>11</v>
      </c>
      <c r="H3378" s="2">
        <v>12000000</v>
      </c>
      <c r="I3378" s="2">
        <v>5.4</v>
      </c>
      <c r="J3378" s="3">
        <v>100422786</v>
      </c>
      <c r="K3378">
        <f t="shared" si="112"/>
        <v>1.3775047412552699E-3</v>
      </c>
      <c r="R3378" s="12" t="str">
        <f ca="1">IFERROR(__xludf.DUMMYFUNCTION("""COMPUTED_VALUE"""),"Sinister ")</f>
        <v>Sinister </v>
      </c>
      <c r="S3378" s="12">
        <f t="shared" si="113"/>
        <v>-44891180</v>
      </c>
    </row>
    <row r="3379" spans="1:19" x14ac:dyDescent="0.3">
      <c r="A3379" s="2" t="s">
        <v>1338</v>
      </c>
      <c r="B3379" s="2">
        <v>136</v>
      </c>
      <c r="C3379" s="3">
        <v>200803</v>
      </c>
      <c r="D3379" s="3" t="s">
        <v>5894</v>
      </c>
      <c r="E3379" s="2" t="s">
        <v>2603</v>
      </c>
      <c r="F3379" s="2" t="s">
        <v>10</v>
      </c>
      <c r="G3379" s="2" t="s">
        <v>11</v>
      </c>
      <c r="H3379" s="2">
        <v>25000000</v>
      </c>
      <c r="I3379" s="2">
        <v>6.9</v>
      </c>
      <c r="J3379" s="3">
        <v>100446895</v>
      </c>
      <c r="K3379">
        <f t="shared" si="112"/>
        <v>1.3775047412552699E-3</v>
      </c>
      <c r="R3379" s="12" t="str">
        <f ca="1">IFERROR(__xludf.DUMMYFUNCTION("""COMPUTED_VALUE"""),"Martin Lawrence Live: Runteldat ")</f>
        <v>Martin Lawrence Live: Runteldat </v>
      </c>
      <c r="S3379" s="12">
        <f t="shared" si="113"/>
        <v>21635046</v>
      </c>
    </row>
    <row r="3380" spans="1:19" x14ac:dyDescent="0.3">
      <c r="A3380" s="2" t="s">
        <v>695</v>
      </c>
      <c r="B3380" s="2">
        <v>83</v>
      </c>
      <c r="C3380" s="3">
        <v>2298191</v>
      </c>
      <c r="D3380" s="3" t="s">
        <v>5940</v>
      </c>
      <c r="E3380" s="2" t="s">
        <v>3026</v>
      </c>
      <c r="F3380" s="2" t="s">
        <v>10</v>
      </c>
      <c r="G3380" s="2" t="s">
        <v>199</v>
      </c>
      <c r="H3380" s="2">
        <v>33000000</v>
      </c>
      <c r="I3380" s="2">
        <v>5.5</v>
      </c>
      <c r="J3380" s="3">
        <v>100448498</v>
      </c>
      <c r="K3380">
        <f t="shared" si="112"/>
        <v>1.3775047412552699E-3</v>
      </c>
      <c r="R3380" s="12" t="str">
        <f ca="1">IFERROR(__xludf.DUMMYFUNCTION("""COMPUTED_VALUE"""),"Air Bud ")</f>
        <v>Air Bud </v>
      </c>
      <c r="S3380" s="12">
        <f t="shared" si="113"/>
        <v>-185410693</v>
      </c>
    </row>
    <row r="3381" spans="1:19" x14ac:dyDescent="0.3">
      <c r="A3381" s="2" t="s">
        <v>2587</v>
      </c>
      <c r="B3381" s="2">
        <v>160</v>
      </c>
      <c r="C3381" s="3">
        <v>2275557</v>
      </c>
      <c r="D3381" s="3" t="s">
        <v>6440</v>
      </c>
      <c r="E3381" s="2" t="s">
        <v>2588</v>
      </c>
      <c r="F3381" s="2" t="s">
        <v>10</v>
      </c>
      <c r="G3381" s="2" t="s">
        <v>771</v>
      </c>
      <c r="H3381" s="2">
        <v>25000000</v>
      </c>
      <c r="I3381" s="2">
        <v>7.5</v>
      </c>
      <c r="J3381" s="3">
        <v>100468793</v>
      </c>
      <c r="K3381">
        <f t="shared" si="112"/>
        <v>1.3775047412552699E-3</v>
      </c>
      <c r="R3381" s="12" t="str">
        <f ca="1">IFERROR(__xludf.DUMMYFUNCTION("""COMPUTED_VALUE"""),"Jason Lives: Friday the 13th Part VI ")</f>
        <v>Jason Lives: Friday the 13th Part VI </v>
      </c>
      <c r="S3381" s="12">
        <f t="shared" si="113"/>
        <v>-55433254</v>
      </c>
    </row>
    <row r="3382" spans="1:19" x14ac:dyDescent="0.3">
      <c r="A3382" s="2" t="s">
        <v>542</v>
      </c>
      <c r="B3382" s="2">
        <v>95</v>
      </c>
      <c r="C3382" s="3">
        <v>19179969</v>
      </c>
      <c r="D3382" s="3" t="s">
        <v>6462</v>
      </c>
      <c r="E3382" s="2" t="s">
        <v>1174</v>
      </c>
      <c r="F3382" s="2" t="s">
        <v>10</v>
      </c>
      <c r="G3382" s="2" t="s">
        <v>11</v>
      </c>
      <c r="H3382" s="2">
        <v>58000000</v>
      </c>
      <c r="I3382" s="2">
        <v>6.7</v>
      </c>
      <c r="J3382" s="3">
        <v>100491683</v>
      </c>
      <c r="K3382">
        <f t="shared" si="112"/>
        <v>1.3775047412552699E-3</v>
      </c>
      <c r="R3382" s="12" t="str">
        <f ca="1">IFERROR(__xludf.DUMMYFUNCTION("""COMPUTED_VALUE"""),"The Bridge on the River Kwai ")</f>
        <v>The Bridge on the River Kwai </v>
      </c>
      <c r="S3382" s="12">
        <f t="shared" si="113"/>
        <v>-65341630</v>
      </c>
    </row>
    <row r="3383" spans="1:19" x14ac:dyDescent="0.3">
      <c r="A3383" s="2" t="s">
        <v>4607</v>
      </c>
      <c r="B3383" s="2">
        <v>109</v>
      </c>
      <c r="C3383" s="3">
        <v>1702277</v>
      </c>
      <c r="D3383" s="3" t="s">
        <v>5892</v>
      </c>
      <c r="E3383" s="2" t="s">
        <v>4608</v>
      </c>
      <c r="F3383" s="2" t="s">
        <v>10</v>
      </c>
      <c r="G3383" s="2" t="s">
        <v>11</v>
      </c>
      <c r="H3383" s="2">
        <v>4500000</v>
      </c>
      <c r="I3383" s="2">
        <v>7.3</v>
      </c>
      <c r="J3383" s="3">
        <v>100614858</v>
      </c>
      <c r="K3383">
        <f t="shared" si="112"/>
        <v>1.3775047412552699E-3</v>
      </c>
      <c r="R3383" s="12" t="str">
        <f ca="1">IFERROR(__xludf.DUMMYFUNCTION("""COMPUTED_VALUE"""),"Spaced Invaders ")</f>
        <v>Spaced Invaders </v>
      </c>
      <c r="S3383" s="12">
        <f t="shared" si="113"/>
        <v>-13768583</v>
      </c>
    </row>
    <row r="3384" spans="1:19" x14ac:dyDescent="0.3">
      <c r="A3384" s="2" t="s">
        <v>774</v>
      </c>
      <c r="B3384" s="2">
        <v>87</v>
      </c>
      <c r="C3384" s="3">
        <v>131617</v>
      </c>
      <c r="D3384" s="3" t="s">
        <v>6186</v>
      </c>
      <c r="E3384" s="2" t="s">
        <v>925</v>
      </c>
      <c r="F3384" s="2" t="s">
        <v>10</v>
      </c>
      <c r="G3384" s="2" t="s">
        <v>11</v>
      </c>
      <c r="H3384" s="2">
        <v>69000000</v>
      </c>
      <c r="I3384" s="2">
        <v>7.7</v>
      </c>
      <c r="J3384" s="3">
        <v>100685880</v>
      </c>
      <c r="K3384">
        <f t="shared" si="112"/>
        <v>1.3775047412552699E-3</v>
      </c>
      <c r="R3384" s="12" t="str">
        <f ca="1">IFERROR(__xludf.DUMMYFUNCTION("""COMPUTED_VALUE"""),"Jason Goes to Hell: The Final Friday ")</f>
        <v>Jason Goes to Hell: The Final Friday </v>
      </c>
      <c r="S3384" s="12">
        <f t="shared" si="113"/>
        <v>-7802214</v>
      </c>
    </row>
    <row r="3385" spans="1:19" x14ac:dyDescent="0.3">
      <c r="A3385" s="2" t="s">
        <v>5227</v>
      </c>
      <c r="B3385" s="2">
        <v>95</v>
      </c>
      <c r="C3385" s="3">
        <v>7369373</v>
      </c>
      <c r="D3385" s="3" t="s">
        <v>5873</v>
      </c>
      <c r="E3385" s="2" t="s">
        <v>5228</v>
      </c>
      <c r="F3385" s="2" t="s">
        <v>10</v>
      </c>
      <c r="G3385" s="2" t="s">
        <v>11</v>
      </c>
      <c r="H3385" s="2">
        <v>1300000</v>
      </c>
      <c r="I3385" s="2">
        <v>7.2</v>
      </c>
      <c r="J3385" s="3">
        <v>100768056</v>
      </c>
      <c r="K3385">
        <f t="shared" si="112"/>
        <v>1.3775047412552699E-3</v>
      </c>
      <c r="R3385" s="12" t="str">
        <f ca="1">IFERROR(__xludf.DUMMYFUNCTION("""COMPUTED_VALUE"""),"Dave Chappelle's Block Party ")</f>
        <v>Dave Chappelle's Block Party </v>
      </c>
      <c r="S3385" s="12">
        <f t="shared" si="113"/>
        <v>-4457975</v>
      </c>
    </row>
    <row r="3386" spans="1:19" x14ac:dyDescent="0.3">
      <c r="A3386" s="2" t="s">
        <v>4085</v>
      </c>
      <c r="B3386" s="2">
        <v>135</v>
      </c>
      <c r="C3386" s="3">
        <v>464126</v>
      </c>
      <c r="D3386" s="3" t="s">
        <v>5912</v>
      </c>
      <c r="E3386" s="2" t="s">
        <v>4086</v>
      </c>
      <c r="F3386" s="2" t="s">
        <v>10</v>
      </c>
      <c r="G3386" s="2" t="s">
        <v>16</v>
      </c>
      <c r="H3386" s="2">
        <v>10000000</v>
      </c>
      <c r="I3386" s="2">
        <v>7.1</v>
      </c>
      <c r="J3386" s="3">
        <v>100853835</v>
      </c>
      <c r="K3386">
        <f t="shared" si="112"/>
        <v>1.3775047412552699E-3</v>
      </c>
      <c r="R3386" s="12" t="str">
        <f ca="1">IFERROR(__xludf.DUMMYFUNCTION("""COMPUTED_VALUE"""),"Next Day Air ")</f>
        <v>Next Day Air </v>
      </c>
      <c r="S3386" s="12">
        <f t="shared" si="113"/>
        <v>-5691019</v>
      </c>
    </row>
    <row r="3387" spans="1:19" x14ac:dyDescent="0.3">
      <c r="A3387" s="2" t="s">
        <v>1922</v>
      </c>
      <c r="B3387" s="2">
        <v>101</v>
      </c>
      <c r="C3387" s="3">
        <v>864959</v>
      </c>
      <c r="D3387" s="3" t="s">
        <v>5869</v>
      </c>
      <c r="E3387" s="2" t="s">
        <v>2155</v>
      </c>
      <c r="F3387" s="2" t="s">
        <v>10</v>
      </c>
      <c r="G3387" s="2" t="s">
        <v>11</v>
      </c>
      <c r="H3387" s="2">
        <v>31000000</v>
      </c>
      <c r="I3387" s="2">
        <v>6.9</v>
      </c>
      <c r="J3387" s="3">
        <v>101087161</v>
      </c>
      <c r="K3387">
        <f t="shared" si="112"/>
        <v>1.3775047412552699E-3</v>
      </c>
      <c r="R3387" s="12" t="str">
        <f ca="1">IFERROR(__xludf.DUMMYFUNCTION("""COMPUTED_VALUE"""),"Phat Girlz ")</f>
        <v>Phat Girlz </v>
      </c>
      <c r="S3387" s="12">
        <f t="shared" si="113"/>
        <v>-72816510</v>
      </c>
    </row>
    <row r="3388" spans="1:19" x14ac:dyDescent="0.3">
      <c r="A3388" s="2" t="s">
        <v>316</v>
      </c>
      <c r="B3388" s="2">
        <v>141</v>
      </c>
      <c r="C3388" s="3">
        <v>866778</v>
      </c>
      <c r="D3388" s="3" t="s">
        <v>520</v>
      </c>
      <c r="E3388" s="2" t="s">
        <v>1011</v>
      </c>
      <c r="F3388" s="2" t="s">
        <v>10</v>
      </c>
      <c r="G3388" s="2" t="s">
        <v>11</v>
      </c>
      <c r="H3388" s="2">
        <v>62000000</v>
      </c>
      <c r="I3388" s="2">
        <v>6.9</v>
      </c>
      <c r="J3388" s="3">
        <v>101111837</v>
      </c>
      <c r="K3388">
        <f t="shared" si="112"/>
        <v>1.3775047412552699E-3</v>
      </c>
      <c r="R3388" s="12" t="str">
        <f ca="1">IFERROR(__xludf.DUMMYFUNCTION("""COMPUTED_VALUE"""),"Before Midnight ")</f>
        <v>Before Midnight </v>
      </c>
      <c r="S3388" s="12">
        <f t="shared" si="113"/>
        <v>-55255142</v>
      </c>
    </row>
    <row r="3389" spans="1:19" x14ac:dyDescent="0.3">
      <c r="A3389" s="2" t="s">
        <v>511</v>
      </c>
      <c r="B3389" s="2">
        <v>146</v>
      </c>
      <c r="C3389" s="2">
        <v>9213</v>
      </c>
      <c r="D3389" s="3" t="s">
        <v>6069</v>
      </c>
      <c r="E3389" s="2" t="s">
        <v>512</v>
      </c>
      <c r="F3389" s="2" t="s">
        <v>513</v>
      </c>
      <c r="G3389" s="2" t="s">
        <v>233</v>
      </c>
      <c r="H3389" s="2">
        <v>94000000</v>
      </c>
      <c r="I3389" s="2">
        <v>7.6</v>
      </c>
      <c r="J3389" s="3">
        <v>101157447</v>
      </c>
      <c r="K3389">
        <f t="shared" si="112"/>
        <v>1.3775047412552699E-3</v>
      </c>
      <c r="R3389" s="12" t="str">
        <f ca="1">IFERROR(__xludf.DUMMYFUNCTION("""COMPUTED_VALUE"""),"Teen Wolf Too ")</f>
        <v>Teen Wolf Too </v>
      </c>
      <c r="S3389" s="12">
        <f t="shared" si="113"/>
        <v>-126939142</v>
      </c>
    </row>
    <row r="3390" spans="1:19" x14ac:dyDescent="0.3">
      <c r="A3390" s="2" t="s">
        <v>209</v>
      </c>
      <c r="B3390" s="2">
        <v>103</v>
      </c>
      <c r="C3390" s="3">
        <v>104257</v>
      </c>
      <c r="D3390" s="3" t="s">
        <v>5898</v>
      </c>
      <c r="E3390" s="2" t="s">
        <v>2914</v>
      </c>
      <c r="F3390" s="2" t="s">
        <v>10</v>
      </c>
      <c r="G3390" s="2" t="s">
        <v>11</v>
      </c>
      <c r="H3390" s="2">
        <v>19800000</v>
      </c>
      <c r="I3390" s="2">
        <v>6.6</v>
      </c>
      <c r="J3390" s="3">
        <v>101160529</v>
      </c>
      <c r="K3390">
        <f t="shared" si="112"/>
        <v>1.3775047412552699E-3</v>
      </c>
      <c r="R3390" s="12" t="str">
        <f ca="1">IFERROR(__xludf.DUMMYFUNCTION("""COMPUTED_VALUE"""),"Phantasm II ")</f>
        <v>Phantasm II </v>
      </c>
      <c r="S3390" s="12">
        <f t="shared" si="113"/>
        <v>-8571465</v>
      </c>
    </row>
    <row r="3391" spans="1:19" x14ac:dyDescent="0.3">
      <c r="A3391" s="2" t="s">
        <v>4846</v>
      </c>
      <c r="B3391" s="2">
        <v>102</v>
      </c>
      <c r="C3391" s="2">
        <v>2956000</v>
      </c>
      <c r="D3391" s="3" t="s">
        <v>6163</v>
      </c>
      <c r="E3391" s="2" t="s">
        <v>4847</v>
      </c>
      <c r="F3391" s="2" t="s">
        <v>10</v>
      </c>
      <c r="G3391" s="2" t="s">
        <v>11</v>
      </c>
      <c r="H3391" s="2">
        <v>3700000</v>
      </c>
      <c r="I3391" s="2">
        <v>7.1</v>
      </c>
      <c r="J3391" s="3">
        <v>101217900</v>
      </c>
      <c r="K3391">
        <f t="shared" si="112"/>
        <v>1.3775047412552699E-3</v>
      </c>
      <c r="R3391" s="12" t="str">
        <f ca="1">IFERROR(__xludf.DUMMYFUNCTION("""COMPUTED_VALUE"""),"Real Women Have Curves ")</f>
        <v>Real Women Have Curves </v>
      </c>
      <c r="S3391" s="12">
        <f t="shared" si="113"/>
        <v>-143552250</v>
      </c>
    </row>
    <row r="3392" spans="1:19" x14ac:dyDescent="0.3">
      <c r="A3392" s="2" t="s">
        <v>2827</v>
      </c>
      <c r="B3392" s="2">
        <v>81</v>
      </c>
      <c r="C3392" s="3">
        <v>243768</v>
      </c>
      <c r="D3392" s="3" t="s">
        <v>5940</v>
      </c>
      <c r="E3392" s="2" t="s">
        <v>2828</v>
      </c>
      <c r="F3392" s="2" t="s">
        <v>10</v>
      </c>
      <c r="G3392" s="2" t="s">
        <v>11</v>
      </c>
      <c r="H3392" s="2">
        <v>21000000</v>
      </c>
      <c r="I3392" s="2">
        <v>7.8</v>
      </c>
      <c r="J3392" s="3">
        <v>101228120</v>
      </c>
      <c r="K3392">
        <f t="shared" si="112"/>
        <v>1.3775047412552699E-3</v>
      </c>
      <c r="R3392" s="12" t="str">
        <f ca="1">IFERROR(__xludf.DUMMYFUNCTION("""COMPUTED_VALUE"""),"East Is East ")</f>
        <v>East Is East </v>
      </c>
      <c r="S3392" s="12">
        <f t="shared" si="113"/>
        <v>-60744648</v>
      </c>
    </row>
    <row r="3393" spans="1:19" x14ac:dyDescent="0.3">
      <c r="A3393" s="2" t="s">
        <v>804</v>
      </c>
      <c r="B3393" s="2">
        <v>123</v>
      </c>
      <c r="C3393" s="3">
        <v>25047631</v>
      </c>
      <c r="D3393" s="3" t="s">
        <v>5950</v>
      </c>
      <c r="E3393" s="2" t="s">
        <v>1947</v>
      </c>
      <c r="F3393" s="2" t="s">
        <v>10</v>
      </c>
      <c r="G3393" s="2" t="s">
        <v>11</v>
      </c>
      <c r="H3393" s="2">
        <v>35000000</v>
      </c>
      <c r="I3393" s="2">
        <v>6.8</v>
      </c>
      <c r="J3393" s="3">
        <v>101334374</v>
      </c>
      <c r="K3393">
        <f t="shared" si="112"/>
        <v>1.3775047412552699E-3</v>
      </c>
      <c r="R3393" s="12" t="str">
        <f ca="1">IFERROR(__xludf.DUMMYFUNCTION("""COMPUTED_VALUE"""),"Whipped ")</f>
        <v>Whipped </v>
      </c>
      <c r="S3393" s="12">
        <f t="shared" si="113"/>
        <v>-3220364</v>
      </c>
    </row>
    <row r="3394" spans="1:19" x14ac:dyDescent="0.3">
      <c r="A3394" s="2" t="s">
        <v>3690</v>
      </c>
      <c r="B3394" s="2">
        <v>111</v>
      </c>
      <c r="C3394" s="3">
        <v>15700000</v>
      </c>
      <c r="D3394" s="3" t="s">
        <v>885</v>
      </c>
      <c r="E3394" s="2" t="s">
        <v>5492</v>
      </c>
      <c r="F3394" s="2" t="s">
        <v>10</v>
      </c>
      <c r="G3394" s="2" t="s">
        <v>11</v>
      </c>
      <c r="H3394" s="2">
        <v>500000</v>
      </c>
      <c r="I3394" s="2">
        <v>7.3</v>
      </c>
      <c r="J3394" s="3">
        <v>101470202</v>
      </c>
      <c r="K3394">
        <f t="shared" ref="K3394:K3457" si="114">CORREL(H$2:H$3941,J$2:J$3941)</f>
        <v>1.3775047412552699E-3</v>
      </c>
      <c r="R3394" s="12" t="str">
        <f ca="1">IFERROR(__xludf.DUMMYFUNCTION("""COMPUTED_VALUE"""),"Kama Sutra: A Tale of Love ")</f>
        <v>Kama Sutra: A Tale of Love </v>
      </c>
      <c r="S3394" s="12">
        <f t="shared" si="113"/>
        <v>-80097165</v>
      </c>
    </row>
    <row r="3395" spans="1:19" x14ac:dyDescent="0.3">
      <c r="A3395" s="2" t="s">
        <v>3990</v>
      </c>
      <c r="B3395" s="2">
        <v>90</v>
      </c>
      <c r="C3395" s="3">
        <v>4356743</v>
      </c>
      <c r="D3395" s="3" t="s">
        <v>885</v>
      </c>
      <c r="E3395" s="2" t="s">
        <v>3991</v>
      </c>
      <c r="F3395" s="2" t="s">
        <v>10</v>
      </c>
      <c r="G3395" s="2" t="s">
        <v>11</v>
      </c>
      <c r="H3395" s="2">
        <v>9000000</v>
      </c>
      <c r="I3395" s="2">
        <v>6.7</v>
      </c>
      <c r="J3395" s="3">
        <v>101530738</v>
      </c>
      <c r="K3395">
        <f t="shared" si="114"/>
        <v>1.3775047412552699E-3</v>
      </c>
      <c r="R3395" s="12" t="str">
        <f ca="1">IFERROR(__xludf.DUMMYFUNCTION("""COMPUTED_VALUE"""),"Warlock: The Armageddon ")</f>
        <v>Warlock: The Armageddon </v>
      </c>
      <c r="S3395" s="12">
        <f t="shared" si="113"/>
        <v>-474524297</v>
      </c>
    </row>
    <row r="3396" spans="1:19" x14ac:dyDescent="0.3">
      <c r="A3396" s="2" t="s">
        <v>5642</v>
      </c>
      <c r="B3396" s="2">
        <v>94</v>
      </c>
      <c r="C3396" s="3">
        <v>220234</v>
      </c>
      <c r="D3396" s="3" t="s">
        <v>5869</v>
      </c>
      <c r="E3396" s="2" t="s">
        <v>5643</v>
      </c>
      <c r="F3396" s="2" t="s">
        <v>10</v>
      </c>
      <c r="G3396" s="2" t="s">
        <v>11</v>
      </c>
      <c r="H3396" s="3">
        <v>474544677</v>
      </c>
      <c r="I3396" s="2">
        <v>8.1</v>
      </c>
      <c r="J3396" s="3">
        <v>101643008</v>
      </c>
      <c r="K3396">
        <f t="shared" si="114"/>
        <v>1.3775047412552699E-3</v>
      </c>
      <c r="R3396" s="12" t="str">
        <f ca="1">IFERROR(__xludf.DUMMYFUNCTION("""COMPUTED_VALUE"""),"8 Heads in a Duffel Bag ")</f>
        <v>8 Heads in a Duffel Bag </v>
      </c>
      <c r="S3396" s="12">
        <f t="shared" si="113"/>
        <v>-39008503</v>
      </c>
    </row>
    <row r="3397" spans="1:19" x14ac:dyDescent="0.3">
      <c r="A3397" s="2" t="s">
        <v>131</v>
      </c>
      <c r="B3397" s="2">
        <v>121</v>
      </c>
      <c r="C3397" s="3">
        <v>7292175</v>
      </c>
      <c r="D3397" s="3" t="s">
        <v>6245</v>
      </c>
      <c r="E3397" s="2" t="s">
        <v>276</v>
      </c>
      <c r="F3397" s="2" t="s">
        <v>10</v>
      </c>
      <c r="G3397" s="2" t="s">
        <v>11</v>
      </c>
      <c r="H3397" s="2">
        <v>135000000</v>
      </c>
      <c r="I3397" s="2">
        <v>5</v>
      </c>
      <c r="J3397" s="3">
        <v>101702060</v>
      </c>
      <c r="K3397">
        <f t="shared" si="114"/>
        <v>1.3775047412552699E-3</v>
      </c>
      <c r="R3397" s="12" t="str">
        <f ca="1">IFERROR(__xludf.DUMMYFUNCTION("""COMPUTED_VALUE"""),"Thirteen Conversations About One Thing ")</f>
        <v>Thirteen Conversations About One Thing </v>
      </c>
      <c r="S3397" s="12">
        <f t="shared" si="113"/>
        <v>-14979738</v>
      </c>
    </row>
    <row r="3398" spans="1:19" x14ac:dyDescent="0.3">
      <c r="A3398" s="2" t="s">
        <v>5659</v>
      </c>
      <c r="B3398" s="2">
        <v>72</v>
      </c>
      <c r="C3398" s="3">
        <v>45207112</v>
      </c>
      <c r="D3398" s="3" t="s">
        <v>1703</v>
      </c>
      <c r="E3398" s="2" t="s">
        <v>5660</v>
      </c>
      <c r="F3398" s="2" t="s">
        <v>10</v>
      </c>
      <c r="G3398" s="2" t="s">
        <v>11</v>
      </c>
      <c r="H3398" s="3">
        <v>474544677</v>
      </c>
      <c r="I3398" s="2">
        <v>7</v>
      </c>
      <c r="J3398" s="3">
        <v>101736215</v>
      </c>
      <c r="K3398">
        <f t="shared" si="114"/>
        <v>1.3775047412552699E-3</v>
      </c>
      <c r="R3398" s="12" t="str">
        <f ca="1">IFERROR(__xludf.DUMMYFUNCTION("""COMPUTED_VALUE"""),"Jawbreaker ")</f>
        <v>Jawbreaker </v>
      </c>
      <c r="S3398" s="12">
        <f t="shared" si="113"/>
        <v>26095318</v>
      </c>
    </row>
    <row r="3399" spans="1:19" x14ac:dyDescent="0.3">
      <c r="A3399" s="2" t="s">
        <v>1026</v>
      </c>
      <c r="B3399" s="2">
        <v>92</v>
      </c>
      <c r="C3399" s="3">
        <v>13493</v>
      </c>
      <c r="D3399" s="3" t="s">
        <v>6113</v>
      </c>
      <c r="E3399" s="2" t="s">
        <v>1197</v>
      </c>
      <c r="F3399" s="2" t="s">
        <v>10</v>
      </c>
      <c r="G3399" s="2" t="s">
        <v>11</v>
      </c>
      <c r="H3399" s="2">
        <v>60000000</v>
      </c>
      <c r="I3399" s="2">
        <v>5.2</v>
      </c>
      <c r="J3399" s="3">
        <v>101785482</v>
      </c>
      <c r="K3399">
        <f t="shared" si="114"/>
        <v>1.3775047412552699E-3</v>
      </c>
      <c r="R3399" s="12" t="str">
        <f ca="1">IFERROR(__xludf.DUMMYFUNCTION("""COMPUTED_VALUE"""),"Basquiat ")</f>
        <v>Basquiat </v>
      </c>
      <c r="S3399" s="12">
        <f t="shared" si="113"/>
        <v>-70649226</v>
      </c>
    </row>
    <row r="3400" spans="1:19" x14ac:dyDescent="0.3">
      <c r="A3400" s="2" t="s">
        <v>542</v>
      </c>
      <c r="B3400" s="2">
        <v>97</v>
      </c>
      <c r="C3400" s="3">
        <v>37566230</v>
      </c>
      <c r="D3400" s="3" t="s">
        <v>6348</v>
      </c>
      <c r="E3400" s="2" t="s">
        <v>2467</v>
      </c>
      <c r="F3400" s="2" t="s">
        <v>10</v>
      </c>
      <c r="G3400" s="2" t="s">
        <v>11</v>
      </c>
      <c r="H3400" s="2">
        <v>26000000</v>
      </c>
      <c r="I3400" s="2">
        <v>6.1</v>
      </c>
      <c r="J3400" s="3">
        <v>101978840</v>
      </c>
      <c r="K3400">
        <f t="shared" si="114"/>
        <v>1.3775047412552699E-3</v>
      </c>
      <c r="R3400" s="12" t="str">
        <f ca="1">IFERROR(__xludf.DUMMYFUNCTION("""COMPUTED_VALUE"""),"Tsotsi ")</f>
        <v>Tsotsi </v>
      </c>
      <c r="S3400" s="12">
        <f t="shared" si="113"/>
        <v>-1801234</v>
      </c>
    </row>
    <row r="3401" spans="1:19" x14ac:dyDescent="0.3">
      <c r="A3401" s="2" t="s">
        <v>114</v>
      </c>
      <c r="B3401" s="2">
        <v>104</v>
      </c>
      <c r="C3401" s="3">
        <v>20200</v>
      </c>
      <c r="D3401" s="3" t="s">
        <v>1703</v>
      </c>
      <c r="E3401" s="2" t="s">
        <v>1224</v>
      </c>
      <c r="F3401" s="2" t="s">
        <v>10</v>
      </c>
      <c r="G3401" s="2" t="s">
        <v>11</v>
      </c>
      <c r="H3401" s="2">
        <v>55000000</v>
      </c>
      <c r="I3401" s="2">
        <v>6.4</v>
      </c>
      <c r="J3401" s="3">
        <v>102176165</v>
      </c>
      <c r="K3401">
        <f t="shared" si="114"/>
        <v>1.3775047412552699E-3</v>
      </c>
      <c r="R3401" s="12" t="str">
        <f ca="1">IFERROR(__xludf.DUMMYFUNCTION("""COMPUTED_VALUE"""),"Happiness ")</f>
        <v>Happiness </v>
      </c>
      <c r="S3401" s="12">
        <f t="shared" si="113"/>
        <v>-24799197</v>
      </c>
    </row>
    <row r="3402" spans="1:19" x14ac:dyDescent="0.3">
      <c r="A3402" s="2" t="s">
        <v>1124</v>
      </c>
      <c r="B3402" s="2">
        <v>117</v>
      </c>
      <c r="C3402" s="3">
        <v>70235322</v>
      </c>
      <c r="D3402" s="3" t="s">
        <v>6275</v>
      </c>
      <c r="E3402" s="2" t="s">
        <v>3510</v>
      </c>
      <c r="F3402" s="2" t="s">
        <v>10</v>
      </c>
      <c r="G3402" s="2" t="s">
        <v>11</v>
      </c>
      <c r="H3402" s="2">
        <v>15000000</v>
      </c>
      <c r="I3402" s="2">
        <v>8.1999999999999993</v>
      </c>
      <c r="J3402" s="3">
        <v>102300000</v>
      </c>
      <c r="K3402">
        <f t="shared" si="114"/>
        <v>1.3775047412552699E-3</v>
      </c>
      <c r="R3402" s="12" t="str">
        <f ca="1">IFERROR(__xludf.DUMMYFUNCTION("""COMPUTED_VALUE"""),"DysFunktional Family ")</f>
        <v>DysFunktional Family </v>
      </c>
      <c r="S3402" s="12">
        <f t="shared" si="113"/>
        <v>-30701809</v>
      </c>
    </row>
    <row r="3403" spans="1:19" x14ac:dyDescent="0.3">
      <c r="A3403" s="2" t="s">
        <v>475</v>
      </c>
      <c r="B3403" s="2">
        <v>102</v>
      </c>
      <c r="C3403" s="3">
        <v>70224196</v>
      </c>
      <c r="D3403" s="3" t="s">
        <v>520</v>
      </c>
      <c r="E3403" s="2" t="s">
        <v>476</v>
      </c>
      <c r="F3403" s="2" t="s">
        <v>10</v>
      </c>
      <c r="G3403" s="2" t="s">
        <v>11</v>
      </c>
      <c r="H3403" s="2">
        <v>100000000</v>
      </c>
      <c r="I3403" s="2">
        <v>6.7</v>
      </c>
      <c r="J3403" s="3">
        <v>102308900</v>
      </c>
      <c r="K3403">
        <f t="shared" si="114"/>
        <v>1.3775047412552699E-3</v>
      </c>
      <c r="R3403" s="12" t="str">
        <f ca="1">IFERROR(__xludf.DUMMYFUNCTION("""COMPUTED_VALUE"""),"Tusk ")</f>
        <v>Tusk </v>
      </c>
      <c r="S3403" s="12">
        <f t="shared" si="113"/>
        <v>-22724443</v>
      </c>
    </row>
    <row r="3404" spans="1:19" x14ac:dyDescent="0.3">
      <c r="A3404" s="2" t="s">
        <v>2910</v>
      </c>
      <c r="B3404" s="2">
        <v>127</v>
      </c>
      <c r="C3404" s="3">
        <v>9652000</v>
      </c>
      <c r="D3404" s="3" t="s">
        <v>1703</v>
      </c>
      <c r="E3404" s="2" t="s">
        <v>2911</v>
      </c>
      <c r="F3404" s="2" t="s">
        <v>10</v>
      </c>
      <c r="G3404" s="2" t="s">
        <v>11</v>
      </c>
      <c r="H3404" s="2">
        <v>20000000</v>
      </c>
      <c r="I3404" s="2">
        <v>6.7</v>
      </c>
      <c r="J3404" s="3">
        <v>102310175</v>
      </c>
      <c r="K3404">
        <f t="shared" si="114"/>
        <v>1.3775047412552699E-3</v>
      </c>
      <c r="R3404" s="12" t="str">
        <f ca="1">IFERROR(__xludf.DUMMYFUNCTION("""COMPUTED_VALUE"""),"Oldboy ")</f>
        <v>Oldboy </v>
      </c>
      <c r="S3404" s="12">
        <f t="shared" si="113"/>
        <v>-38820031</v>
      </c>
    </row>
    <row r="3405" spans="1:19" x14ac:dyDescent="0.3">
      <c r="A3405" s="2" t="s">
        <v>4840</v>
      </c>
      <c r="B3405" s="2">
        <v>152</v>
      </c>
      <c r="C3405" s="3">
        <v>26345</v>
      </c>
      <c r="D3405" s="3" t="s">
        <v>885</v>
      </c>
      <c r="E3405" s="2" t="s">
        <v>4841</v>
      </c>
      <c r="F3405" s="2" t="s">
        <v>10</v>
      </c>
      <c r="G3405" s="2" t="s">
        <v>11</v>
      </c>
      <c r="H3405" s="2">
        <v>3800000</v>
      </c>
      <c r="I3405" s="2">
        <v>6.8</v>
      </c>
      <c r="J3405" s="3">
        <v>102315545</v>
      </c>
      <c r="K3405">
        <f t="shared" si="114"/>
        <v>1.3775047412552699E-3</v>
      </c>
      <c r="R3405" s="12" t="str">
        <f ca="1">IFERROR(__xludf.DUMMYFUNCTION("""COMPUTED_VALUE"""),"Letters to God ")</f>
        <v>Letters to God </v>
      </c>
      <c r="S3405" s="12">
        <f t="shared" si="113"/>
        <v>-2797723</v>
      </c>
    </row>
    <row r="3406" spans="1:19" x14ac:dyDescent="0.3">
      <c r="A3406" s="2" t="s">
        <v>126</v>
      </c>
      <c r="B3406" s="2">
        <v>97</v>
      </c>
      <c r="C3406" s="3">
        <v>15045676</v>
      </c>
      <c r="D3406" s="3" t="s">
        <v>6158</v>
      </c>
      <c r="E3406" s="2" t="s">
        <v>2105</v>
      </c>
      <c r="F3406" s="2" t="s">
        <v>10</v>
      </c>
      <c r="G3406" s="2" t="s">
        <v>11</v>
      </c>
      <c r="H3406" s="2">
        <v>33000000</v>
      </c>
      <c r="I3406" s="2">
        <v>6.9</v>
      </c>
      <c r="J3406" s="3">
        <v>102413606</v>
      </c>
      <c r="K3406">
        <f t="shared" si="114"/>
        <v>1.3775047412552699E-3</v>
      </c>
      <c r="R3406" s="12" t="str">
        <f ca="1">IFERROR(__xludf.DUMMYFUNCTION("""COMPUTED_VALUE"""),"Hobo with a Shotgun ")</f>
        <v>Hobo with a Shotgun </v>
      </c>
      <c r="S3406" s="12">
        <f t="shared" si="113"/>
        <v>-68868383</v>
      </c>
    </row>
    <row r="3407" spans="1:19" x14ac:dyDescent="0.3">
      <c r="A3407" s="2" t="s">
        <v>4952</v>
      </c>
      <c r="B3407" s="2">
        <v>88</v>
      </c>
      <c r="C3407" s="3">
        <v>425899</v>
      </c>
      <c r="D3407" s="3" t="s">
        <v>6163</v>
      </c>
      <c r="E3407" s="2" t="s">
        <v>5428</v>
      </c>
      <c r="F3407" s="2" t="s">
        <v>10</v>
      </c>
      <c r="G3407" s="2" t="s">
        <v>11</v>
      </c>
      <c r="H3407" s="2">
        <v>800000</v>
      </c>
      <c r="I3407" s="2">
        <v>7.5</v>
      </c>
      <c r="J3407" s="3">
        <v>102515793</v>
      </c>
      <c r="K3407">
        <f t="shared" si="114"/>
        <v>1.3775047412552699E-3</v>
      </c>
      <c r="R3407" s="12" t="str">
        <f ca="1">IFERROR(__xludf.DUMMYFUNCTION("""COMPUTED_VALUE"""),"Compadres ")</f>
        <v>Compadres </v>
      </c>
      <c r="S3407" s="12">
        <f t="shared" si="113"/>
        <v>6069373</v>
      </c>
    </row>
    <row r="3408" spans="1:19" x14ac:dyDescent="0.3">
      <c r="A3408" s="2" t="s">
        <v>5501</v>
      </c>
      <c r="B3408" s="2">
        <v>88</v>
      </c>
      <c r="C3408" s="3">
        <v>183088</v>
      </c>
      <c r="D3408" s="3" t="s">
        <v>5767</v>
      </c>
      <c r="E3408" s="2" t="s">
        <v>5502</v>
      </c>
      <c r="F3408" s="2" t="s">
        <v>10</v>
      </c>
      <c r="G3408" s="2" t="s">
        <v>11</v>
      </c>
      <c r="H3408" s="2">
        <v>500000</v>
      </c>
      <c r="I3408" s="2">
        <v>7.1</v>
      </c>
      <c r="J3408" s="3">
        <v>102608827</v>
      </c>
      <c r="K3408">
        <f t="shared" si="114"/>
        <v>1.3775047412552699E-3</v>
      </c>
      <c r="R3408" s="12" t="str">
        <f ca="1">IFERROR(__xludf.DUMMYFUNCTION("""COMPUTED_VALUE"""),"Bachelorette ")</f>
        <v>Bachelorette </v>
      </c>
      <c r="S3408" s="12">
        <f t="shared" si="113"/>
        <v>-9535874</v>
      </c>
    </row>
    <row r="3409" spans="1:19" x14ac:dyDescent="0.3">
      <c r="A3409" s="2" t="s">
        <v>873</v>
      </c>
      <c r="B3409" s="2">
        <v>132</v>
      </c>
      <c r="C3409" s="3">
        <v>2955039</v>
      </c>
      <c r="D3409" s="3" t="s">
        <v>6035</v>
      </c>
      <c r="E3409" s="2" t="s">
        <v>1958</v>
      </c>
      <c r="F3409" s="2" t="s">
        <v>10</v>
      </c>
      <c r="G3409" s="2" t="s">
        <v>11</v>
      </c>
      <c r="H3409" s="2">
        <v>35000000</v>
      </c>
      <c r="I3409" s="2">
        <v>6.4</v>
      </c>
      <c r="J3409" s="3">
        <v>102678089</v>
      </c>
      <c r="K3409">
        <f t="shared" si="114"/>
        <v>1.3775047412552699E-3</v>
      </c>
      <c r="R3409" s="12" t="str">
        <f ca="1">IFERROR(__xludf.DUMMYFUNCTION("""COMPUTED_VALUE"""),"Tim and Eric's Billion Dollar Movie ")</f>
        <v>Tim and Eric's Billion Dollar Movie </v>
      </c>
      <c r="S3409" s="12">
        <f t="shared" si="113"/>
        <v>-30135041</v>
      </c>
    </row>
    <row r="3410" spans="1:19" x14ac:dyDescent="0.3">
      <c r="A3410" s="2" t="s">
        <v>1347</v>
      </c>
      <c r="B3410" s="2">
        <v>80</v>
      </c>
      <c r="C3410" s="3">
        <v>27736779</v>
      </c>
      <c r="D3410" s="3" t="s">
        <v>6050</v>
      </c>
      <c r="E3410" s="2" t="s">
        <v>1348</v>
      </c>
      <c r="F3410" s="2" t="s">
        <v>10</v>
      </c>
      <c r="G3410" s="2" t="s">
        <v>11</v>
      </c>
      <c r="H3410" s="2">
        <v>35000000</v>
      </c>
      <c r="I3410" s="2">
        <v>5</v>
      </c>
      <c r="J3410" s="3">
        <v>102922376</v>
      </c>
      <c r="K3410">
        <f t="shared" si="114"/>
        <v>1.3775047412552699E-3</v>
      </c>
      <c r="R3410" s="12" t="str">
        <f ca="1">IFERROR(__xludf.DUMMYFUNCTION("""COMPUTED_VALUE"""),"Summer Storm ")</f>
        <v>Summer Storm </v>
      </c>
      <c r="S3410" s="12">
        <f t="shared" si="113"/>
        <v>-61133222</v>
      </c>
    </row>
    <row r="3411" spans="1:19" x14ac:dyDescent="0.3">
      <c r="A3411" s="2" t="s">
        <v>104</v>
      </c>
      <c r="B3411" s="2">
        <v>127</v>
      </c>
      <c r="C3411" s="3">
        <v>695229</v>
      </c>
      <c r="D3411" s="3" t="s">
        <v>5958</v>
      </c>
      <c r="E3411" s="2" t="s">
        <v>1468</v>
      </c>
      <c r="F3411" s="2" t="s">
        <v>10</v>
      </c>
      <c r="G3411" s="2" t="s">
        <v>11</v>
      </c>
      <c r="H3411" s="2">
        <v>48000000</v>
      </c>
      <c r="I3411" s="2">
        <v>8.3000000000000007</v>
      </c>
      <c r="J3411" s="3">
        <v>102981571</v>
      </c>
      <c r="K3411">
        <f t="shared" si="114"/>
        <v>1.3775047412552699E-3</v>
      </c>
      <c r="R3411" s="12" t="str">
        <f ca="1">IFERROR(__xludf.DUMMYFUNCTION("""COMPUTED_VALUE"""),"Fort McCoy ")</f>
        <v>Fort McCoy </v>
      </c>
      <c r="S3411" s="12">
        <f t="shared" si="113"/>
        <v>-93990787</v>
      </c>
    </row>
    <row r="3412" spans="1:19" x14ac:dyDescent="0.3">
      <c r="A3412" s="2" t="s">
        <v>50</v>
      </c>
      <c r="B3412" s="2">
        <v>194</v>
      </c>
      <c r="C3412" s="3">
        <v>32131483</v>
      </c>
      <c r="D3412" s="3" t="s">
        <v>6245</v>
      </c>
      <c r="E3412" s="2" t="s">
        <v>434</v>
      </c>
      <c r="F3412" s="2" t="s">
        <v>10</v>
      </c>
      <c r="G3412" s="2" t="s">
        <v>11</v>
      </c>
      <c r="H3412" s="2">
        <v>130000000</v>
      </c>
      <c r="I3412" s="2">
        <v>7.2</v>
      </c>
      <c r="J3412" s="3">
        <v>103001286</v>
      </c>
      <c r="K3412">
        <f t="shared" si="114"/>
        <v>1.3775047412552699E-3</v>
      </c>
      <c r="R3412" s="12" t="str">
        <f ca="1">IFERROR(__xludf.DUMMYFUNCTION("""COMPUTED_VALUE"""),"Chain Letter ")</f>
        <v>Chain Letter </v>
      </c>
      <c r="S3412" s="12">
        <f t="shared" si="113"/>
        <v>-19695743</v>
      </c>
    </row>
    <row r="3413" spans="1:19" x14ac:dyDescent="0.3">
      <c r="A3413" s="2" t="s">
        <v>5126</v>
      </c>
      <c r="B3413" s="2">
        <v>106</v>
      </c>
      <c r="C3413" s="3">
        <v>860002</v>
      </c>
      <c r="D3413" s="3" t="s">
        <v>6241</v>
      </c>
      <c r="E3413" s="2" t="s">
        <v>5127</v>
      </c>
      <c r="F3413" s="2" t="s">
        <v>10</v>
      </c>
      <c r="G3413" s="2" t="s">
        <v>11</v>
      </c>
      <c r="H3413" s="2">
        <v>2000000</v>
      </c>
      <c r="I3413" s="2">
        <v>5.7</v>
      </c>
      <c r="J3413" s="3">
        <v>103028109</v>
      </c>
      <c r="K3413">
        <f t="shared" si="114"/>
        <v>1.3775047412552699E-3</v>
      </c>
      <c r="R3413" s="12" t="str">
        <f ca="1">IFERROR(__xludf.DUMMYFUNCTION("""COMPUTED_VALUE"""),"Just Looking ")</f>
        <v>Just Looking </v>
      </c>
      <c r="S3413" s="12">
        <f t="shared" si="113"/>
        <v>-744000</v>
      </c>
    </row>
    <row r="3414" spans="1:19" x14ac:dyDescent="0.3">
      <c r="A3414" s="2" t="s">
        <v>5435</v>
      </c>
      <c r="B3414" s="2">
        <v>90</v>
      </c>
      <c r="C3414" s="3">
        <v>1247453</v>
      </c>
      <c r="D3414" s="3" t="s">
        <v>6182</v>
      </c>
      <c r="E3414" s="2" t="s">
        <v>5436</v>
      </c>
      <c r="F3414" s="2" t="s">
        <v>10</v>
      </c>
      <c r="G3414" s="2" t="s">
        <v>11</v>
      </c>
      <c r="H3414" s="2">
        <v>780000</v>
      </c>
      <c r="I3414" s="2">
        <v>6.8</v>
      </c>
      <c r="J3414" s="3">
        <v>103338338</v>
      </c>
      <c r="K3414">
        <f t="shared" si="114"/>
        <v>1.3775047412552699E-3</v>
      </c>
      <c r="R3414" s="12" t="str">
        <f ca="1">IFERROR(__xludf.DUMMYFUNCTION("""COMPUTED_VALUE"""),"The Divide ")</f>
        <v>The Divide </v>
      </c>
      <c r="S3414" s="12">
        <f t="shared" si="113"/>
        <v>-20756232</v>
      </c>
    </row>
    <row r="3415" spans="1:19" x14ac:dyDescent="0.3">
      <c r="A3415" s="2" t="s">
        <v>1338</v>
      </c>
      <c r="B3415" s="2">
        <v>115</v>
      </c>
      <c r="C3415" s="3">
        <v>73678</v>
      </c>
      <c r="D3415" s="3" t="s">
        <v>6440</v>
      </c>
      <c r="E3415" s="2" t="s">
        <v>3612</v>
      </c>
      <c r="F3415" s="2" t="s">
        <v>10</v>
      </c>
      <c r="G3415" s="2" t="s">
        <v>11</v>
      </c>
      <c r="H3415" s="2">
        <v>14000000</v>
      </c>
      <c r="I3415" s="2">
        <v>6.9</v>
      </c>
      <c r="J3415" s="3">
        <v>103400692</v>
      </c>
      <c r="K3415">
        <f t="shared" si="114"/>
        <v>1.3775047412552699E-3</v>
      </c>
      <c r="R3415" s="12" t="str">
        <f ca="1">IFERROR(__xludf.DUMMYFUNCTION("""COMPUTED_VALUE"""),"Tanner Hall ")</f>
        <v>Tanner Hall </v>
      </c>
      <c r="S3415" s="12">
        <f t="shared" si="113"/>
        <v>-9952369</v>
      </c>
    </row>
    <row r="3416" spans="1:19" x14ac:dyDescent="0.3">
      <c r="A3416" s="2" t="s">
        <v>404</v>
      </c>
      <c r="B3416" s="2">
        <v>123</v>
      </c>
      <c r="C3416" s="3">
        <v>7022940</v>
      </c>
      <c r="D3416" s="3" t="s">
        <v>885</v>
      </c>
      <c r="E3416" s="2" t="s">
        <v>1483</v>
      </c>
      <c r="F3416" s="2" t="s">
        <v>10</v>
      </c>
      <c r="G3416" s="2" t="s">
        <v>11</v>
      </c>
      <c r="H3416" s="2">
        <v>48000000</v>
      </c>
      <c r="I3416" s="2">
        <v>7</v>
      </c>
      <c r="J3416" s="3">
        <v>103738726</v>
      </c>
      <c r="K3416">
        <f t="shared" si="114"/>
        <v>1.3775047412552699E-3</v>
      </c>
      <c r="R3416" s="12" t="str">
        <f ca="1">IFERROR(__xludf.DUMMYFUNCTION("""COMPUTED_VALUE"""),"Central Station ")</f>
        <v>Central Station </v>
      </c>
      <c r="S3416" s="12">
        <f t="shared" si="113"/>
        <v>15200000</v>
      </c>
    </row>
    <row r="3417" spans="1:19" x14ac:dyDescent="0.3">
      <c r="A3417" s="2" t="s">
        <v>546</v>
      </c>
      <c r="B3417" s="2">
        <v>137</v>
      </c>
      <c r="C3417" s="3">
        <v>1075288</v>
      </c>
      <c r="D3417" s="3" t="s">
        <v>5849</v>
      </c>
      <c r="E3417" s="2" t="s">
        <v>547</v>
      </c>
      <c r="F3417" s="2" t="s">
        <v>10</v>
      </c>
      <c r="G3417" s="2" t="s">
        <v>11</v>
      </c>
      <c r="H3417" s="2">
        <v>107000000</v>
      </c>
      <c r="I3417" s="2">
        <v>6</v>
      </c>
      <c r="J3417" s="3">
        <v>103812241</v>
      </c>
      <c r="K3417">
        <f t="shared" si="114"/>
        <v>1.3775047412552699E-3</v>
      </c>
      <c r="R3417" s="12" t="str">
        <f ca="1">IFERROR(__xludf.DUMMYFUNCTION("""COMPUTED_VALUE"""),"Boynton Beach Club ")</f>
        <v>Boynton Beach Club </v>
      </c>
      <c r="S3417" s="12">
        <f t="shared" ref="S3417:S3480" si="115">C3395-H3395</f>
        <v>-4643257</v>
      </c>
    </row>
    <row r="3418" spans="1:19" x14ac:dyDescent="0.3">
      <c r="A3418" s="2" t="s">
        <v>4245</v>
      </c>
      <c r="B3418" s="2">
        <v>112</v>
      </c>
      <c r="C3418" s="3">
        <v>75605492</v>
      </c>
      <c r="D3418" s="3" t="s">
        <v>5767</v>
      </c>
      <c r="E3418" s="2" t="s">
        <v>4246</v>
      </c>
      <c r="F3418" s="2" t="s">
        <v>10</v>
      </c>
      <c r="G3418" s="2" t="s">
        <v>11</v>
      </c>
      <c r="H3418" s="2">
        <v>8000000</v>
      </c>
      <c r="I3418" s="2">
        <v>7.6</v>
      </c>
      <c r="J3418" s="3">
        <v>104007828</v>
      </c>
      <c r="K3418">
        <f t="shared" si="114"/>
        <v>1.3775047412552699E-3</v>
      </c>
      <c r="R3418" s="12" t="str">
        <f ca="1">IFERROR(__xludf.DUMMYFUNCTION("""COMPUTED_VALUE"""),"Freakonomics ")</f>
        <v>Freakonomics </v>
      </c>
      <c r="S3418" s="12">
        <f t="shared" si="115"/>
        <v>-474324443</v>
      </c>
    </row>
    <row r="3419" spans="1:19" x14ac:dyDescent="0.3">
      <c r="A3419" s="2" t="s">
        <v>956</v>
      </c>
      <c r="B3419" s="2">
        <v>118</v>
      </c>
      <c r="C3419" s="3">
        <v>856942</v>
      </c>
      <c r="D3419" s="3" t="s">
        <v>885</v>
      </c>
      <c r="E3419" s="2" t="s">
        <v>3383</v>
      </c>
      <c r="F3419" s="2" t="s">
        <v>10</v>
      </c>
      <c r="G3419" s="2" t="s">
        <v>16</v>
      </c>
      <c r="H3419" s="2">
        <v>15000000</v>
      </c>
      <c r="I3419" s="2">
        <v>8</v>
      </c>
      <c r="J3419" s="3">
        <v>104054514</v>
      </c>
      <c r="K3419">
        <f t="shared" si="114"/>
        <v>1.3775047412552699E-3</v>
      </c>
      <c r="R3419" s="12" t="str">
        <f ca="1">IFERROR(__xludf.DUMMYFUNCTION("""COMPUTED_VALUE"""),"High Tension ")</f>
        <v>High Tension </v>
      </c>
      <c r="S3419" s="12">
        <f t="shared" si="115"/>
        <v>-127707825</v>
      </c>
    </row>
    <row r="3420" spans="1:19" x14ac:dyDescent="0.3">
      <c r="A3420" s="2" t="s">
        <v>1313</v>
      </c>
      <c r="B3420" s="2">
        <v>81</v>
      </c>
      <c r="C3420" s="3">
        <v>2957978</v>
      </c>
      <c r="D3420" s="3" t="s">
        <v>6463</v>
      </c>
      <c r="E3420" s="2" t="s">
        <v>4021</v>
      </c>
      <c r="F3420" s="2" t="s">
        <v>10</v>
      </c>
      <c r="G3420" s="2" t="s">
        <v>11</v>
      </c>
      <c r="H3420" s="2">
        <v>10000000</v>
      </c>
      <c r="I3420" s="2">
        <v>6.2</v>
      </c>
      <c r="J3420" s="3">
        <v>104148781</v>
      </c>
      <c r="K3420">
        <f t="shared" si="114"/>
        <v>1.3775047412552699E-3</v>
      </c>
      <c r="R3420" s="12" t="str">
        <f ca="1">IFERROR(__xludf.DUMMYFUNCTION("""COMPUTED_VALUE"""),"Hustle &amp; Flow ")</f>
        <v>Hustle &amp; Flow </v>
      </c>
      <c r="S3420" s="12">
        <f t="shared" si="115"/>
        <v>-429337565</v>
      </c>
    </row>
    <row r="3421" spans="1:19" x14ac:dyDescent="0.3">
      <c r="A3421" s="2" t="s">
        <v>1284</v>
      </c>
      <c r="B3421" s="2">
        <v>112</v>
      </c>
      <c r="C3421" s="3">
        <v>4301331</v>
      </c>
      <c r="D3421" s="3" t="s">
        <v>5767</v>
      </c>
      <c r="E3421" s="2" t="s">
        <v>4217</v>
      </c>
      <c r="F3421" s="2" t="s">
        <v>10</v>
      </c>
      <c r="G3421" s="2" t="s">
        <v>11</v>
      </c>
      <c r="H3421" s="2">
        <v>7000000</v>
      </c>
      <c r="I3421" s="2">
        <v>7.3</v>
      </c>
      <c r="J3421" s="3">
        <v>104354205</v>
      </c>
      <c r="K3421">
        <f t="shared" si="114"/>
        <v>1.3775047412552699E-3</v>
      </c>
      <c r="R3421" s="12" t="str">
        <f ca="1">IFERROR(__xludf.DUMMYFUNCTION("""COMPUTED_VALUE"""),"Some Like It Hot ")</f>
        <v>Some Like It Hot </v>
      </c>
      <c r="S3421" s="12">
        <f t="shared" si="115"/>
        <v>-59986507</v>
      </c>
    </row>
    <row r="3422" spans="1:19" x14ac:dyDescent="0.3">
      <c r="A3422" s="2" t="s">
        <v>135</v>
      </c>
      <c r="B3422" s="2">
        <v>95</v>
      </c>
      <c r="C3422" s="3">
        <v>212285</v>
      </c>
      <c r="D3422" s="3" t="s">
        <v>5849</v>
      </c>
      <c r="E3422" s="2" t="s">
        <v>1202</v>
      </c>
      <c r="F3422" s="2" t="s">
        <v>10</v>
      </c>
      <c r="G3422" s="2" t="s">
        <v>11</v>
      </c>
      <c r="H3422" s="2">
        <v>54000000</v>
      </c>
      <c r="I3422" s="2">
        <v>5.6</v>
      </c>
      <c r="J3422" s="3">
        <v>104374107</v>
      </c>
      <c r="K3422">
        <f t="shared" si="114"/>
        <v>1.3775047412552699E-3</v>
      </c>
      <c r="R3422" s="12" t="str">
        <f ca="1">IFERROR(__xludf.DUMMYFUNCTION("""COMPUTED_VALUE"""),"Friday the 13th Part VII: The New Blood ")</f>
        <v>Friday the 13th Part VII: The New Blood </v>
      </c>
      <c r="S3422" s="12">
        <f t="shared" si="115"/>
        <v>11566230</v>
      </c>
    </row>
    <row r="3423" spans="1:19" x14ac:dyDescent="0.3">
      <c r="A3423" s="2" t="s">
        <v>2334</v>
      </c>
      <c r="B3423" s="2">
        <v>99</v>
      </c>
      <c r="C3423" s="3">
        <v>37606</v>
      </c>
      <c r="D3423" s="3" t="s">
        <v>6464</v>
      </c>
      <c r="E3423" s="2" t="s">
        <v>5630</v>
      </c>
      <c r="F3423" s="2" t="s">
        <v>2623</v>
      </c>
      <c r="G3423" s="2" t="s">
        <v>2336</v>
      </c>
      <c r="H3423" s="3">
        <v>474544677</v>
      </c>
      <c r="I3423" s="2">
        <v>8</v>
      </c>
      <c r="J3423" s="3">
        <v>104383624</v>
      </c>
      <c r="K3423">
        <f t="shared" si="114"/>
        <v>1.3775047412552699E-3</v>
      </c>
      <c r="R3423" s="12" t="str">
        <f ca="1">IFERROR(__xludf.DUMMYFUNCTION("""COMPUTED_VALUE"""),"The Wizard of Oz ")</f>
        <v>The Wizard of Oz </v>
      </c>
      <c r="S3423" s="12">
        <f t="shared" si="115"/>
        <v>-54979800</v>
      </c>
    </row>
    <row r="3424" spans="1:19" x14ac:dyDescent="0.3">
      <c r="A3424" s="2" t="s">
        <v>99</v>
      </c>
      <c r="B3424" s="2">
        <v>124</v>
      </c>
      <c r="C3424" s="3">
        <v>15549702</v>
      </c>
      <c r="D3424" s="3" t="s">
        <v>6465</v>
      </c>
      <c r="E3424" s="2" t="s">
        <v>2099</v>
      </c>
      <c r="F3424" s="2" t="s">
        <v>10</v>
      </c>
      <c r="G3424" s="2" t="s">
        <v>11</v>
      </c>
      <c r="H3424" s="2">
        <v>38000000</v>
      </c>
      <c r="I3424" s="2">
        <v>6</v>
      </c>
      <c r="J3424" s="3">
        <v>104632573</v>
      </c>
      <c r="K3424">
        <f t="shared" si="114"/>
        <v>1.3775047412552699E-3</v>
      </c>
      <c r="R3424" s="12" t="str">
        <f ca="1">IFERROR(__xludf.DUMMYFUNCTION("""COMPUTED_VALUE"""),"Young Frankenstein ")</f>
        <v>Young Frankenstein </v>
      </c>
      <c r="S3424" s="12">
        <f t="shared" si="115"/>
        <v>55235322</v>
      </c>
    </row>
    <row r="3425" spans="1:19" x14ac:dyDescent="0.3">
      <c r="A3425" s="2" t="s">
        <v>1338</v>
      </c>
      <c r="B3425" s="2">
        <v>121</v>
      </c>
      <c r="C3425" s="3">
        <v>5005</v>
      </c>
      <c r="D3425" s="3" t="s">
        <v>6245</v>
      </c>
      <c r="E3425" s="2" t="s">
        <v>4492</v>
      </c>
      <c r="F3425" s="2" t="s">
        <v>10</v>
      </c>
      <c r="G3425" s="2" t="s">
        <v>11</v>
      </c>
      <c r="H3425" s="2">
        <v>6500000</v>
      </c>
      <c r="I3425" s="2">
        <v>5.8</v>
      </c>
      <c r="J3425" s="3">
        <v>105219735</v>
      </c>
      <c r="K3425">
        <f t="shared" si="114"/>
        <v>1.3775047412552699E-3</v>
      </c>
      <c r="R3425" s="12" t="str">
        <f ca="1">IFERROR(__xludf.DUMMYFUNCTION("""COMPUTED_VALUE"""),"Diary of the Dead ")</f>
        <v>Diary of the Dead </v>
      </c>
      <c r="S3425" s="12">
        <f t="shared" si="115"/>
        <v>-29775804</v>
      </c>
    </row>
    <row r="3426" spans="1:19" x14ac:dyDescent="0.3">
      <c r="A3426" s="2" t="s">
        <v>2759</v>
      </c>
      <c r="B3426" s="2">
        <v>141</v>
      </c>
      <c r="C3426" s="3">
        <v>4291965</v>
      </c>
      <c r="D3426" s="3" t="s">
        <v>885</v>
      </c>
      <c r="E3426" s="2" t="s">
        <v>2760</v>
      </c>
      <c r="F3426" s="2" t="s">
        <v>10</v>
      </c>
      <c r="G3426" s="2" t="s">
        <v>11</v>
      </c>
      <c r="H3426" s="2">
        <v>23000000</v>
      </c>
      <c r="I3426" s="2">
        <v>6.2</v>
      </c>
      <c r="J3426" s="3">
        <v>105263257</v>
      </c>
      <c r="K3426">
        <f t="shared" si="114"/>
        <v>1.3775047412552699E-3</v>
      </c>
      <c r="R3426" s="12" t="str">
        <f ca="1">IFERROR(__xludf.DUMMYFUNCTION("""COMPUTED_VALUE"""),"Ulee's Gold ")</f>
        <v>Ulee's Gold </v>
      </c>
      <c r="S3426" s="12">
        <f t="shared" si="115"/>
        <v>-10348000</v>
      </c>
    </row>
    <row r="3427" spans="1:19" x14ac:dyDescent="0.3">
      <c r="A3427" s="2" t="s">
        <v>1425</v>
      </c>
      <c r="B3427" s="2">
        <v>101</v>
      </c>
      <c r="C3427" s="3">
        <v>5532301</v>
      </c>
      <c r="D3427" s="3" t="s">
        <v>6036</v>
      </c>
      <c r="E3427" s="2" t="s">
        <v>1426</v>
      </c>
      <c r="F3427" s="2" t="s">
        <v>10</v>
      </c>
      <c r="G3427" s="2" t="s">
        <v>11</v>
      </c>
      <c r="H3427" s="2">
        <v>50000000</v>
      </c>
      <c r="I3427" s="2">
        <v>5.7</v>
      </c>
      <c r="J3427" s="3">
        <v>105264608</v>
      </c>
      <c r="K3427">
        <f t="shared" si="114"/>
        <v>1.3775047412552699E-3</v>
      </c>
      <c r="R3427" s="12" t="str">
        <f ca="1">IFERROR(__xludf.DUMMYFUNCTION("""COMPUTED_VALUE"""),"Blazing Saddles ")</f>
        <v>Blazing Saddles </v>
      </c>
      <c r="S3427" s="12">
        <f t="shared" si="115"/>
        <v>-3773655</v>
      </c>
    </row>
    <row r="3428" spans="1:19" x14ac:dyDescent="0.3">
      <c r="A3428" s="2" t="s">
        <v>1019</v>
      </c>
      <c r="B3428" s="2">
        <v>87</v>
      </c>
      <c r="C3428" s="3">
        <v>16702864</v>
      </c>
      <c r="D3428" s="3" t="s">
        <v>6245</v>
      </c>
      <c r="E3428" s="2" t="s">
        <v>1020</v>
      </c>
      <c r="F3428" s="2" t="s">
        <v>10</v>
      </c>
      <c r="G3428" s="2" t="s">
        <v>11</v>
      </c>
      <c r="H3428" s="2">
        <v>62000000</v>
      </c>
      <c r="I3428" s="2">
        <v>3.8</v>
      </c>
      <c r="J3428" s="3">
        <v>105444419</v>
      </c>
      <c r="K3428">
        <f t="shared" si="114"/>
        <v>1.3775047412552699E-3</v>
      </c>
      <c r="R3428" s="12" t="str">
        <f ca="1">IFERROR(__xludf.DUMMYFUNCTION("""COMPUTED_VALUE"""),"Friday the 13th: The Final Chapter ")</f>
        <v>Friday the 13th: The Final Chapter </v>
      </c>
      <c r="S3428" s="12">
        <f t="shared" si="115"/>
        <v>-17954324</v>
      </c>
    </row>
    <row r="3429" spans="1:19" x14ac:dyDescent="0.3">
      <c r="A3429" s="2" t="s">
        <v>346</v>
      </c>
      <c r="B3429" s="2">
        <v>130</v>
      </c>
      <c r="C3429" s="3">
        <v>84185387</v>
      </c>
      <c r="D3429" s="3" t="s">
        <v>5849</v>
      </c>
      <c r="E3429" s="2" t="s">
        <v>635</v>
      </c>
      <c r="F3429" s="2" t="s">
        <v>10</v>
      </c>
      <c r="G3429" s="2" t="s">
        <v>11</v>
      </c>
      <c r="H3429" s="2">
        <v>70000000</v>
      </c>
      <c r="I3429" s="2">
        <v>6.2</v>
      </c>
      <c r="J3429" s="3">
        <v>105500000</v>
      </c>
      <c r="K3429">
        <f t="shared" si="114"/>
        <v>1.3775047412552699E-3</v>
      </c>
      <c r="R3429" s="12" t="str">
        <f ca="1">IFERROR(__xludf.DUMMYFUNCTION("""COMPUTED_VALUE"""),"Maurice ")</f>
        <v>Maurice </v>
      </c>
      <c r="S3429" s="12">
        <f t="shared" si="115"/>
        <v>-374101</v>
      </c>
    </row>
    <row r="3430" spans="1:19" x14ac:dyDescent="0.3">
      <c r="A3430" s="2" t="s">
        <v>4742</v>
      </c>
      <c r="B3430" s="2">
        <v>106</v>
      </c>
      <c r="C3430" s="3">
        <v>5516708</v>
      </c>
      <c r="D3430" s="3" t="s">
        <v>6163</v>
      </c>
      <c r="E3430" s="2" t="s">
        <v>4743</v>
      </c>
      <c r="F3430" s="2" t="s">
        <v>10</v>
      </c>
      <c r="G3430" s="2" t="s">
        <v>11</v>
      </c>
      <c r="H3430" s="2">
        <v>2000000</v>
      </c>
      <c r="I3430" s="2">
        <v>6.8</v>
      </c>
      <c r="J3430" s="3">
        <v>105807520</v>
      </c>
      <c r="K3430">
        <f t="shared" si="114"/>
        <v>1.3775047412552699E-3</v>
      </c>
      <c r="R3430" s="12" t="str">
        <f ca="1">IFERROR(__xludf.DUMMYFUNCTION("""COMPUTED_VALUE"""),"Beer League ")</f>
        <v>Beer League </v>
      </c>
      <c r="S3430" s="12">
        <f t="shared" si="115"/>
        <v>-316912</v>
      </c>
    </row>
    <row r="3431" spans="1:19" x14ac:dyDescent="0.3">
      <c r="A3431" s="2" t="s">
        <v>738</v>
      </c>
      <c r="B3431" s="2">
        <v>108</v>
      </c>
      <c r="C3431" s="3">
        <v>2975649</v>
      </c>
      <c r="D3431" s="3" t="s">
        <v>6419</v>
      </c>
      <c r="E3431" s="2" t="s">
        <v>1708</v>
      </c>
      <c r="F3431" s="2" t="s">
        <v>10</v>
      </c>
      <c r="G3431" s="2" t="s">
        <v>11</v>
      </c>
      <c r="H3431" s="2">
        <v>40000000</v>
      </c>
      <c r="I3431" s="2">
        <v>6.1</v>
      </c>
      <c r="J3431" s="3">
        <v>106126012</v>
      </c>
      <c r="K3431">
        <f t="shared" si="114"/>
        <v>1.3775047412552699E-3</v>
      </c>
      <c r="R3431" s="12" t="str">
        <f ca="1">IFERROR(__xludf.DUMMYFUNCTION("""COMPUTED_VALUE"""),"Timecrimes ")</f>
        <v>Timecrimes </v>
      </c>
      <c r="S3431" s="12">
        <f t="shared" si="115"/>
        <v>-32044961</v>
      </c>
    </row>
    <row r="3432" spans="1:19" x14ac:dyDescent="0.3">
      <c r="A3432" s="2" t="s">
        <v>876</v>
      </c>
      <c r="B3432" s="2">
        <v>94</v>
      </c>
      <c r="C3432" s="3">
        <v>183662</v>
      </c>
      <c r="D3432" s="3" t="s">
        <v>6251</v>
      </c>
      <c r="E3432" s="2" t="s">
        <v>2484</v>
      </c>
      <c r="F3432" s="2" t="s">
        <v>10</v>
      </c>
      <c r="G3432" s="2" t="s">
        <v>11</v>
      </c>
      <c r="H3432" s="2">
        <v>26000000</v>
      </c>
      <c r="I3432" s="2">
        <v>5.2</v>
      </c>
      <c r="J3432" s="3">
        <v>106369117</v>
      </c>
      <c r="K3432">
        <f t="shared" si="114"/>
        <v>1.3775047412552699E-3</v>
      </c>
      <c r="R3432" s="12" t="str">
        <f ca="1">IFERROR(__xludf.DUMMYFUNCTION("""COMPUTED_VALUE"""),"A Haunted House ")</f>
        <v>A Haunted House </v>
      </c>
      <c r="S3432" s="12">
        <f t="shared" si="115"/>
        <v>-7263221</v>
      </c>
    </row>
    <row r="3433" spans="1:19" x14ac:dyDescent="0.3">
      <c r="A3433" s="2" t="s">
        <v>122</v>
      </c>
      <c r="B3433" s="2">
        <v>95</v>
      </c>
      <c r="C3433" s="3">
        <v>63270259</v>
      </c>
      <c r="D3433" s="3" t="s">
        <v>6157</v>
      </c>
      <c r="E3433" s="2" t="s">
        <v>143</v>
      </c>
      <c r="F3433" s="2" t="s">
        <v>10</v>
      </c>
      <c r="G3433" s="2" t="s">
        <v>11</v>
      </c>
      <c r="H3433" s="2">
        <v>175000000</v>
      </c>
      <c r="I3433" s="2">
        <v>8.3000000000000007</v>
      </c>
      <c r="J3433" s="3">
        <v>106593296</v>
      </c>
      <c r="K3433">
        <f t="shared" si="114"/>
        <v>1.3775047412552699E-3</v>
      </c>
      <c r="R3433" s="12" t="str">
        <f ca="1">IFERROR(__xludf.DUMMYFUNCTION("""COMPUTED_VALUE"""),"2016: Obama's America ")</f>
        <v>2016: Obama's America </v>
      </c>
      <c r="S3433" s="12">
        <f t="shared" si="115"/>
        <v>-47304771</v>
      </c>
    </row>
    <row r="3434" spans="1:19" x14ac:dyDescent="0.3">
      <c r="A3434" s="2" t="s">
        <v>4580</v>
      </c>
      <c r="B3434" s="2">
        <v>99</v>
      </c>
      <c r="C3434" s="3">
        <v>2954405</v>
      </c>
      <c r="D3434" s="3" t="s">
        <v>6142</v>
      </c>
      <c r="E3434" s="2" t="s">
        <v>4581</v>
      </c>
      <c r="F3434" s="2" t="s">
        <v>2071</v>
      </c>
      <c r="G3434" s="2" t="s">
        <v>771</v>
      </c>
      <c r="H3434" s="2">
        <v>5500000</v>
      </c>
      <c r="I3434" s="2">
        <v>6.1</v>
      </c>
      <c r="J3434" s="3">
        <v>106635996</v>
      </c>
      <c r="K3434">
        <f t="shared" si="114"/>
        <v>1.3775047412552699E-3</v>
      </c>
      <c r="R3434" s="12" t="str">
        <f ca="1">IFERROR(__xludf.DUMMYFUNCTION("""COMPUTED_VALUE"""),"That Thing You Do! ")</f>
        <v>That Thing You Do! </v>
      </c>
      <c r="S3434" s="12">
        <f t="shared" si="115"/>
        <v>-97868517</v>
      </c>
    </row>
    <row r="3435" spans="1:19" x14ac:dyDescent="0.3">
      <c r="A3435" s="2" t="s">
        <v>50</v>
      </c>
      <c r="B3435" s="2">
        <v>150</v>
      </c>
      <c r="C3435" s="3">
        <v>16901126</v>
      </c>
      <c r="D3435" s="3" t="s">
        <v>5894</v>
      </c>
      <c r="E3435" s="2" t="s">
        <v>270</v>
      </c>
      <c r="F3435" s="2" t="s">
        <v>10</v>
      </c>
      <c r="G3435" s="2" t="s">
        <v>16</v>
      </c>
      <c r="H3435" s="2">
        <v>140000000</v>
      </c>
      <c r="I3435" s="2">
        <v>6.1</v>
      </c>
      <c r="J3435" s="3">
        <v>106694016</v>
      </c>
      <c r="K3435">
        <f t="shared" si="114"/>
        <v>1.3775047412552699E-3</v>
      </c>
      <c r="R3435" s="12" t="str">
        <f ca="1">IFERROR(__xludf.DUMMYFUNCTION("""COMPUTED_VALUE"""),"Halloween III: Season of the Witch ")</f>
        <v>Halloween III: Season of the Witch </v>
      </c>
      <c r="S3435" s="12">
        <f t="shared" si="115"/>
        <v>-1139998</v>
      </c>
    </row>
    <row r="3436" spans="1:19" x14ac:dyDescent="0.3">
      <c r="A3436" s="2" t="s">
        <v>3667</v>
      </c>
      <c r="B3436" s="2">
        <v>120</v>
      </c>
      <c r="C3436" s="3">
        <v>8742261</v>
      </c>
      <c r="D3436" s="3" t="s">
        <v>6448</v>
      </c>
      <c r="E3436" s="2" t="s">
        <v>3668</v>
      </c>
      <c r="F3436" s="2" t="s">
        <v>10</v>
      </c>
      <c r="G3436" s="2" t="s">
        <v>11</v>
      </c>
      <c r="H3436" s="2">
        <v>13000000</v>
      </c>
      <c r="I3436" s="2">
        <v>7.7</v>
      </c>
      <c r="J3436" s="3">
        <v>106793915</v>
      </c>
      <c r="K3436">
        <f t="shared" si="114"/>
        <v>1.3775047412552699E-3</v>
      </c>
      <c r="R3436" s="12" t="str">
        <f ca="1">IFERROR(__xludf.DUMMYFUNCTION("""COMPUTED_VALUE"""),"Kevin Hart: Let Me Explain ")</f>
        <v>Kevin Hart: Let Me Explain </v>
      </c>
      <c r="S3436" s="12">
        <f t="shared" si="115"/>
        <v>467453</v>
      </c>
    </row>
    <row r="3437" spans="1:19" x14ac:dyDescent="0.3">
      <c r="A3437" s="2" t="s">
        <v>468</v>
      </c>
      <c r="B3437" s="2">
        <v>87</v>
      </c>
      <c r="C3437" s="3">
        <v>7282851</v>
      </c>
      <c r="D3437" s="3" t="s">
        <v>5956</v>
      </c>
      <c r="E3437" s="2" t="s">
        <v>3403</v>
      </c>
      <c r="F3437" s="2" t="s">
        <v>10</v>
      </c>
      <c r="G3437" s="2" t="s">
        <v>11</v>
      </c>
      <c r="H3437" s="2">
        <v>15000000</v>
      </c>
      <c r="I3437" s="2">
        <v>5</v>
      </c>
      <c r="J3437" s="3">
        <v>106807667</v>
      </c>
      <c r="K3437">
        <f t="shared" si="114"/>
        <v>1.3775047412552699E-3</v>
      </c>
      <c r="R3437" s="12" t="str">
        <f ca="1">IFERROR(__xludf.DUMMYFUNCTION("""COMPUTED_VALUE"""),"My Own Private Idaho ")</f>
        <v>My Own Private Idaho </v>
      </c>
      <c r="S3437" s="12">
        <f t="shared" si="115"/>
        <v>-13926322</v>
      </c>
    </row>
    <row r="3438" spans="1:19" x14ac:dyDescent="0.3">
      <c r="A3438" s="2" t="s">
        <v>2861</v>
      </c>
      <c r="B3438" s="2">
        <v>101</v>
      </c>
      <c r="C3438" s="3">
        <v>42478175</v>
      </c>
      <c r="D3438" s="3" t="s">
        <v>6163</v>
      </c>
      <c r="E3438" s="2" t="s">
        <v>2862</v>
      </c>
      <c r="F3438" s="2" t="s">
        <v>10</v>
      </c>
      <c r="G3438" s="2" t="s">
        <v>11</v>
      </c>
      <c r="H3438" s="2">
        <v>20000000</v>
      </c>
      <c r="I3438" s="2">
        <v>7.1</v>
      </c>
      <c r="J3438" s="3">
        <v>106952327</v>
      </c>
      <c r="K3438">
        <f t="shared" si="114"/>
        <v>1.3775047412552699E-3</v>
      </c>
      <c r="R3438" s="12" t="str">
        <f ca="1">IFERROR(__xludf.DUMMYFUNCTION("""COMPUTED_VALUE"""),"Garden State ")</f>
        <v>Garden State </v>
      </c>
      <c r="S3438" s="12">
        <f t="shared" si="115"/>
        <v>-40977060</v>
      </c>
    </row>
    <row r="3439" spans="1:19" x14ac:dyDescent="0.3">
      <c r="A3439" s="2" t="s">
        <v>2051</v>
      </c>
      <c r="B3439" s="2">
        <v>97</v>
      </c>
      <c r="C3439" s="3">
        <v>4306697</v>
      </c>
      <c r="D3439" s="3" t="s">
        <v>5973</v>
      </c>
      <c r="E3439" s="2" t="s">
        <v>2518</v>
      </c>
      <c r="F3439" s="2" t="s">
        <v>10</v>
      </c>
      <c r="G3439" s="2" t="s">
        <v>11</v>
      </c>
      <c r="H3439" s="2">
        <v>30000000</v>
      </c>
      <c r="I3439" s="2">
        <v>5.8</v>
      </c>
      <c r="J3439" s="3">
        <v>107100855</v>
      </c>
      <c r="K3439">
        <f t="shared" si="114"/>
        <v>1.3775047412552699E-3</v>
      </c>
      <c r="R3439" s="12" t="str">
        <f ca="1">IFERROR(__xludf.DUMMYFUNCTION("""COMPUTED_VALUE"""),"Before Sunrise ")</f>
        <v>Before Sunrise </v>
      </c>
      <c r="S3439" s="12">
        <f t="shared" si="115"/>
        <v>-105924712</v>
      </c>
    </row>
    <row r="3440" spans="1:19" x14ac:dyDescent="0.3">
      <c r="A3440" s="2" t="s">
        <v>840</v>
      </c>
      <c r="B3440" s="2">
        <v>98</v>
      </c>
      <c r="C3440" s="3">
        <v>1477002</v>
      </c>
      <c r="D3440" s="3" t="s">
        <v>885</v>
      </c>
      <c r="E3440" s="2" t="s">
        <v>4156</v>
      </c>
      <c r="F3440" s="2" t="s">
        <v>10</v>
      </c>
      <c r="G3440" s="2" t="s">
        <v>11</v>
      </c>
      <c r="H3440" s="2">
        <v>9500000</v>
      </c>
      <c r="I3440" s="2">
        <v>6.1</v>
      </c>
      <c r="J3440" s="3">
        <v>107225164</v>
      </c>
      <c r="K3440">
        <f t="shared" si="114"/>
        <v>1.3775047412552699E-3</v>
      </c>
      <c r="R3440" s="12" t="str">
        <f ca="1">IFERROR(__xludf.DUMMYFUNCTION("""COMPUTED_VALUE"""),"Jesus' Son ")</f>
        <v>Jesus' Son </v>
      </c>
      <c r="S3440" s="12">
        <f t="shared" si="115"/>
        <v>67605492</v>
      </c>
    </row>
    <row r="3441" spans="1:19" x14ac:dyDescent="0.3">
      <c r="A3441" s="2" t="s">
        <v>5164</v>
      </c>
      <c r="B3441" s="2">
        <v>86</v>
      </c>
      <c r="C3441" s="3">
        <v>125169</v>
      </c>
      <c r="D3441" s="3" t="s">
        <v>885</v>
      </c>
      <c r="E3441" s="2" t="s">
        <v>5165</v>
      </c>
      <c r="F3441" s="2" t="s">
        <v>10</v>
      </c>
      <c r="G3441" s="2" t="s">
        <v>16</v>
      </c>
      <c r="H3441" s="2">
        <v>1700000</v>
      </c>
      <c r="I3441" s="2">
        <v>6.8</v>
      </c>
      <c r="J3441" s="3">
        <v>107285004</v>
      </c>
      <c r="K3441">
        <f t="shared" si="114"/>
        <v>1.3775047412552699E-3</v>
      </c>
      <c r="R3441" s="12" t="str">
        <f ca="1">IFERROR(__xludf.DUMMYFUNCTION("""COMPUTED_VALUE"""),"Robot &amp; Frank ")</f>
        <v>Robot &amp; Frank </v>
      </c>
      <c r="S3441" s="12">
        <f t="shared" si="115"/>
        <v>-14143058</v>
      </c>
    </row>
    <row r="3442" spans="1:19" x14ac:dyDescent="0.3">
      <c r="A3442" s="2" t="s">
        <v>1120</v>
      </c>
      <c r="B3442" s="2">
        <v>91</v>
      </c>
      <c r="C3442" s="3">
        <v>9639242</v>
      </c>
      <c r="D3442" s="3" t="s">
        <v>6191</v>
      </c>
      <c r="E3442" s="2" t="s">
        <v>1121</v>
      </c>
      <c r="F3442" s="2" t="s">
        <v>10</v>
      </c>
      <c r="G3442" s="2" t="s">
        <v>932</v>
      </c>
      <c r="H3442" s="2">
        <v>70000000</v>
      </c>
      <c r="I3442" s="2">
        <v>6.1</v>
      </c>
      <c r="J3442" s="3">
        <v>107458785</v>
      </c>
      <c r="K3442">
        <f t="shared" si="114"/>
        <v>1.3775047412552699E-3</v>
      </c>
      <c r="R3442" s="12" t="str">
        <f ca="1">IFERROR(__xludf.DUMMYFUNCTION("""COMPUTED_VALUE"""),"My Life Without Me ")</f>
        <v>My Life Without Me </v>
      </c>
      <c r="S3442" s="12">
        <f t="shared" si="115"/>
        <v>-7042022</v>
      </c>
    </row>
    <row r="3443" spans="1:19" x14ac:dyDescent="0.3">
      <c r="A3443" s="2" t="s">
        <v>857</v>
      </c>
      <c r="B3443" s="2">
        <v>116</v>
      </c>
      <c r="C3443" s="3">
        <v>84961</v>
      </c>
      <c r="D3443" s="3" t="s">
        <v>5940</v>
      </c>
      <c r="E3443" s="2" t="s">
        <v>858</v>
      </c>
      <c r="F3443" s="2" t="s">
        <v>10</v>
      </c>
      <c r="G3443" s="2" t="s">
        <v>11</v>
      </c>
      <c r="H3443" s="2">
        <v>70000000</v>
      </c>
      <c r="I3443" s="2">
        <v>5.5</v>
      </c>
      <c r="J3443" s="3">
        <v>107503316</v>
      </c>
      <c r="K3443">
        <f t="shared" si="114"/>
        <v>1.3775047412552699E-3</v>
      </c>
      <c r="R3443" s="12" t="str">
        <f ca="1">IFERROR(__xludf.DUMMYFUNCTION("""COMPUTED_VALUE"""),"The Spectacular Now ")</f>
        <v>The Spectacular Now </v>
      </c>
      <c r="S3443" s="12">
        <f t="shared" si="115"/>
        <v>-2698669</v>
      </c>
    </row>
    <row r="3444" spans="1:19" x14ac:dyDescent="0.3">
      <c r="A3444" s="2" t="s">
        <v>128</v>
      </c>
      <c r="B3444" s="2">
        <v>178</v>
      </c>
      <c r="C3444" s="3">
        <v>273420</v>
      </c>
      <c r="D3444" s="3" t="s">
        <v>5894</v>
      </c>
      <c r="E3444" s="2" t="s">
        <v>1307</v>
      </c>
      <c r="F3444" s="2" t="s">
        <v>10</v>
      </c>
      <c r="G3444" s="2" t="s">
        <v>11</v>
      </c>
      <c r="H3444" s="2">
        <v>52000000</v>
      </c>
      <c r="I3444" s="2">
        <v>8.1999999999999993</v>
      </c>
      <c r="J3444" s="3">
        <v>107515297</v>
      </c>
      <c r="K3444">
        <f t="shared" si="114"/>
        <v>1.3775047412552699E-3</v>
      </c>
      <c r="R3444" s="12" t="str">
        <f ca="1">IFERROR(__xludf.DUMMYFUNCTION("""COMPUTED_VALUE"""),"Marilyn Hotchkiss' Ballroom Dancing and Charm School ")</f>
        <v>Marilyn Hotchkiss' Ballroom Dancing and Charm School </v>
      </c>
      <c r="S3444" s="12">
        <f t="shared" si="115"/>
        <v>-53787715</v>
      </c>
    </row>
    <row r="3445" spans="1:19" x14ac:dyDescent="0.3">
      <c r="A3445" s="2" t="s">
        <v>1382</v>
      </c>
      <c r="B3445" s="2">
        <v>132</v>
      </c>
      <c r="C3445" s="3">
        <v>162495848</v>
      </c>
      <c r="D3445" s="3" t="s">
        <v>5753</v>
      </c>
      <c r="E3445" s="2" t="s">
        <v>1383</v>
      </c>
      <c r="F3445" s="2" t="s">
        <v>10</v>
      </c>
      <c r="G3445" s="2" t="s">
        <v>71</v>
      </c>
      <c r="H3445" s="2">
        <v>50000000</v>
      </c>
      <c r="I3445" s="2">
        <v>6.6</v>
      </c>
      <c r="J3445" s="3">
        <v>107917283</v>
      </c>
      <c r="K3445">
        <f t="shared" si="114"/>
        <v>1.3775047412552699E-3</v>
      </c>
      <c r="R3445" s="12" t="str">
        <f ca="1">IFERROR(__xludf.DUMMYFUNCTION("""COMPUTED_VALUE"""),"Religulous ")</f>
        <v>Religulous </v>
      </c>
      <c r="S3445" s="12">
        <f t="shared" si="115"/>
        <v>-474507071</v>
      </c>
    </row>
    <row r="3446" spans="1:19" x14ac:dyDescent="0.3">
      <c r="A3446" s="2" t="s">
        <v>2200</v>
      </c>
      <c r="B3446" s="2">
        <v>119</v>
      </c>
      <c r="C3446" s="3">
        <v>59889948</v>
      </c>
      <c r="D3446" s="3" t="s">
        <v>6466</v>
      </c>
      <c r="E3446" s="2" t="s">
        <v>2201</v>
      </c>
      <c r="F3446" s="2" t="s">
        <v>10</v>
      </c>
      <c r="G3446" s="2" t="s">
        <v>11</v>
      </c>
      <c r="H3446" s="2">
        <v>30000000</v>
      </c>
      <c r="I3446" s="2">
        <v>7.4</v>
      </c>
      <c r="J3446" s="3">
        <v>107930000</v>
      </c>
      <c r="K3446">
        <f t="shared" si="114"/>
        <v>1.3775047412552699E-3</v>
      </c>
      <c r="R3446" s="12" t="str">
        <f ca="1">IFERROR(__xludf.DUMMYFUNCTION("""COMPUTED_VALUE"""),"Fuel ")</f>
        <v>Fuel </v>
      </c>
      <c r="S3446" s="12">
        <f t="shared" si="115"/>
        <v>-22450298</v>
      </c>
    </row>
    <row r="3447" spans="1:19" x14ac:dyDescent="0.3">
      <c r="A3447" s="2" t="s">
        <v>1604</v>
      </c>
      <c r="B3447" s="2">
        <v>106</v>
      </c>
      <c r="C3447" s="3">
        <v>2869369</v>
      </c>
      <c r="D3447" s="3" t="s">
        <v>6148</v>
      </c>
      <c r="E3447" s="2" t="s">
        <v>2955</v>
      </c>
      <c r="F3447" s="2" t="s">
        <v>10</v>
      </c>
      <c r="G3447" s="2" t="s">
        <v>11</v>
      </c>
      <c r="H3447" s="2">
        <v>20000000</v>
      </c>
      <c r="I3447" s="2">
        <v>6.8</v>
      </c>
      <c r="J3447" s="3">
        <v>108012170</v>
      </c>
      <c r="K3447">
        <f t="shared" si="114"/>
        <v>1.3775047412552699E-3</v>
      </c>
      <c r="R3447" s="12" t="str">
        <f ca="1">IFERROR(__xludf.DUMMYFUNCTION("""COMPUTED_VALUE"""),"Valley of the Heart's Delight ")</f>
        <v>Valley of the Heart's Delight </v>
      </c>
      <c r="S3447" s="12">
        <f t="shared" si="115"/>
        <v>-6494995</v>
      </c>
    </row>
    <row r="3448" spans="1:19" x14ac:dyDescent="0.3">
      <c r="A3448" s="2" t="s">
        <v>128</v>
      </c>
      <c r="B3448" s="2">
        <v>112</v>
      </c>
      <c r="C3448" s="3">
        <v>4930798</v>
      </c>
      <c r="D3448" s="3" t="s">
        <v>5768</v>
      </c>
      <c r="E3448" s="2" t="s">
        <v>1776</v>
      </c>
      <c r="F3448" s="2" t="s">
        <v>10</v>
      </c>
      <c r="G3448" s="2" t="s">
        <v>11</v>
      </c>
      <c r="H3448" s="2">
        <v>500000</v>
      </c>
      <c r="I3448" s="2">
        <v>7.4</v>
      </c>
      <c r="J3448" s="3">
        <v>108200000</v>
      </c>
      <c r="K3448">
        <f t="shared" si="114"/>
        <v>1.3775047412552699E-3</v>
      </c>
      <c r="R3448" s="12" t="str">
        <f ca="1">IFERROR(__xludf.DUMMYFUNCTION("""COMPUTED_VALUE"""),"Eye of the Dolphin ")</f>
        <v>Eye of the Dolphin </v>
      </c>
      <c r="S3448" s="12">
        <f t="shared" si="115"/>
        <v>-18708035</v>
      </c>
    </row>
    <row r="3449" spans="1:19" x14ac:dyDescent="0.3">
      <c r="A3449" s="2" t="s">
        <v>278</v>
      </c>
      <c r="B3449" s="2">
        <v>127</v>
      </c>
      <c r="C3449" s="3">
        <v>16699684</v>
      </c>
      <c r="D3449" s="3" t="s">
        <v>5912</v>
      </c>
      <c r="E3449" s="2" t="s">
        <v>279</v>
      </c>
      <c r="F3449" s="2" t="s">
        <v>10</v>
      </c>
      <c r="G3449" s="2" t="s">
        <v>11</v>
      </c>
      <c r="H3449" s="2">
        <v>140000000</v>
      </c>
      <c r="I3449" s="2">
        <v>6.6</v>
      </c>
      <c r="J3449" s="3">
        <v>108244774</v>
      </c>
      <c r="K3449">
        <f t="shared" si="114"/>
        <v>1.3775047412552699E-3</v>
      </c>
      <c r="R3449" s="12" t="str">
        <f ca="1">IFERROR(__xludf.DUMMYFUNCTION("""COMPUTED_VALUE"""),"8: The Mormon Proposition ")</f>
        <v>8: The Mormon Proposition </v>
      </c>
      <c r="S3449" s="12">
        <f t="shared" si="115"/>
        <v>-44467699</v>
      </c>
    </row>
    <row r="3450" spans="1:19" x14ac:dyDescent="0.3">
      <c r="A3450" s="2" t="s">
        <v>4549</v>
      </c>
      <c r="B3450" s="2">
        <v>86</v>
      </c>
      <c r="C3450" s="3">
        <v>16684352</v>
      </c>
      <c r="D3450" s="3" t="s">
        <v>6403</v>
      </c>
      <c r="E3450" s="2" t="s">
        <v>4550</v>
      </c>
      <c r="F3450" s="2" t="s">
        <v>10</v>
      </c>
      <c r="G3450" s="2" t="s">
        <v>11</v>
      </c>
      <c r="H3450" s="2">
        <v>6000000</v>
      </c>
      <c r="I3450" s="2">
        <v>5.8</v>
      </c>
      <c r="J3450" s="3">
        <v>108360000</v>
      </c>
      <c r="K3450">
        <f t="shared" si="114"/>
        <v>1.3775047412552699E-3</v>
      </c>
      <c r="R3450" s="12" t="str">
        <f ca="1">IFERROR(__xludf.DUMMYFUNCTION("""COMPUTED_VALUE"""),"The Other End of the Line ")</f>
        <v>The Other End of the Line </v>
      </c>
      <c r="S3450" s="12">
        <f t="shared" si="115"/>
        <v>-45297136</v>
      </c>
    </row>
    <row r="3451" spans="1:19" x14ac:dyDescent="0.3">
      <c r="A3451" s="2" t="s">
        <v>21</v>
      </c>
      <c r="B3451" s="2">
        <v>37</v>
      </c>
      <c r="C3451" s="3">
        <v>131175</v>
      </c>
      <c r="D3451" s="3" t="s">
        <v>6142</v>
      </c>
      <c r="E3451" s="2" t="s">
        <v>4868</v>
      </c>
      <c r="F3451" s="2" t="s">
        <v>10</v>
      </c>
      <c r="G3451" s="2" t="s">
        <v>11</v>
      </c>
      <c r="H3451" s="2">
        <v>3600000</v>
      </c>
      <c r="I3451" s="2">
        <v>7.8</v>
      </c>
      <c r="J3451" s="3">
        <v>108521835</v>
      </c>
      <c r="K3451">
        <f t="shared" si="114"/>
        <v>1.3775047412552699E-3</v>
      </c>
      <c r="R3451" s="12" t="str">
        <f ca="1">IFERROR(__xludf.DUMMYFUNCTION("""COMPUTED_VALUE"""),"Anatomy ")</f>
        <v>Anatomy </v>
      </c>
      <c r="S3451" s="12">
        <f t="shared" si="115"/>
        <v>14185387</v>
      </c>
    </row>
    <row r="3452" spans="1:19" x14ac:dyDescent="0.3">
      <c r="A3452" s="2" t="s">
        <v>256</v>
      </c>
      <c r="B3452" s="2">
        <v>123</v>
      </c>
      <c r="C3452" s="3">
        <v>333976</v>
      </c>
      <c r="D3452" s="3" t="s">
        <v>6041</v>
      </c>
      <c r="E3452" s="2" t="s">
        <v>1621</v>
      </c>
      <c r="F3452" s="2" t="s">
        <v>10</v>
      </c>
      <c r="G3452" s="2" t="s">
        <v>11</v>
      </c>
      <c r="H3452" s="2">
        <v>43000000</v>
      </c>
      <c r="I3452" s="2">
        <v>6.6</v>
      </c>
      <c r="J3452" s="3">
        <v>108638745</v>
      </c>
      <c r="K3452">
        <f t="shared" si="114"/>
        <v>1.3775047412552699E-3</v>
      </c>
      <c r="R3452" s="12" t="str">
        <f ca="1">IFERROR(__xludf.DUMMYFUNCTION("""COMPUTED_VALUE"""),"Sleep Dealer ")</f>
        <v>Sleep Dealer </v>
      </c>
      <c r="S3452" s="12">
        <f t="shared" si="115"/>
        <v>3516708</v>
      </c>
    </row>
    <row r="3453" spans="1:19" x14ac:dyDescent="0.3">
      <c r="A3453" s="2" t="s">
        <v>1113</v>
      </c>
      <c r="B3453" s="2">
        <v>117</v>
      </c>
      <c r="C3453" s="3">
        <v>9589875</v>
      </c>
      <c r="D3453" s="3" t="s">
        <v>885</v>
      </c>
      <c r="E3453" s="2" t="s">
        <v>1565</v>
      </c>
      <c r="F3453" s="2" t="s">
        <v>10</v>
      </c>
      <c r="G3453" s="2" t="s">
        <v>11</v>
      </c>
      <c r="H3453" s="2">
        <v>45000000</v>
      </c>
      <c r="I3453" s="2">
        <v>6</v>
      </c>
      <c r="J3453" s="3">
        <v>108706165</v>
      </c>
      <c r="K3453">
        <f t="shared" si="114"/>
        <v>1.3775047412552699E-3</v>
      </c>
      <c r="R3453" s="12" t="str">
        <f ca="1">IFERROR(__xludf.DUMMYFUNCTION("""COMPUTED_VALUE"""),"Super ")</f>
        <v>Super </v>
      </c>
      <c r="S3453" s="12">
        <f t="shared" si="115"/>
        <v>-37024351</v>
      </c>
    </row>
    <row r="3454" spans="1:19" x14ac:dyDescent="0.3">
      <c r="A3454" s="2" t="s">
        <v>4537</v>
      </c>
      <c r="B3454" s="2">
        <v>90</v>
      </c>
      <c r="C3454" s="3">
        <v>3014541</v>
      </c>
      <c r="D3454" s="3" t="s">
        <v>6467</v>
      </c>
      <c r="E3454" s="2" t="s">
        <v>4538</v>
      </c>
      <c r="F3454" s="2" t="s">
        <v>10</v>
      </c>
      <c r="G3454" s="2" t="s">
        <v>11</v>
      </c>
      <c r="H3454" s="2">
        <v>6000000</v>
      </c>
      <c r="I3454" s="2">
        <v>5.7</v>
      </c>
      <c r="J3454" s="3">
        <v>109176215</v>
      </c>
      <c r="K3454">
        <f t="shared" si="114"/>
        <v>1.3775047412552699E-3</v>
      </c>
      <c r="R3454" s="12" t="str">
        <f ca="1">IFERROR(__xludf.DUMMYFUNCTION("""COMPUTED_VALUE"""),"Get on the Bus ")</f>
        <v>Get on the Bus </v>
      </c>
      <c r="S3454" s="12">
        <f t="shared" si="115"/>
        <v>-25816338</v>
      </c>
    </row>
    <row r="3455" spans="1:19" x14ac:dyDescent="0.3">
      <c r="A3455" s="2" t="s">
        <v>3811</v>
      </c>
      <c r="B3455" s="2">
        <v>109</v>
      </c>
      <c r="C3455" s="3">
        <v>20981633</v>
      </c>
      <c r="D3455" s="3" t="s">
        <v>5940</v>
      </c>
      <c r="E3455" s="2" t="s">
        <v>3812</v>
      </c>
      <c r="F3455" s="2" t="s">
        <v>10</v>
      </c>
      <c r="G3455" s="2" t="s">
        <v>11</v>
      </c>
      <c r="H3455" s="2">
        <v>12000000</v>
      </c>
      <c r="I3455" s="2">
        <v>6.4</v>
      </c>
      <c r="J3455" s="3">
        <v>109243478</v>
      </c>
      <c r="K3455">
        <f t="shared" si="114"/>
        <v>1.3775047412552699E-3</v>
      </c>
      <c r="R3455" s="12" t="str">
        <f ca="1">IFERROR(__xludf.DUMMYFUNCTION("""COMPUTED_VALUE"""),"Thr3e ")</f>
        <v>Thr3e </v>
      </c>
      <c r="S3455" s="12">
        <f t="shared" si="115"/>
        <v>-111729741</v>
      </c>
    </row>
    <row r="3456" spans="1:19" x14ac:dyDescent="0.3">
      <c r="A3456" s="2" t="s">
        <v>522</v>
      </c>
      <c r="B3456" s="2">
        <v>94</v>
      </c>
      <c r="C3456" s="3">
        <v>40846082</v>
      </c>
      <c r="D3456" s="3" t="s">
        <v>5767</v>
      </c>
      <c r="E3456" s="2" t="s">
        <v>748</v>
      </c>
      <c r="F3456" s="2" t="s">
        <v>10</v>
      </c>
      <c r="G3456" s="2" t="s">
        <v>504</v>
      </c>
      <c r="H3456" s="2">
        <v>86000000</v>
      </c>
      <c r="I3456" s="2">
        <v>6</v>
      </c>
      <c r="J3456" s="3">
        <v>109306210</v>
      </c>
      <c r="K3456">
        <f t="shared" si="114"/>
        <v>1.3775047412552699E-3</v>
      </c>
      <c r="R3456" s="12" t="str">
        <f ca="1">IFERROR(__xludf.DUMMYFUNCTION("""COMPUTED_VALUE"""),"This Is England ")</f>
        <v>This Is England </v>
      </c>
      <c r="S3456" s="12">
        <f t="shared" si="115"/>
        <v>-2545595</v>
      </c>
    </row>
    <row r="3457" spans="1:19" x14ac:dyDescent="0.3">
      <c r="A3457" s="2" t="s">
        <v>1230</v>
      </c>
      <c r="B3457" s="2">
        <v>91</v>
      </c>
      <c r="C3457" s="3">
        <v>12831121</v>
      </c>
      <c r="D3457" s="3" t="s">
        <v>6041</v>
      </c>
      <c r="E3457" s="2" t="s">
        <v>1231</v>
      </c>
      <c r="F3457" s="2" t="s">
        <v>10</v>
      </c>
      <c r="G3457" s="2" t="s">
        <v>11</v>
      </c>
      <c r="H3457" s="2">
        <v>55000000</v>
      </c>
      <c r="I3457" s="2">
        <v>5.9</v>
      </c>
      <c r="J3457" s="3">
        <v>109712885</v>
      </c>
      <c r="K3457">
        <f t="shared" si="114"/>
        <v>1.3775047412552699E-3</v>
      </c>
      <c r="R3457" s="12" t="str">
        <f ca="1">IFERROR(__xludf.DUMMYFUNCTION("""COMPUTED_VALUE"""),"Go for It! ")</f>
        <v>Go for It! </v>
      </c>
      <c r="S3457" s="12">
        <f t="shared" si="115"/>
        <v>-123098874</v>
      </c>
    </row>
    <row r="3458" spans="1:19" x14ac:dyDescent="0.3">
      <c r="A3458" s="2" t="s">
        <v>1801</v>
      </c>
      <c r="B3458" s="2">
        <v>91</v>
      </c>
      <c r="C3458" s="3">
        <v>25031037</v>
      </c>
      <c r="D3458" s="3" t="s">
        <v>885</v>
      </c>
      <c r="E3458" s="2" t="s">
        <v>1802</v>
      </c>
      <c r="F3458" s="2" t="s">
        <v>10</v>
      </c>
      <c r="G3458" s="2" t="s">
        <v>11</v>
      </c>
      <c r="H3458" s="2">
        <v>30000000</v>
      </c>
      <c r="I3458" s="2">
        <v>4.8</v>
      </c>
      <c r="J3458" s="3">
        <v>109713132</v>
      </c>
      <c r="K3458">
        <f t="shared" ref="K3458:K3521" si="116">CORREL(H$2:H$3941,J$2:J$3941)</f>
        <v>1.3775047412552699E-3</v>
      </c>
      <c r="R3458" s="12" t="str">
        <f ca="1">IFERROR(__xludf.DUMMYFUNCTION("""COMPUTED_VALUE"""),"Fantasia ")</f>
        <v>Fantasia </v>
      </c>
      <c r="S3458" s="12">
        <f t="shared" si="115"/>
        <v>-4257739</v>
      </c>
    </row>
    <row r="3459" spans="1:19" x14ac:dyDescent="0.3">
      <c r="A3459" s="2" t="s">
        <v>540</v>
      </c>
      <c r="B3459" s="2">
        <v>111</v>
      </c>
      <c r="C3459" s="3">
        <v>830210</v>
      </c>
      <c r="D3459" s="3" t="s">
        <v>885</v>
      </c>
      <c r="E3459" s="2" t="s">
        <v>2596</v>
      </c>
      <c r="F3459" s="2" t="s">
        <v>10</v>
      </c>
      <c r="G3459" s="2" t="s">
        <v>11</v>
      </c>
      <c r="H3459" s="2">
        <v>25000000</v>
      </c>
      <c r="I3459" s="2">
        <v>6</v>
      </c>
      <c r="J3459" s="3">
        <v>109993847</v>
      </c>
      <c r="K3459">
        <f t="shared" si="116"/>
        <v>1.3775047412552699E-3</v>
      </c>
      <c r="R3459" s="12" t="str">
        <f ca="1">IFERROR(__xludf.DUMMYFUNCTION("""COMPUTED_VALUE"""),"Friday the 13th Part III ")</f>
        <v>Friday the 13th Part III </v>
      </c>
      <c r="S3459" s="12">
        <f t="shared" si="115"/>
        <v>-7717149</v>
      </c>
    </row>
    <row r="3460" spans="1:19" x14ac:dyDescent="0.3">
      <c r="A3460" s="2" t="s">
        <v>254</v>
      </c>
      <c r="B3460" s="2">
        <v>104</v>
      </c>
      <c r="C3460" s="3">
        <v>7268659</v>
      </c>
      <c r="D3460" s="3" t="s">
        <v>5940</v>
      </c>
      <c r="E3460" s="2" t="s">
        <v>2375</v>
      </c>
      <c r="F3460" s="2" t="s">
        <v>10</v>
      </c>
      <c r="G3460" s="2" t="s">
        <v>11</v>
      </c>
      <c r="H3460" s="2">
        <v>60000000</v>
      </c>
      <c r="I3460" s="2">
        <v>6.3</v>
      </c>
      <c r="J3460" s="3">
        <v>110000082</v>
      </c>
      <c r="K3460">
        <f t="shared" si="116"/>
        <v>1.3775047412552699E-3</v>
      </c>
      <c r="R3460" s="12" t="str">
        <f ca="1">IFERROR(__xludf.DUMMYFUNCTION("""COMPUTED_VALUE"""),"Friday the 13th: A New Beginning ")</f>
        <v>Friday the 13th: A New Beginning </v>
      </c>
      <c r="S3460" s="12">
        <f t="shared" si="115"/>
        <v>22478175</v>
      </c>
    </row>
    <row r="3461" spans="1:19" x14ac:dyDescent="0.3">
      <c r="A3461" s="2" t="s">
        <v>427</v>
      </c>
      <c r="B3461" s="2">
        <v>105</v>
      </c>
      <c r="C3461" s="3">
        <v>13560960</v>
      </c>
      <c r="D3461" s="3" t="s">
        <v>6207</v>
      </c>
      <c r="E3461" s="2" t="s">
        <v>1624</v>
      </c>
      <c r="F3461" s="2" t="s">
        <v>10</v>
      </c>
      <c r="G3461" s="2" t="s">
        <v>11</v>
      </c>
      <c r="H3461" s="2">
        <v>42000000</v>
      </c>
      <c r="I3461" s="2">
        <v>6.5</v>
      </c>
      <c r="J3461" s="3">
        <v>110008260</v>
      </c>
      <c r="K3461">
        <f t="shared" si="116"/>
        <v>1.3775047412552699E-3</v>
      </c>
      <c r="R3461" s="12" t="str">
        <f ca="1">IFERROR(__xludf.DUMMYFUNCTION("""COMPUTED_VALUE"""),"The Last Sin Eater ")</f>
        <v>The Last Sin Eater </v>
      </c>
      <c r="S3461" s="12">
        <f t="shared" si="115"/>
        <v>-25693303</v>
      </c>
    </row>
    <row r="3462" spans="1:19" x14ac:dyDescent="0.3">
      <c r="A3462" s="2" t="s">
        <v>2915</v>
      </c>
      <c r="B3462" s="2">
        <v>104</v>
      </c>
      <c r="C3462" s="3">
        <v>51533608</v>
      </c>
      <c r="D3462" s="3" t="s">
        <v>5778</v>
      </c>
      <c r="E3462" s="2" t="s">
        <v>2916</v>
      </c>
      <c r="F3462" s="2" t="s">
        <v>10</v>
      </c>
      <c r="G3462" s="2" t="s">
        <v>11</v>
      </c>
      <c r="H3462" s="2">
        <v>20000000</v>
      </c>
      <c r="I3462" s="2">
        <v>7.5</v>
      </c>
      <c r="J3462" s="3">
        <v>110175871</v>
      </c>
      <c r="K3462">
        <f t="shared" si="116"/>
        <v>1.3775047412552699E-3</v>
      </c>
      <c r="R3462" s="12" t="str">
        <f ca="1">IFERROR(__xludf.DUMMYFUNCTION("""COMPUTED_VALUE"""),"Do You Believe? ")</f>
        <v>Do You Believe? </v>
      </c>
      <c r="S3462" s="12">
        <f t="shared" si="115"/>
        <v>-8022998</v>
      </c>
    </row>
    <row r="3463" spans="1:19" x14ac:dyDescent="0.3">
      <c r="A3463" s="2" t="s">
        <v>2713</v>
      </c>
      <c r="B3463" s="2">
        <v>129</v>
      </c>
      <c r="C3463" s="3">
        <v>20966644</v>
      </c>
      <c r="D3463" s="3" t="s">
        <v>5910</v>
      </c>
      <c r="E3463" s="2" t="s">
        <v>3305</v>
      </c>
      <c r="F3463" s="2" t="s">
        <v>10</v>
      </c>
      <c r="G3463" s="2" t="s">
        <v>11</v>
      </c>
      <c r="H3463" s="2">
        <v>16000000</v>
      </c>
      <c r="I3463" s="2">
        <v>7.8</v>
      </c>
      <c r="J3463" s="3">
        <v>110222438</v>
      </c>
      <c r="K3463">
        <f t="shared" si="116"/>
        <v>1.3775047412552699E-3</v>
      </c>
      <c r="R3463" s="12" t="str">
        <f ca="1">IFERROR(__xludf.DUMMYFUNCTION("""COMPUTED_VALUE"""),"The Best Years of Our Lives ")</f>
        <v>The Best Years of Our Lives </v>
      </c>
      <c r="S3463" s="12">
        <f t="shared" si="115"/>
        <v>-1574831</v>
      </c>
    </row>
    <row r="3464" spans="1:19" x14ac:dyDescent="0.3">
      <c r="A3464" s="2" t="s">
        <v>3040</v>
      </c>
      <c r="B3464" s="2">
        <v>150</v>
      </c>
      <c r="C3464" s="3">
        <v>74205</v>
      </c>
      <c r="D3464" s="3" t="s">
        <v>5869</v>
      </c>
      <c r="E3464" s="2" t="s">
        <v>3632</v>
      </c>
      <c r="F3464" s="2" t="s">
        <v>10</v>
      </c>
      <c r="G3464" s="2" t="s">
        <v>16</v>
      </c>
      <c r="H3464" s="2">
        <v>8200000</v>
      </c>
      <c r="I3464" s="2">
        <v>6.8</v>
      </c>
      <c r="J3464" s="3">
        <v>110332737</v>
      </c>
      <c r="K3464">
        <f t="shared" si="116"/>
        <v>1.3775047412552699E-3</v>
      </c>
      <c r="R3464" s="12" t="str">
        <f ca="1">IFERROR(__xludf.DUMMYFUNCTION("""COMPUTED_VALUE"""),"Elling ")</f>
        <v>Elling </v>
      </c>
      <c r="S3464" s="12">
        <f t="shared" si="115"/>
        <v>-60360758</v>
      </c>
    </row>
    <row r="3465" spans="1:19" x14ac:dyDescent="0.3">
      <c r="A3465" s="2" t="s">
        <v>2540</v>
      </c>
      <c r="B3465" s="2">
        <v>113</v>
      </c>
      <c r="C3465" s="3">
        <v>424760</v>
      </c>
      <c r="D3465" s="3" t="s">
        <v>5973</v>
      </c>
      <c r="E3465" s="2" t="s">
        <v>3398</v>
      </c>
      <c r="F3465" s="2" t="s">
        <v>10</v>
      </c>
      <c r="G3465" s="2" t="s">
        <v>11</v>
      </c>
      <c r="H3465" s="2">
        <v>15000000</v>
      </c>
      <c r="I3465" s="2">
        <v>5.6</v>
      </c>
      <c r="J3465" s="3">
        <v>110416702</v>
      </c>
      <c r="K3465">
        <f t="shared" si="116"/>
        <v>1.3775047412552699E-3</v>
      </c>
      <c r="R3465" s="12" t="str">
        <f ca="1">IFERROR(__xludf.DUMMYFUNCTION("""COMPUTED_VALUE"""),"Mi America ")</f>
        <v>Mi America </v>
      </c>
      <c r="S3465" s="12">
        <f t="shared" si="115"/>
        <v>-69915039</v>
      </c>
    </row>
    <row r="3466" spans="1:19" x14ac:dyDescent="0.3">
      <c r="A3466" s="2" t="s">
        <v>5689</v>
      </c>
      <c r="B3466" s="2">
        <v>98</v>
      </c>
      <c r="C3466" s="3">
        <v>5132655</v>
      </c>
      <c r="D3466" s="3" t="s">
        <v>5849</v>
      </c>
      <c r="E3466" s="2" t="s">
        <v>5690</v>
      </c>
      <c r="F3466" s="2" t="s">
        <v>10</v>
      </c>
      <c r="G3466" s="2" t="s">
        <v>11</v>
      </c>
      <c r="H3466" s="3">
        <v>474544677</v>
      </c>
      <c r="I3466" s="2">
        <v>6.3</v>
      </c>
      <c r="J3466" s="3">
        <v>110476776</v>
      </c>
      <c r="K3466">
        <f t="shared" si="116"/>
        <v>1.3775047412552699E-3</v>
      </c>
      <c r="R3466" s="12" t="str">
        <f ca="1">IFERROR(__xludf.DUMMYFUNCTION("""COMPUTED_VALUE"""),"From Russia with Love ")</f>
        <v>From Russia with Love </v>
      </c>
      <c r="S3466" s="12">
        <f t="shared" si="115"/>
        <v>-51726580</v>
      </c>
    </row>
    <row r="3467" spans="1:19" x14ac:dyDescent="0.3">
      <c r="A3467" s="2" t="s">
        <v>1185</v>
      </c>
      <c r="B3467" s="2">
        <v>96</v>
      </c>
      <c r="C3467" s="3">
        <v>75078</v>
      </c>
      <c r="D3467" s="3" t="s">
        <v>6468</v>
      </c>
      <c r="E3467" s="2" t="s">
        <v>1336</v>
      </c>
      <c r="F3467" s="2" t="s">
        <v>10</v>
      </c>
      <c r="G3467" s="2" t="s">
        <v>11</v>
      </c>
      <c r="H3467" s="2">
        <v>50000000</v>
      </c>
      <c r="I3467" s="2">
        <v>6.1</v>
      </c>
      <c r="J3467" s="3">
        <v>111110575</v>
      </c>
      <c r="K3467">
        <f t="shared" si="116"/>
        <v>1.3775047412552699E-3</v>
      </c>
      <c r="R3467" s="12" t="str">
        <f ca="1">IFERROR(__xludf.DUMMYFUNCTION("""COMPUTED_VALUE"""),"The Toxic Avenger Part II ")</f>
        <v>The Toxic Avenger Part II </v>
      </c>
      <c r="S3467" s="12">
        <f t="shared" si="115"/>
        <v>112495848</v>
      </c>
    </row>
    <row r="3468" spans="1:19" x14ac:dyDescent="0.3">
      <c r="A3468" s="2" t="s">
        <v>1185</v>
      </c>
      <c r="B3468" s="2">
        <v>116</v>
      </c>
      <c r="C3468" s="3">
        <v>64359</v>
      </c>
      <c r="D3468" s="3" t="s">
        <v>5814</v>
      </c>
      <c r="E3468" s="2" t="s">
        <v>1715</v>
      </c>
      <c r="F3468" s="2" t="s">
        <v>10</v>
      </c>
      <c r="G3468" s="2" t="s">
        <v>11</v>
      </c>
      <c r="H3468" s="2">
        <v>42000000</v>
      </c>
      <c r="I3468" s="2">
        <v>6.3</v>
      </c>
      <c r="J3468" s="3">
        <v>111505642</v>
      </c>
      <c r="K3468">
        <f t="shared" si="116"/>
        <v>1.3775047412552699E-3</v>
      </c>
      <c r="R3468" s="12" t="str">
        <f ca="1">IFERROR(__xludf.DUMMYFUNCTION("""COMPUTED_VALUE"""),"It Follows ")</f>
        <v>It Follows </v>
      </c>
      <c r="S3468" s="12">
        <f t="shared" si="115"/>
        <v>29889948</v>
      </c>
    </row>
    <row r="3469" spans="1:19" x14ac:dyDescent="0.3">
      <c r="A3469" s="2" t="s">
        <v>3834</v>
      </c>
      <c r="B3469" s="2">
        <v>95</v>
      </c>
      <c r="C3469" s="3">
        <v>594904</v>
      </c>
      <c r="D3469" s="3" t="s">
        <v>6469</v>
      </c>
      <c r="E3469" s="2" t="s">
        <v>3835</v>
      </c>
      <c r="F3469" s="2" t="s">
        <v>10</v>
      </c>
      <c r="G3469" s="2" t="s">
        <v>98</v>
      </c>
      <c r="H3469" s="2">
        <v>8000000</v>
      </c>
      <c r="I3469" s="2">
        <v>5.9</v>
      </c>
      <c r="J3469" s="3">
        <v>111544445</v>
      </c>
      <c r="K3469">
        <f t="shared" si="116"/>
        <v>1.3775047412552699E-3</v>
      </c>
      <c r="R3469" s="12" t="str">
        <f ca="1">IFERROR(__xludf.DUMMYFUNCTION("""COMPUTED_VALUE"""),"Mad Max 2: The Road Warrior ")</f>
        <v>Mad Max 2: The Road Warrior </v>
      </c>
      <c r="S3469" s="12">
        <f t="shared" si="115"/>
        <v>-17130631</v>
      </c>
    </row>
    <row r="3470" spans="1:19" x14ac:dyDescent="0.3">
      <c r="A3470" s="2" t="s">
        <v>292</v>
      </c>
      <c r="B3470" s="2">
        <v>128</v>
      </c>
      <c r="C3470" s="3">
        <v>49392095</v>
      </c>
      <c r="D3470" s="3" t="s">
        <v>5767</v>
      </c>
      <c r="E3470" s="2" t="s">
        <v>2516</v>
      </c>
      <c r="F3470" s="2" t="s">
        <v>10</v>
      </c>
      <c r="G3470" s="2" t="s">
        <v>11</v>
      </c>
      <c r="H3470" s="2">
        <v>28000000</v>
      </c>
      <c r="I3470" s="2">
        <v>6.2</v>
      </c>
      <c r="J3470" s="3">
        <v>111722000</v>
      </c>
      <c r="K3470">
        <f t="shared" si="116"/>
        <v>1.3775047412552699E-3</v>
      </c>
      <c r="R3470" s="12" t="str">
        <f ca="1">IFERROR(__xludf.DUMMYFUNCTION("""COMPUTED_VALUE"""),"The Legend of Drunken Master ")</f>
        <v>The Legend of Drunken Master </v>
      </c>
      <c r="S3470" s="12">
        <f t="shared" si="115"/>
        <v>4430798</v>
      </c>
    </row>
    <row r="3471" spans="1:19" x14ac:dyDescent="0.3">
      <c r="A3471" s="2" t="s">
        <v>3453</v>
      </c>
      <c r="B3471" s="2">
        <v>103</v>
      </c>
      <c r="C3471" s="3">
        <v>9528092</v>
      </c>
      <c r="D3471" s="3" t="s">
        <v>6470</v>
      </c>
      <c r="E3471" s="2" t="s">
        <v>3454</v>
      </c>
      <c r="F3471" s="2" t="s">
        <v>10</v>
      </c>
      <c r="G3471" s="2" t="s">
        <v>11</v>
      </c>
      <c r="H3471" s="2">
        <v>15000000</v>
      </c>
      <c r="I3471" s="2">
        <v>6.7</v>
      </c>
      <c r="J3471" s="3">
        <v>111760631</v>
      </c>
      <c r="K3471">
        <f t="shared" si="116"/>
        <v>1.3775047412552699E-3</v>
      </c>
      <c r="R3471" s="12" t="str">
        <f ca="1">IFERROR(__xludf.DUMMYFUNCTION("""COMPUTED_VALUE"""),"Boys Don't Cry ")</f>
        <v>Boys Don't Cry </v>
      </c>
      <c r="S3471" s="12">
        <f t="shared" si="115"/>
        <v>-123300316</v>
      </c>
    </row>
    <row r="3472" spans="1:19" x14ac:dyDescent="0.3">
      <c r="A3472" s="2" t="s">
        <v>1960</v>
      </c>
      <c r="B3472" s="2">
        <v>107</v>
      </c>
      <c r="C3472" s="3">
        <v>37442180</v>
      </c>
      <c r="D3472" s="3" t="s">
        <v>6471</v>
      </c>
      <c r="E3472" s="2" t="s">
        <v>3084</v>
      </c>
      <c r="F3472" s="2" t="s">
        <v>10</v>
      </c>
      <c r="G3472" s="2" t="s">
        <v>11</v>
      </c>
      <c r="H3472" s="2">
        <v>20000000</v>
      </c>
      <c r="I3472" s="2">
        <v>5.0999999999999996</v>
      </c>
      <c r="J3472" s="3">
        <v>111936400</v>
      </c>
      <c r="K3472">
        <f t="shared" si="116"/>
        <v>1.3775047412552699E-3</v>
      </c>
      <c r="R3472" s="12" t="str">
        <f ca="1">IFERROR(__xludf.DUMMYFUNCTION("""COMPUTED_VALUE"""),"Silent House ")</f>
        <v>Silent House </v>
      </c>
      <c r="S3472" s="12">
        <f t="shared" si="115"/>
        <v>10684352</v>
      </c>
    </row>
    <row r="3473" spans="1:19" x14ac:dyDescent="0.3">
      <c r="A3473" s="2" t="s">
        <v>5646</v>
      </c>
      <c r="B3473" s="2">
        <v>97</v>
      </c>
      <c r="C3473" s="3">
        <v>83640426</v>
      </c>
      <c r="D3473" s="3" t="s">
        <v>520</v>
      </c>
      <c r="E3473" s="2" t="s">
        <v>5647</v>
      </c>
      <c r="F3473" s="2" t="s">
        <v>10</v>
      </c>
      <c r="G3473" s="2" t="s">
        <v>16</v>
      </c>
      <c r="H3473" s="2">
        <v>7830000</v>
      </c>
      <c r="I3473" s="2">
        <v>7.7</v>
      </c>
      <c r="J3473" s="3">
        <v>112000000</v>
      </c>
      <c r="K3473">
        <f t="shared" si="116"/>
        <v>1.3775047412552699E-3</v>
      </c>
      <c r="R3473" s="12" t="str">
        <f ca="1">IFERROR(__xludf.DUMMYFUNCTION("""COMPUTED_VALUE"""),"The Lives of Others ")</f>
        <v>The Lives of Others </v>
      </c>
      <c r="S3473" s="12">
        <f t="shared" si="115"/>
        <v>-3468825</v>
      </c>
    </row>
    <row r="3474" spans="1:19" x14ac:dyDescent="0.3">
      <c r="A3474" s="2" t="s">
        <v>4308</v>
      </c>
      <c r="B3474" s="2">
        <v>105</v>
      </c>
      <c r="C3474" s="3">
        <v>819939</v>
      </c>
      <c r="D3474" s="3" t="s">
        <v>5940</v>
      </c>
      <c r="E3474" s="2" t="s">
        <v>5226</v>
      </c>
      <c r="F3474" s="2" t="s">
        <v>4208</v>
      </c>
      <c r="G3474" s="2" t="s">
        <v>2058</v>
      </c>
      <c r="H3474" s="2">
        <v>1300000</v>
      </c>
      <c r="I3474" s="2">
        <v>8.1</v>
      </c>
      <c r="J3474" s="3">
        <v>112225777</v>
      </c>
      <c r="K3474">
        <f t="shared" si="116"/>
        <v>1.3775047412552699E-3</v>
      </c>
      <c r="R3474" s="12" t="str">
        <f ca="1">IFERROR(__xludf.DUMMYFUNCTION("""COMPUTED_VALUE"""),"Courageous ")</f>
        <v>Courageous </v>
      </c>
      <c r="S3474" s="12">
        <f t="shared" si="115"/>
        <v>-42666024</v>
      </c>
    </row>
    <row r="3475" spans="1:19" x14ac:dyDescent="0.3">
      <c r="A3475" s="2" t="s">
        <v>972</v>
      </c>
      <c r="B3475" s="2">
        <v>82</v>
      </c>
      <c r="C3475" s="3">
        <v>13383737</v>
      </c>
      <c r="D3475" s="3" t="s">
        <v>6472</v>
      </c>
      <c r="E3475" s="2" t="s">
        <v>3131</v>
      </c>
      <c r="F3475" s="2" t="s">
        <v>10</v>
      </c>
      <c r="G3475" s="2" t="s">
        <v>11</v>
      </c>
      <c r="H3475" s="2">
        <v>18000000</v>
      </c>
      <c r="I3475" s="2">
        <v>7.3</v>
      </c>
      <c r="J3475" s="3">
        <v>112692062</v>
      </c>
      <c r="K3475">
        <f t="shared" si="116"/>
        <v>1.3775047412552699E-3</v>
      </c>
      <c r="R3475" s="12" t="str">
        <f ca="1">IFERROR(__xludf.DUMMYFUNCTION("""COMPUTED_VALUE"""),"The Triplets of Belleville ")</f>
        <v>The Triplets of Belleville </v>
      </c>
      <c r="S3475" s="12">
        <f t="shared" si="115"/>
        <v>-35410125</v>
      </c>
    </row>
    <row r="3476" spans="1:19" x14ac:dyDescent="0.3">
      <c r="A3476" s="2" t="s">
        <v>316</v>
      </c>
      <c r="B3476" s="2">
        <v>118</v>
      </c>
      <c r="C3476" s="3">
        <v>598645</v>
      </c>
      <c r="D3476" s="3" t="s">
        <v>5940</v>
      </c>
      <c r="E3476" s="2" t="s">
        <v>1470</v>
      </c>
      <c r="F3476" s="2" t="s">
        <v>10</v>
      </c>
      <c r="G3476" s="2" t="s">
        <v>11</v>
      </c>
      <c r="H3476" s="2">
        <v>48000000</v>
      </c>
      <c r="I3476" s="2">
        <v>6.7</v>
      </c>
      <c r="J3476" s="3">
        <v>112703470</v>
      </c>
      <c r="K3476">
        <f t="shared" si="116"/>
        <v>1.3775047412552699E-3</v>
      </c>
      <c r="R3476" s="12" t="str">
        <f ca="1">IFERROR(__xludf.DUMMYFUNCTION("""COMPUTED_VALUE"""),"Smoke Signals ")</f>
        <v>Smoke Signals </v>
      </c>
      <c r="S3476" s="12">
        <f t="shared" si="115"/>
        <v>-2985459</v>
      </c>
    </row>
    <row r="3477" spans="1:19" x14ac:dyDescent="0.3">
      <c r="A3477" s="2" t="s">
        <v>228</v>
      </c>
      <c r="B3477" s="2">
        <v>101</v>
      </c>
      <c r="C3477" s="3">
        <v>1512815</v>
      </c>
      <c r="D3477" s="3" t="s">
        <v>885</v>
      </c>
      <c r="E3477" s="2" t="s">
        <v>390</v>
      </c>
      <c r="F3477" s="2" t="s">
        <v>10</v>
      </c>
      <c r="G3477" s="2" t="s">
        <v>11</v>
      </c>
      <c r="H3477" s="2">
        <v>125000000</v>
      </c>
      <c r="I3477" s="2">
        <v>5.9</v>
      </c>
      <c r="J3477" s="3">
        <v>112950721</v>
      </c>
      <c r="K3477">
        <f t="shared" si="116"/>
        <v>1.3775047412552699E-3</v>
      </c>
      <c r="R3477" s="12" t="str">
        <f ca="1">IFERROR(__xludf.DUMMYFUNCTION("""COMPUTED_VALUE"""),"Before Sunset ")</f>
        <v>Before Sunset </v>
      </c>
      <c r="S3477" s="12">
        <f t="shared" si="115"/>
        <v>8981633</v>
      </c>
    </row>
    <row r="3478" spans="1:19" x14ac:dyDescent="0.3">
      <c r="A3478" s="2" t="s">
        <v>1389</v>
      </c>
      <c r="B3478" s="2">
        <v>92</v>
      </c>
      <c r="C3478" s="3">
        <v>4231500</v>
      </c>
      <c r="D3478" s="3" t="s">
        <v>885</v>
      </c>
      <c r="E3478" s="2" t="s">
        <v>1752</v>
      </c>
      <c r="F3478" s="2" t="s">
        <v>10</v>
      </c>
      <c r="G3478" s="2" t="s">
        <v>11</v>
      </c>
      <c r="H3478" s="2">
        <v>40000000</v>
      </c>
      <c r="I3478" s="2">
        <v>5.9</v>
      </c>
      <c r="J3478" s="3">
        <v>113006880</v>
      </c>
      <c r="K3478">
        <f t="shared" si="116"/>
        <v>1.3775047412552699E-3</v>
      </c>
      <c r="R3478" s="12" t="str">
        <f ca="1">IFERROR(__xludf.DUMMYFUNCTION("""COMPUTED_VALUE"""),"Amores Perros ")</f>
        <v>Amores Perros </v>
      </c>
      <c r="S3478" s="12">
        <f t="shared" si="115"/>
        <v>-45153918</v>
      </c>
    </row>
    <row r="3479" spans="1:19" x14ac:dyDescent="0.3">
      <c r="A3479" s="2" t="s">
        <v>2764</v>
      </c>
      <c r="B3479" s="2">
        <v>111</v>
      </c>
      <c r="C3479" s="3">
        <v>124720</v>
      </c>
      <c r="D3479" s="3" t="s">
        <v>5767</v>
      </c>
      <c r="E3479" s="2" t="s">
        <v>2765</v>
      </c>
      <c r="F3479" s="2" t="s">
        <v>10</v>
      </c>
      <c r="G3479" s="2" t="s">
        <v>98</v>
      </c>
      <c r="H3479" s="2">
        <v>22500000</v>
      </c>
      <c r="I3479" s="2">
        <v>7.1</v>
      </c>
      <c r="J3479" s="3">
        <v>113165635</v>
      </c>
      <c r="K3479">
        <f t="shared" si="116"/>
        <v>1.3775047412552699E-3</v>
      </c>
      <c r="R3479" s="12" t="str">
        <f ca="1">IFERROR(__xludf.DUMMYFUNCTION("""COMPUTED_VALUE"""),"Thirteen ")</f>
        <v>Thirteen </v>
      </c>
      <c r="S3479" s="12">
        <f t="shared" si="115"/>
        <v>-42168879</v>
      </c>
    </row>
    <row r="3480" spans="1:19" x14ac:dyDescent="0.3">
      <c r="A3480" s="2" t="s">
        <v>304</v>
      </c>
      <c r="B3480" s="2">
        <v>123</v>
      </c>
      <c r="C3480" s="3">
        <v>175370</v>
      </c>
      <c r="D3480" s="3" t="s">
        <v>885</v>
      </c>
      <c r="E3480" s="2" t="s">
        <v>363</v>
      </c>
      <c r="F3480" s="2" t="s">
        <v>10</v>
      </c>
      <c r="G3480" s="2" t="s">
        <v>16</v>
      </c>
      <c r="H3480" s="2">
        <v>120000000</v>
      </c>
      <c r="I3480" s="2">
        <v>7.1</v>
      </c>
      <c r="J3480" s="3">
        <v>113330342</v>
      </c>
      <c r="K3480">
        <f t="shared" si="116"/>
        <v>1.3775047412552699E-3</v>
      </c>
      <c r="R3480" s="12" t="str">
        <f ca="1">IFERROR(__xludf.DUMMYFUNCTION("""COMPUTED_VALUE"""),"Winter's Bone ")</f>
        <v>Winter's Bone </v>
      </c>
      <c r="S3480" s="12">
        <f t="shared" si="115"/>
        <v>-4968963</v>
      </c>
    </row>
    <row r="3481" spans="1:19" x14ac:dyDescent="0.3">
      <c r="A3481" s="2" t="s">
        <v>4322</v>
      </c>
      <c r="B3481" s="2">
        <v>100</v>
      </c>
      <c r="C3481" s="3">
        <v>16671505</v>
      </c>
      <c r="D3481" s="3" t="s">
        <v>6406</v>
      </c>
      <c r="E3481" s="2" t="s">
        <v>5305</v>
      </c>
      <c r="F3481" s="2" t="s">
        <v>10</v>
      </c>
      <c r="G3481" s="2" t="s">
        <v>11</v>
      </c>
      <c r="H3481" s="2">
        <v>6000000</v>
      </c>
      <c r="I3481" s="2">
        <v>5.4</v>
      </c>
      <c r="J3481" s="3">
        <v>113502246</v>
      </c>
      <c r="K3481">
        <f t="shared" si="116"/>
        <v>1.3775047412552699E-3</v>
      </c>
      <c r="R3481" s="12" t="str">
        <f ca="1">IFERROR(__xludf.DUMMYFUNCTION("""COMPUTED_VALUE"""),"Me and You and Everyone We Know ")</f>
        <v>Me and You and Everyone We Know </v>
      </c>
      <c r="S3481" s="12">
        <f t="shared" ref="S3481:S3544" si="117">C3459-H3459</f>
        <v>-24169790</v>
      </c>
    </row>
    <row r="3482" spans="1:19" x14ac:dyDescent="0.3">
      <c r="A3482" s="2" t="s">
        <v>1078</v>
      </c>
      <c r="B3482" s="2">
        <v>90</v>
      </c>
      <c r="C3482" s="3">
        <v>64933670</v>
      </c>
      <c r="D3482" s="3" t="s">
        <v>6473</v>
      </c>
      <c r="E3482" s="2" t="s">
        <v>1175</v>
      </c>
      <c r="F3482" s="2" t="s">
        <v>10</v>
      </c>
      <c r="G3482" s="2" t="s">
        <v>11</v>
      </c>
      <c r="H3482" s="2">
        <v>60000000</v>
      </c>
      <c r="I3482" s="2">
        <v>3.6</v>
      </c>
      <c r="J3482" s="3">
        <v>113709992</v>
      </c>
      <c r="K3482">
        <f t="shared" si="116"/>
        <v>1.3775047412552699E-3</v>
      </c>
      <c r="R3482" s="12" t="str">
        <f ca="1">IFERROR(__xludf.DUMMYFUNCTION("""COMPUTED_VALUE"""),"We Are Your Friends ")</f>
        <v>We Are Your Friends </v>
      </c>
      <c r="S3482" s="12">
        <f t="shared" si="117"/>
        <v>-52731341</v>
      </c>
    </row>
    <row r="3483" spans="1:19" x14ac:dyDescent="0.3">
      <c r="A3483" s="2" t="s">
        <v>454</v>
      </c>
      <c r="B3483" s="2">
        <v>140</v>
      </c>
      <c r="C3483" s="3">
        <v>110536</v>
      </c>
      <c r="D3483" s="3" t="s">
        <v>6474</v>
      </c>
      <c r="E3483" s="2" t="s">
        <v>625</v>
      </c>
      <c r="F3483" s="2" t="s">
        <v>10</v>
      </c>
      <c r="G3483" s="2" t="s">
        <v>11</v>
      </c>
      <c r="H3483" s="2">
        <v>90000000</v>
      </c>
      <c r="I3483" s="2">
        <v>7.3</v>
      </c>
      <c r="J3483" s="3">
        <v>113733726</v>
      </c>
      <c r="K3483">
        <f t="shared" si="116"/>
        <v>1.3775047412552699E-3</v>
      </c>
      <c r="R3483" s="12" t="str">
        <f ca="1">IFERROR(__xludf.DUMMYFUNCTION("""COMPUTED_VALUE"""),"Harsh Times ")</f>
        <v>Harsh Times </v>
      </c>
      <c r="S3483" s="12">
        <f t="shared" si="117"/>
        <v>-28439040</v>
      </c>
    </row>
    <row r="3484" spans="1:19" x14ac:dyDescent="0.3">
      <c r="A3484" s="2" t="s">
        <v>2945</v>
      </c>
      <c r="B3484" s="2">
        <v>109</v>
      </c>
      <c r="C3484" s="3">
        <v>20186</v>
      </c>
      <c r="D3484" s="3" t="s">
        <v>5894</v>
      </c>
      <c r="E3484" s="2" t="s">
        <v>2946</v>
      </c>
      <c r="F3484" s="2" t="s">
        <v>10</v>
      </c>
      <c r="G3484" s="2" t="s">
        <v>2947</v>
      </c>
      <c r="H3484" s="2">
        <v>20000000</v>
      </c>
      <c r="I3484" s="2">
        <v>5.8</v>
      </c>
      <c r="J3484" s="3">
        <v>113745408</v>
      </c>
      <c r="K3484">
        <f t="shared" si="116"/>
        <v>1.3775047412552699E-3</v>
      </c>
      <c r="R3484" s="12" t="str">
        <f ca="1">IFERROR(__xludf.DUMMYFUNCTION("""COMPUTED_VALUE"""),"Captive ")</f>
        <v>Captive </v>
      </c>
      <c r="S3484" s="12">
        <f t="shared" si="117"/>
        <v>31533608</v>
      </c>
    </row>
    <row r="3485" spans="1:19" x14ac:dyDescent="0.3">
      <c r="A3485" s="2" t="s">
        <v>1979</v>
      </c>
      <c r="B3485" s="2">
        <v>120</v>
      </c>
      <c r="C3485" s="3">
        <v>52850</v>
      </c>
      <c r="D3485" s="3" t="s">
        <v>6102</v>
      </c>
      <c r="E3485" s="2" t="s">
        <v>1980</v>
      </c>
      <c r="F3485" s="2" t="s">
        <v>10</v>
      </c>
      <c r="G3485" s="2" t="s">
        <v>11</v>
      </c>
      <c r="H3485" s="2">
        <v>10700000</v>
      </c>
      <c r="I3485" s="2">
        <v>7.4</v>
      </c>
      <c r="J3485" s="3">
        <v>114053579</v>
      </c>
      <c r="K3485">
        <f t="shared" si="116"/>
        <v>1.3775047412552699E-3</v>
      </c>
      <c r="R3485" s="12" t="str">
        <f ca="1">IFERROR(__xludf.DUMMYFUNCTION("""COMPUTED_VALUE"""),"Full Frontal ")</f>
        <v>Full Frontal </v>
      </c>
      <c r="S3485" s="12">
        <f t="shared" si="117"/>
        <v>4966644</v>
      </c>
    </row>
    <row r="3486" spans="1:19" x14ac:dyDescent="0.3">
      <c r="A3486" s="2" t="s">
        <v>4757</v>
      </c>
      <c r="B3486" s="2">
        <v>133</v>
      </c>
      <c r="C3486" s="3">
        <v>1602466</v>
      </c>
      <c r="D3486" s="3" t="s">
        <v>5892</v>
      </c>
      <c r="E3486" s="2" t="s">
        <v>4758</v>
      </c>
      <c r="F3486" s="2" t="s">
        <v>3944</v>
      </c>
      <c r="G3486" s="2" t="s">
        <v>1845</v>
      </c>
      <c r="H3486" s="2">
        <v>150000000</v>
      </c>
      <c r="I3486" s="2">
        <v>7.2</v>
      </c>
      <c r="J3486" s="3">
        <v>114195633</v>
      </c>
      <c r="K3486">
        <f t="shared" si="116"/>
        <v>1.3775047412552699E-3</v>
      </c>
      <c r="R3486" s="12" t="str">
        <f ca="1">IFERROR(__xludf.DUMMYFUNCTION("""COMPUTED_VALUE"""),"Witchboard ")</f>
        <v>Witchboard </v>
      </c>
      <c r="S3486" s="12">
        <f t="shared" si="117"/>
        <v>-8125795</v>
      </c>
    </row>
    <row r="3487" spans="1:19" x14ac:dyDescent="0.3">
      <c r="A3487" s="2" t="s">
        <v>479</v>
      </c>
      <c r="B3487" s="2">
        <v>99</v>
      </c>
      <c r="C3487" s="3">
        <v>16667084</v>
      </c>
      <c r="D3487" s="3" t="s">
        <v>885</v>
      </c>
      <c r="E3487" s="2" t="s">
        <v>2390</v>
      </c>
      <c r="F3487" s="2" t="s">
        <v>10</v>
      </c>
      <c r="G3487" s="2" t="s">
        <v>71</v>
      </c>
      <c r="H3487" s="2">
        <v>27000000</v>
      </c>
      <c r="I3487" s="2">
        <v>5.8</v>
      </c>
      <c r="J3487" s="3">
        <v>114324072</v>
      </c>
      <c r="K3487">
        <f t="shared" si="116"/>
        <v>1.3775047412552699E-3</v>
      </c>
      <c r="R3487" s="12" t="str">
        <f ca="1">IFERROR(__xludf.DUMMYFUNCTION("""COMPUTED_VALUE"""),"Shortbus ")</f>
        <v>Shortbus </v>
      </c>
      <c r="S3487" s="12">
        <f t="shared" si="117"/>
        <v>-14575240</v>
      </c>
    </row>
    <row r="3488" spans="1:19" x14ac:dyDescent="0.3">
      <c r="A3488" s="2" t="s">
        <v>1931</v>
      </c>
      <c r="B3488" s="2">
        <v>105</v>
      </c>
      <c r="C3488" s="2">
        <v>2126511</v>
      </c>
      <c r="D3488" s="3" t="s">
        <v>6475</v>
      </c>
      <c r="E3488" s="2" t="s">
        <v>1932</v>
      </c>
      <c r="F3488" s="2" t="s">
        <v>1933</v>
      </c>
      <c r="G3488" s="2" t="s">
        <v>1008</v>
      </c>
      <c r="H3488" s="2">
        <v>36000000</v>
      </c>
      <c r="I3488" s="2">
        <v>7.2</v>
      </c>
      <c r="J3488" s="3">
        <v>114968774</v>
      </c>
      <c r="K3488">
        <f t="shared" si="116"/>
        <v>1.3775047412552699E-3</v>
      </c>
      <c r="R3488" s="12" t="str">
        <f ca="1">IFERROR(__xludf.DUMMYFUNCTION("""COMPUTED_VALUE"""),"Waltz with Bashir ")</f>
        <v>Waltz with Bashir </v>
      </c>
      <c r="S3488" s="12">
        <f t="shared" si="117"/>
        <v>-469412022</v>
      </c>
    </row>
    <row r="3489" spans="1:19" x14ac:dyDescent="0.3">
      <c r="A3489" s="2" t="s">
        <v>810</v>
      </c>
      <c r="B3489" s="2">
        <v>109</v>
      </c>
      <c r="C3489" s="3">
        <v>142614158</v>
      </c>
      <c r="D3489" s="3" t="s">
        <v>885</v>
      </c>
      <c r="E3489" s="2" t="s">
        <v>3170</v>
      </c>
      <c r="F3489" s="2" t="s">
        <v>10</v>
      </c>
      <c r="G3489" s="2" t="s">
        <v>11</v>
      </c>
      <c r="H3489" s="2">
        <v>18000000</v>
      </c>
      <c r="I3489" s="2">
        <v>6.8</v>
      </c>
      <c r="J3489" s="3">
        <v>115000000</v>
      </c>
      <c r="K3489">
        <f t="shared" si="116"/>
        <v>1.3775047412552699E-3</v>
      </c>
      <c r="R3489" s="12" t="str">
        <f ca="1">IFERROR(__xludf.DUMMYFUNCTION("""COMPUTED_VALUE"""),"The Book of Mormon Movie, Volume 1: The Journey ")</f>
        <v>The Book of Mormon Movie, Volume 1: The Journey </v>
      </c>
      <c r="S3489" s="12">
        <f t="shared" si="117"/>
        <v>-49924922</v>
      </c>
    </row>
    <row r="3490" spans="1:19" x14ac:dyDescent="0.3">
      <c r="A3490" s="2" t="s">
        <v>3056</v>
      </c>
      <c r="B3490" s="2">
        <v>107</v>
      </c>
      <c r="C3490" s="3">
        <v>2300000</v>
      </c>
      <c r="D3490" s="3" t="s">
        <v>6062</v>
      </c>
      <c r="E3490" s="2" t="s">
        <v>3640</v>
      </c>
      <c r="F3490" s="2" t="s">
        <v>10</v>
      </c>
      <c r="G3490" s="2" t="s">
        <v>11</v>
      </c>
      <c r="H3490" s="2">
        <v>13500000</v>
      </c>
      <c r="I3490" s="2">
        <v>7.4</v>
      </c>
      <c r="J3490" s="3">
        <v>115603980</v>
      </c>
      <c r="K3490">
        <f t="shared" si="116"/>
        <v>1.3775047412552699E-3</v>
      </c>
      <c r="R3490" s="12" t="str">
        <f ca="1">IFERROR(__xludf.DUMMYFUNCTION("""COMPUTED_VALUE"""),"No End in Sight ")</f>
        <v>No End in Sight </v>
      </c>
      <c r="S3490" s="12">
        <f t="shared" si="117"/>
        <v>-41935641</v>
      </c>
    </row>
    <row r="3491" spans="1:19" x14ac:dyDescent="0.3">
      <c r="A3491" s="2" t="s">
        <v>59</v>
      </c>
      <c r="B3491" s="2">
        <v>104</v>
      </c>
      <c r="C3491" s="3">
        <v>16800000</v>
      </c>
      <c r="D3491" s="3" t="s">
        <v>5767</v>
      </c>
      <c r="E3491" s="2" t="s">
        <v>634</v>
      </c>
      <c r="F3491" s="2" t="s">
        <v>10</v>
      </c>
      <c r="G3491" s="2" t="s">
        <v>11</v>
      </c>
      <c r="H3491" s="2">
        <v>85000000</v>
      </c>
      <c r="I3491" s="2">
        <v>6.7</v>
      </c>
      <c r="J3491" s="3">
        <v>115646235</v>
      </c>
      <c r="K3491">
        <f t="shared" si="116"/>
        <v>1.3775047412552699E-3</v>
      </c>
      <c r="R3491" s="12" t="str">
        <f ca="1">IFERROR(__xludf.DUMMYFUNCTION("""COMPUTED_VALUE"""),"The Diary of a Teenage Girl ")</f>
        <v>The Diary of a Teenage Girl </v>
      </c>
      <c r="S3491" s="12">
        <f t="shared" si="117"/>
        <v>-7405096</v>
      </c>
    </row>
    <row r="3492" spans="1:19" x14ac:dyDescent="0.3">
      <c r="A3492" s="2" t="s">
        <v>3842</v>
      </c>
      <c r="B3492" s="2">
        <v>113</v>
      </c>
      <c r="C3492" s="3">
        <v>16640210</v>
      </c>
      <c r="D3492" s="3" t="s">
        <v>6102</v>
      </c>
      <c r="E3492" s="2" t="s">
        <v>3843</v>
      </c>
      <c r="F3492" s="2" t="s">
        <v>10</v>
      </c>
      <c r="G3492" s="2" t="s">
        <v>98</v>
      </c>
      <c r="H3492" s="2">
        <v>12000000</v>
      </c>
      <c r="I3492" s="2">
        <v>5.3</v>
      </c>
      <c r="J3492" s="3">
        <v>115648585</v>
      </c>
      <c r="K3492">
        <f t="shared" si="116"/>
        <v>1.3775047412552699E-3</v>
      </c>
      <c r="R3492" s="12" t="str">
        <f ca="1">IFERROR(__xludf.DUMMYFUNCTION("""COMPUTED_VALUE"""),"In the Shadow of the Moon ")</f>
        <v>In the Shadow of the Moon </v>
      </c>
      <c r="S3492" s="12">
        <f t="shared" si="117"/>
        <v>21392095</v>
      </c>
    </row>
    <row r="3493" spans="1:19" x14ac:dyDescent="0.3">
      <c r="A3493" s="2" t="s">
        <v>4027</v>
      </c>
      <c r="B3493" s="2">
        <v>84</v>
      </c>
      <c r="C3493" s="3">
        <v>2268296</v>
      </c>
      <c r="D3493" s="3" t="s">
        <v>6144</v>
      </c>
      <c r="E3493" s="2" t="s">
        <v>4028</v>
      </c>
      <c r="F3493" s="2" t="s">
        <v>10</v>
      </c>
      <c r="G3493" s="2" t="s">
        <v>11</v>
      </c>
      <c r="H3493" s="2">
        <v>10000000</v>
      </c>
      <c r="I3493" s="2">
        <v>5.9</v>
      </c>
      <c r="J3493" s="3">
        <v>115731542</v>
      </c>
      <c r="K3493">
        <f t="shared" si="116"/>
        <v>1.3775047412552699E-3</v>
      </c>
      <c r="R3493" s="12" t="str">
        <f ca="1">IFERROR(__xludf.DUMMYFUNCTION("""COMPUTED_VALUE"""),"Inside Deep Throat ")</f>
        <v>Inside Deep Throat </v>
      </c>
      <c r="S3493" s="12">
        <f t="shared" si="117"/>
        <v>-5471908</v>
      </c>
    </row>
    <row r="3494" spans="1:19" x14ac:dyDescent="0.3">
      <c r="A3494" s="2" t="s">
        <v>2651</v>
      </c>
      <c r="B3494" s="2">
        <v>100</v>
      </c>
      <c r="C3494" s="3">
        <v>129115</v>
      </c>
      <c r="D3494" s="3" t="s">
        <v>6440</v>
      </c>
      <c r="E3494" s="2" t="s">
        <v>2652</v>
      </c>
      <c r="F3494" s="2" t="s">
        <v>10</v>
      </c>
      <c r="G3494" s="2" t="s">
        <v>11</v>
      </c>
      <c r="H3494" s="2">
        <v>25000000</v>
      </c>
      <c r="I3494" s="2">
        <v>6.4</v>
      </c>
      <c r="J3494" s="3">
        <v>115802596</v>
      </c>
      <c r="K3494">
        <f t="shared" si="116"/>
        <v>1.3775047412552699E-3</v>
      </c>
      <c r="R3494" s="12" t="str">
        <f ca="1">IFERROR(__xludf.DUMMYFUNCTION("""COMPUTED_VALUE"""),"The Virginity Hit ")</f>
        <v>The Virginity Hit </v>
      </c>
      <c r="S3494" s="12">
        <f t="shared" si="117"/>
        <v>17442180</v>
      </c>
    </row>
    <row r="3495" spans="1:19" x14ac:dyDescent="0.3">
      <c r="A3495" s="2" t="s">
        <v>3514</v>
      </c>
      <c r="B3495" s="2">
        <v>94</v>
      </c>
      <c r="C3495" s="3">
        <v>8735529</v>
      </c>
      <c r="D3495" s="3" t="s">
        <v>6181</v>
      </c>
      <c r="E3495" s="2" t="s">
        <v>4720</v>
      </c>
      <c r="F3495" s="2" t="s">
        <v>10</v>
      </c>
      <c r="G3495" s="2" t="s">
        <v>16</v>
      </c>
      <c r="H3495" s="2">
        <v>2800000</v>
      </c>
      <c r="I3495" s="2">
        <v>6.8</v>
      </c>
      <c r="J3495" s="3">
        <v>116006080</v>
      </c>
      <c r="K3495">
        <f t="shared" si="116"/>
        <v>1.3775047412552699E-3</v>
      </c>
      <c r="R3495" s="12" t="str">
        <f ca="1">IFERROR(__xludf.DUMMYFUNCTION("""COMPUTED_VALUE"""),"House of D ")</f>
        <v>House of D </v>
      </c>
      <c r="S3495" s="12">
        <f t="shared" si="117"/>
        <v>75810426</v>
      </c>
    </row>
    <row r="3496" spans="1:19" x14ac:dyDescent="0.3">
      <c r="A3496" s="2" t="s">
        <v>666</v>
      </c>
      <c r="B3496" s="2">
        <v>94</v>
      </c>
      <c r="C3496" s="3">
        <v>11798</v>
      </c>
      <c r="D3496" s="3" t="s">
        <v>5894</v>
      </c>
      <c r="E3496" s="2" t="s">
        <v>3306</v>
      </c>
      <c r="F3496" s="2" t="s">
        <v>10</v>
      </c>
      <c r="G3496" s="2" t="s">
        <v>11</v>
      </c>
      <c r="H3496" s="2">
        <v>15600000</v>
      </c>
      <c r="I3496" s="2">
        <v>6.5</v>
      </c>
      <c r="J3496" s="3">
        <v>116593191</v>
      </c>
      <c r="K3496">
        <f t="shared" si="116"/>
        <v>1.3775047412552699E-3</v>
      </c>
      <c r="R3496" s="12" t="str">
        <f ca="1">IFERROR(__xludf.DUMMYFUNCTION("""COMPUTED_VALUE"""),"Six-String Samurai ")</f>
        <v>Six-String Samurai </v>
      </c>
      <c r="S3496" s="12">
        <f t="shared" si="117"/>
        <v>-480061</v>
      </c>
    </row>
    <row r="3497" spans="1:19" x14ac:dyDescent="0.3">
      <c r="A3497" s="2" t="s">
        <v>5152</v>
      </c>
      <c r="B3497" s="2">
        <v>90</v>
      </c>
      <c r="C3497" s="2"/>
      <c r="D3497" s="3" t="s">
        <v>6414</v>
      </c>
      <c r="E3497" s="2" t="s">
        <v>5153</v>
      </c>
      <c r="F3497" s="2" t="s">
        <v>10</v>
      </c>
      <c r="G3497" s="2" t="s">
        <v>71</v>
      </c>
      <c r="H3497" s="2">
        <v>1800000</v>
      </c>
      <c r="I3497" s="2">
        <v>3.4</v>
      </c>
      <c r="J3497" s="3">
        <v>116631310</v>
      </c>
      <c r="K3497">
        <f t="shared" si="116"/>
        <v>1.3775047412552699E-3</v>
      </c>
      <c r="R3497" s="12" t="str">
        <f ca="1">IFERROR(__xludf.DUMMYFUNCTION("""COMPUTED_VALUE"""),"Saint John of Las Vegas ")</f>
        <v>Saint John of Las Vegas </v>
      </c>
      <c r="S3497" s="12">
        <f t="shared" si="117"/>
        <v>-4616263</v>
      </c>
    </row>
    <row r="3498" spans="1:19" x14ac:dyDescent="0.3">
      <c r="A3498" s="2" t="s">
        <v>876</v>
      </c>
      <c r="B3498" s="2">
        <v>111</v>
      </c>
      <c r="C3498" s="3">
        <v>1697956</v>
      </c>
      <c r="D3498" s="3" t="s">
        <v>5894</v>
      </c>
      <c r="E3498" s="2" t="s">
        <v>1498</v>
      </c>
      <c r="F3498" s="2" t="s">
        <v>10</v>
      </c>
      <c r="G3498" s="2" t="s">
        <v>11</v>
      </c>
      <c r="H3498" s="2">
        <v>45000000</v>
      </c>
      <c r="I3498" s="2">
        <v>7.6</v>
      </c>
      <c r="J3498" s="3">
        <v>116643346</v>
      </c>
      <c r="K3498">
        <f t="shared" si="116"/>
        <v>1.3775047412552699E-3</v>
      </c>
      <c r="R3498" s="12" t="str">
        <f ca="1">IFERROR(__xludf.DUMMYFUNCTION("""COMPUTED_VALUE"""),"Stonewall ")</f>
        <v>Stonewall </v>
      </c>
      <c r="S3498" s="12">
        <f t="shared" si="117"/>
        <v>-47401355</v>
      </c>
    </row>
    <row r="3499" spans="1:19" x14ac:dyDescent="0.3">
      <c r="A3499" s="2" t="s">
        <v>2190</v>
      </c>
      <c r="B3499" s="2">
        <v>78</v>
      </c>
      <c r="C3499" s="3">
        <v>9180275</v>
      </c>
      <c r="D3499" s="3" t="s">
        <v>6163</v>
      </c>
      <c r="E3499" s="2" t="s">
        <v>2191</v>
      </c>
      <c r="F3499" s="2" t="s">
        <v>10</v>
      </c>
      <c r="G3499" s="2" t="s">
        <v>199</v>
      </c>
      <c r="H3499" s="2">
        <v>30000000</v>
      </c>
      <c r="I3499" s="2">
        <v>6.1</v>
      </c>
      <c r="J3499" s="3">
        <v>116724075</v>
      </c>
      <c r="K3499">
        <f t="shared" si="116"/>
        <v>1.3775047412552699E-3</v>
      </c>
      <c r="R3499" s="12" t="str">
        <f ca="1">IFERROR(__xludf.DUMMYFUNCTION("""COMPUTED_VALUE"""),"The Missing Person ")</f>
        <v>The Missing Person </v>
      </c>
      <c r="S3499" s="12">
        <f t="shared" si="117"/>
        <v>-123487185</v>
      </c>
    </row>
    <row r="3500" spans="1:19" x14ac:dyDescent="0.3">
      <c r="A3500" s="2" t="s">
        <v>65</v>
      </c>
      <c r="B3500" s="2">
        <v>195</v>
      </c>
      <c r="C3500" s="3">
        <v>9449219</v>
      </c>
      <c r="D3500" s="3" t="s">
        <v>6049</v>
      </c>
      <c r="E3500" s="2" t="s">
        <v>66</v>
      </c>
      <c r="F3500" s="2" t="s">
        <v>10</v>
      </c>
      <c r="G3500" s="2" t="s">
        <v>11</v>
      </c>
      <c r="H3500" s="2">
        <v>200000000</v>
      </c>
      <c r="I3500" s="2">
        <v>7.2</v>
      </c>
      <c r="J3500" s="3">
        <v>116735231</v>
      </c>
      <c r="K3500">
        <f t="shared" si="116"/>
        <v>1.3775047412552699E-3</v>
      </c>
      <c r="R3500" s="12" t="str">
        <f ca="1">IFERROR(__xludf.DUMMYFUNCTION("""COMPUTED_VALUE"""),"London ")</f>
        <v>London </v>
      </c>
      <c r="S3500" s="12">
        <f t="shared" si="117"/>
        <v>-35768500</v>
      </c>
    </row>
    <row r="3501" spans="1:19" x14ac:dyDescent="0.3">
      <c r="A3501" s="2" t="s">
        <v>3265</v>
      </c>
      <c r="B3501" s="2">
        <v>89</v>
      </c>
      <c r="C3501" s="3">
        <v>277233</v>
      </c>
      <c r="D3501" s="3" t="s">
        <v>5767</v>
      </c>
      <c r="E3501" s="2" t="s">
        <v>3266</v>
      </c>
      <c r="F3501" s="2" t="s">
        <v>10</v>
      </c>
      <c r="G3501" s="2" t="s">
        <v>11</v>
      </c>
      <c r="H3501" s="2">
        <v>4000000</v>
      </c>
      <c r="I3501" s="2">
        <v>3.1</v>
      </c>
      <c r="J3501" s="3">
        <v>116866727</v>
      </c>
      <c r="K3501">
        <f t="shared" si="116"/>
        <v>1.3775047412552699E-3</v>
      </c>
      <c r="R3501" s="12" t="str">
        <f ca="1">IFERROR(__xludf.DUMMYFUNCTION("""COMPUTED_VALUE"""),"Sherrybaby ")</f>
        <v>Sherrybaby </v>
      </c>
      <c r="S3501" s="12">
        <f t="shared" si="117"/>
        <v>-22375280</v>
      </c>
    </row>
    <row r="3502" spans="1:19" x14ac:dyDescent="0.3">
      <c r="A3502" s="2" t="s">
        <v>358</v>
      </c>
      <c r="B3502" s="2">
        <v>122</v>
      </c>
      <c r="C3502" s="3">
        <v>603943</v>
      </c>
      <c r="D3502" s="3" t="s">
        <v>5767</v>
      </c>
      <c r="E3502" s="2" t="s">
        <v>3769</v>
      </c>
      <c r="F3502" s="2" t="s">
        <v>10</v>
      </c>
      <c r="G3502" s="2" t="s">
        <v>11</v>
      </c>
      <c r="H3502" s="2">
        <v>12000000</v>
      </c>
      <c r="I3502" s="2">
        <v>6.6</v>
      </c>
      <c r="J3502" s="3">
        <v>117144465</v>
      </c>
      <c r="K3502">
        <f t="shared" si="116"/>
        <v>1.3775047412552699E-3</v>
      </c>
      <c r="R3502" s="12" t="str">
        <f ca="1">IFERROR(__xludf.DUMMYFUNCTION("""COMPUTED_VALUE"""),"Gangster's Paradise: Jerusalema ")</f>
        <v>Gangster's Paradise: Jerusalema </v>
      </c>
      <c r="S3502" s="12">
        <f t="shared" si="117"/>
        <v>-119824630</v>
      </c>
    </row>
    <row r="3503" spans="1:19" x14ac:dyDescent="0.3">
      <c r="A3503" s="2" t="s">
        <v>112</v>
      </c>
      <c r="B3503" s="2">
        <v>124</v>
      </c>
      <c r="C3503" s="3">
        <v>27689474</v>
      </c>
      <c r="D3503" s="3" t="s">
        <v>5767</v>
      </c>
      <c r="E3503" s="2" t="s">
        <v>354</v>
      </c>
      <c r="F3503" s="2" t="s">
        <v>10</v>
      </c>
      <c r="G3503" s="2" t="s">
        <v>11</v>
      </c>
      <c r="H3503" s="2">
        <v>125000000</v>
      </c>
      <c r="I3503" s="2">
        <v>6.4</v>
      </c>
      <c r="J3503" s="3">
        <v>117224271</v>
      </c>
      <c r="K3503">
        <f t="shared" si="116"/>
        <v>1.3775047412552699E-3</v>
      </c>
      <c r="R3503" s="12" t="str">
        <f ca="1">IFERROR(__xludf.DUMMYFUNCTION("""COMPUTED_VALUE"""),"The Lady from Shanghai ")</f>
        <v>The Lady from Shanghai </v>
      </c>
      <c r="S3503" s="12">
        <f t="shared" si="117"/>
        <v>10671505</v>
      </c>
    </row>
    <row r="3504" spans="1:19" x14ac:dyDescent="0.3">
      <c r="A3504" s="2" t="s">
        <v>31</v>
      </c>
      <c r="B3504" s="2">
        <v>169</v>
      </c>
      <c r="C3504" s="3">
        <v>127968405</v>
      </c>
      <c r="D3504" s="3" t="s">
        <v>5940</v>
      </c>
      <c r="E3504" s="2" t="s">
        <v>32</v>
      </c>
      <c r="F3504" s="2" t="s">
        <v>10</v>
      </c>
      <c r="G3504" s="2" t="s">
        <v>11</v>
      </c>
      <c r="H3504" s="2">
        <v>209000000</v>
      </c>
      <c r="I3504" s="2">
        <v>6.1</v>
      </c>
      <c r="J3504" s="3">
        <v>117235247</v>
      </c>
      <c r="K3504">
        <f t="shared" si="116"/>
        <v>1.3775047412552699E-3</v>
      </c>
      <c r="R3504" s="12" t="str">
        <f ca="1">IFERROR(__xludf.DUMMYFUNCTION("""COMPUTED_VALUE"""),"The Ghastly Love of Johnny X ")</f>
        <v>The Ghastly Love of Johnny X </v>
      </c>
      <c r="S3504" s="12">
        <f t="shared" si="117"/>
        <v>4933670</v>
      </c>
    </row>
    <row r="3505" spans="1:19" x14ac:dyDescent="0.3">
      <c r="A3505" s="2" t="s">
        <v>972</v>
      </c>
      <c r="B3505" s="2">
        <v>101</v>
      </c>
      <c r="C3505" s="3">
        <v>13391174</v>
      </c>
      <c r="D3505" s="3" t="s">
        <v>5849</v>
      </c>
      <c r="E3505" s="2" t="s">
        <v>5020</v>
      </c>
      <c r="F3505" s="2" t="s">
        <v>10</v>
      </c>
      <c r="G3505" s="2" t="s">
        <v>11</v>
      </c>
      <c r="H3505" s="2">
        <v>2500000</v>
      </c>
      <c r="I3505" s="2">
        <v>7.7</v>
      </c>
      <c r="J3505" s="3">
        <v>117528646</v>
      </c>
      <c r="K3505">
        <f t="shared" si="116"/>
        <v>1.3775047412552699E-3</v>
      </c>
      <c r="R3505" s="12" t="str">
        <f ca="1">IFERROR(__xludf.DUMMYFUNCTION("""COMPUTED_VALUE"""),"River's Edge ")</f>
        <v>River's Edge </v>
      </c>
      <c r="S3505" s="12">
        <f t="shared" si="117"/>
        <v>-89889464</v>
      </c>
    </row>
    <row r="3506" spans="1:19" x14ac:dyDescent="0.3">
      <c r="A3506" s="2" t="s">
        <v>666</v>
      </c>
      <c r="B3506" s="2">
        <v>108</v>
      </c>
      <c r="C3506" s="3">
        <v>1689999</v>
      </c>
      <c r="D3506" s="3" t="s">
        <v>5849</v>
      </c>
      <c r="E3506" s="2" t="s">
        <v>2971</v>
      </c>
      <c r="F3506" s="2" t="s">
        <v>10</v>
      </c>
      <c r="G3506" s="2" t="s">
        <v>11</v>
      </c>
      <c r="H3506" s="2">
        <v>20000000</v>
      </c>
      <c r="I3506" s="2">
        <v>5.9</v>
      </c>
      <c r="J3506" s="3">
        <v>117541000</v>
      </c>
      <c r="K3506">
        <f t="shared" si="116"/>
        <v>1.3775047412552699E-3</v>
      </c>
      <c r="R3506" s="12" t="str">
        <f ca="1">IFERROR(__xludf.DUMMYFUNCTION("""COMPUTED_VALUE"""),"Northfork ")</f>
        <v>Northfork </v>
      </c>
      <c r="S3506" s="12">
        <f t="shared" si="117"/>
        <v>-19979814</v>
      </c>
    </row>
    <row r="3507" spans="1:19" x14ac:dyDescent="0.3">
      <c r="A3507" s="2" t="s">
        <v>847</v>
      </c>
      <c r="B3507" s="2">
        <v>142</v>
      </c>
      <c r="C3507" s="3">
        <v>15279680</v>
      </c>
      <c r="D3507" s="3" t="s">
        <v>6393</v>
      </c>
      <c r="E3507" s="2" t="s">
        <v>2593</v>
      </c>
      <c r="F3507" s="2" t="s">
        <v>10</v>
      </c>
      <c r="G3507" s="2" t="s">
        <v>11</v>
      </c>
      <c r="H3507" s="2">
        <v>25000000</v>
      </c>
      <c r="I3507" s="2">
        <v>9.3000000000000007</v>
      </c>
      <c r="J3507" s="3">
        <v>117559438</v>
      </c>
      <c r="K3507">
        <f t="shared" si="116"/>
        <v>1.3775047412552699E-3</v>
      </c>
      <c r="R3507" s="12" t="str">
        <f ca="1">IFERROR(__xludf.DUMMYFUNCTION("""COMPUTED_VALUE"""),"Buried ")</f>
        <v>Buried </v>
      </c>
      <c r="S3507" s="12">
        <f t="shared" si="117"/>
        <v>-10647150</v>
      </c>
    </row>
    <row r="3508" spans="1:19" x14ac:dyDescent="0.3">
      <c r="A3508" s="2" t="s">
        <v>1701</v>
      </c>
      <c r="B3508" s="2">
        <v>123</v>
      </c>
      <c r="C3508" s="3">
        <v>1200000</v>
      </c>
      <c r="D3508" s="3" t="s">
        <v>6220</v>
      </c>
      <c r="E3508" s="2" t="s">
        <v>2187</v>
      </c>
      <c r="F3508" s="2" t="s">
        <v>10</v>
      </c>
      <c r="G3508" s="2" t="s">
        <v>11</v>
      </c>
      <c r="H3508" s="2">
        <v>29000000</v>
      </c>
      <c r="I3508" s="2">
        <v>7.9</v>
      </c>
      <c r="J3508" s="3">
        <v>117698894</v>
      </c>
      <c r="K3508">
        <f t="shared" si="116"/>
        <v>1.3775047412552699E-3</v>
      </c>
      <c r="R3508" s="12" t="str">
        <f ca="1">IFERROR(__xludf.DUMMYFUNCTION("""COMPUTED_VALUE"""),"One to Another ")</f>
        <v>One to Another </v>
      </c>
      <c r="S3508" s="12">
        <f t="shared" si="117"/>
        <v>-148397534</v>
      </c>
    </row>
    <row r="3509" spans="1:19" x14ac:dyDescent="0.3">
      <c r="A3509" s="2" t="s">
        <v>2540</v>
      </c>
      <c r="B3509" s="2">
        <v>107</v>
      </c>
      <c r="C3509" s="3">
        <v>70071</v>
      </c>
      <c r="D3509" s="3" t="s">
        <v>5849</v>
      </c>
      <c r="E3509" s="2" t="s">
        <v>3968</v>
      </c>
      <c r="F3509" s="2" t="s">
        <v>10</v>
      </c>
      <c r="G3509" s="2" t="s">
        <v>11</v>
      </c>
      <c r="H3509" s="2">
        <v>6000000</v>
      </c>
      <c r="I3509" s="2">
        <v>5</v>
      </c>
      <c r="J3509" s="3">
        <v>118099659</v>
      </c>
      <c r="K3509">
        <f t="shared" si="116"/>
        <v>1.3775047412552699E-3</v>
      </c>
      <c r="R3509" s="12" t="str">
        <f ca="1">IFERROR(__xludf.DUMMYFUNCTION("""COMPUTED_VALUE"""),"Man on Wire ")</f>
        <v>Man on Wire </v>
      </c>
      <c r="S3509" s="12">
        <f t="shared" si="117"/>
        <v>-10332916</v>
      </c>
    </row>
    <row r="3510" spans="1:19" x14ac:dyDescent="0.3">
      <c r="A3510" s="2" t="s">
        <v>1122</v>
      </c>
      <c r="B3510" s="2">
        <v>116</v>
      </c>
      <c r="C3510" s="3">
        <v>2859955</v>
      </c>
      <c r="D3510" s="3" t="s">
        <v>6185</v>
      </c>
      <c r="E3510" s="2" t="s">
        <v>1123</v>
      </c>
      <c r="F3510" s="2" t="s">
        <v>10</v>
      </c>
      <c r="G3510" s="2" t="s">
        <v>11</v>
      </c>
      <c r="H3510" s="2">
        <v>60000000</v>
      </c>
      <c r="I3510" s="2">
        <v>6.4</v>
      </c>
      <c r="J3510" s="3">
        <v>118153533</v>
      </c>
      <c r="K3510">
        <f t="shared" si="116"/>
        <v>1.3775047412552699E-3</v>
      </c>
      <c r="R3510" s="12" t="str">
        <f ca="1">IFERROR(__xludf.DUMMYFUNCTION("""COMPUTED_VALUE"""),"Brotherly Love ")</f>
        <v>Brotherly Love </v>
      </c>
      <c r="S3510" s="12">
        <f t="shared" si="117"/>
        <v>-33873489</v>
      </c>
    </row>
    <row r="3511" spans="1:19" x14ac:dyDescent="0.3">
      <c r="A3511" s="2" t="s">
        <v>4174</v>
      </c>
      <c r="B3511" s="2">
        <v>115</v>
      </c>
      <c r="C3511" s="3">
        <v>104077</v>
      </c>
      <c r="D3511" s="3" t="s">
        <v>885</v>
      </c>
      <c r="E3511" s="2" t="s">
        <v>5057</v>
      </c>
      <c r="F3511" s="2" t="s">
        <v>10</v>
      </c>
      <c r="G3511" s="2" t="s">
        <v>16</v>
      </c>
      <c r="H3511" s="2">
        <v>2000000</v>
      </c>
      <c r="I3511" s="2">
        <v>7.5</v>
      </c>
      <c r="J3511" s="3">
        <v>118311368</v>
      </c>
      <c r="K3511">
        <f t="shared" si="116"/>
        <v>1.3775047412552699E-3</v>
      </c>
      <c r="R3511" s="12" t="str">
        <f ca="1">IFERROR(__xludf.DUMMYFUNCTION("""COMPUTED_VALUE"""),"The Last Exorcism ")</f>
        <v>The Last Exorcism </v>
      </c>
      <c r="S3511" s="12">
        <f t="shared" si="117"/>
        <v>124614158</v>
      </c>
    </row>
    <row r="3512" spans="1:19" x14ac:dyDescent="0.3">
      <c r="A3512" s="2" t="s">
        <v>1168</v>
      </c>
      <c r="B3512" s="2">
        <v>108</v>
      </c>
      <c r="C3512" s="3">
        <v>2047570</v>
      </c>
      <c r="D3512" s="3" t="s">
        <v>5940</v>
      </c>
      <c r="E3512" s="2" t="s">
        <v>1169</v>
      </c>
      <c r="F3512" s="2" t="s">
        <v>10</v>
      </c>
      <c r="G3512" s="2" t="s">
        <v>11</v>
      </c>
      <c r="H3512" s="2">
        <v>58000000</v>
      </c>
      <c r="I3512" s="2">
        <v>8.1</v>
      </c>
      <c r="J3512" s="3">
        <v>118471320</v>
      </c>
      <c r="K3512">
        <f t="shared" si="116"/>
        <v>1.3775047412552699E-3</v>
      </c>
      <c r="R3512" s="12" t="str">
        <f ca="1">IFERROR(__xludf.DUMMYFUNCTION("""COMPUTED_VALUE"""),"El crimen del padre Amaro ")</f>
        <v>El crimen del padre Amaro </v>
      </c>
      <c r="S3512" s="12">
        <f t="shared" si="117"/>
        <v>-11200000</v>
      </c>
    </row>
    <row r="3513" spans="1:19" x14ac:dyDescent="0.3">
      <c r="A3513" s="2" t="s">
        <v>650</v>
      </c>
      <c r="B3513" s="2">
        <v>110</v>
      </c>
      <c r="C3513" s="3">
        <v>9473382</v>
      </c>
      <c r="D3513" s="3" t="s">
        <v>5849</v>
      </c>
      <c r="E3513" s="2" t="s">
        <v>677</v>
      </c>
      <c r="F3513" s="2" t="s">
        <v>10</v>
      </c>
      <c r="G3513" s="2" t="s">
        <v>11</v>
      </c>
      <c r="H3513" s="2">
        <v>80000000</v>
      </c>
      <c r="I3513" s="2">
        <v>6.5</v>
      </c>
      <c r="J3513" s="3">
        <v>118500000</v>
      </c>
      <c r="K3513">
        <f t="shared" si="116"/>
        <v>1.3775047412552699E-3</v>
      </c>
      <c r="R3513" s="12" t="str">
        <f ca="1">IFERROR(__xludf.DUMMYFUNCTION("""COMPUTED_VALUE"""),"Beasts of the Southern Wild ")</f>
        <v>Beasts of the Southern Wild </v>
      </c>
      <c r="S3513" s="12">
        <f t="shared" si="117"/>
        <v>-68200000</v>
      </c>
    </row>
    <row r="3514" spans="1:19" x14ac:dyDescent="0.3">
      <c r="A3514" s="2" t="s">
        <v>4261</v>
      </c>
      <c r="B3514" s="2">
        <v>97</v>
      </c>
      <c r="C3514" s="3">
        <v>5128124</v>
      </c>
      <c r="D3514" s="3" t="s">
        <v>6028</v>
      </c>
      <c r="E3514" s="2" t="s">
        <v>4262</v>
      </c>
      <c r="F3514" s="2" t="s">
        <v>10</v>
      </c>
      <c r="G3514" s="2" t="s">
        <v>11</v>
      </c>
      <c r="H3514" s="2">
        <v>8000000</v>
      </c>
      <c r="I3514" s="2">
        <v>5.6</v>
      </c>
      <c r="J3514" s="3">
        <v>118683135</v>
      </c>
      <c r="K3514">
        <f t="shared" si="116"/>
        <v>1.3775047412552699E-3</v>
      </c>
      <c r="R3514" s="12" t="str">
        <f ca="1">IFERROR(__xludf.DUMMYFUNCTION("""COMPUTED_VALUE"""),"Songcatcher ")</f>
        <v>Songcatcher </v>
      </c>
      <c r="S3514" s="12">
        <f t="shared" si="117"/>
        <v>4640210</v>
      </c>
    </row>
    <row r="3515" spans="1:19" x14ac:dyDescent="0.3">
      <c r="A3515" s="2" t="s">
        <v>2152</v>
      </c>
      <c r="B3515" s="2">
        <v>123</v>
      </c>
      <c r="C3515" s="3">
        <v>1190018</v>
      </c>
      <c r="D3515" s="3" t="s">
        <v>5981</v>
      </c>
      <c r="E3515" s="2" t="s">
        <v>3590</v>
      </c>
      <c r="F3515" s="2" t="s">
        <v>10</v>
      </c>
      <c r="G3515" s="2" t="s">
        <v>16</v>
      </c>
      <c r="H3515" s="2">
        <v>14000000</v>
      </c>
      <c r="I3515" s="2">
        <v>7.1</v>
      </c>
      <c r="J3515" s="3">
        <v>118823091</v>
      </c>
      <c r="K3515">
        <f t="shared" si="116"/>
        <v>1.3775047412552699E-3</v>
      </c>
      <c r="R3515" s="12" t="str">
        <f ca="1">IFERROR(__xludf.DUMMYFUNCTION("""COMPUTED_VALUE"""),"The Greatest Movie Ever Sold ")</f>
        <v>The Greatest Movie Ever Sold </v>
      </c>
      <c r="S3515" s="12">
        <f t="shared" si="117"/>
        <v>-7731704</v>
      </c>
    </row>
    <row r="3516" spans="1:19" x14ac:dyDescent="0.3">
      <c r="A3516" s="2" t="s">
        <v>615</v>
      </c>
      <c r="B3516" s="2">
        <v>89</v>
      </c>
      <c r="C3516" s="3">
        <v>70163652</v>
      </c>
      <c r="D3516" s="3" t="s">
        <v>5947</v>
      </c>
      <c r="E3516" s="2" t="s">
        <v>716</v>
      </c>
      <c r="F3516" s="2" t="s">
        <v>10</v>
      </c>
      <c r="G3516" s="2" t="s">
        <v>11</v>
      </c>
      <c r="H3516" s="2">
        <v>80000000</v>
      </c>
      <c r="I3516" s="2">
        <v>6.7</v>
      </c>
      <c r="J3516" s="3">
        <v>119078393</v>
      </c>
      <c r="K3516">
        <f t="shared" si="116"/>
        <v>1.3775047412552699E-3</v>
      </c>
      <c r="R3516" s="12" t="str">
        <f ca="1">IFERROR(__xludf.DUMMYFUNCTION("""COMPUTED_VALUE"""),"Travelers and Magicians ")</f>
        <v>Travelers and Magicians </v>
      </c>
      <c r="S3516" s="12">
        <f t="shared" si="117"/>
        <v>-24870885</v>
      </c>
    </row>
    <row r="3517" spans="1:19" x14ac:dyDescent="0.3">
      <c r="A3517" s="2" t="s">
        <v>3879</v>
      </c>
      <c r="B3517" s="2">
        <v>111</v>
      </c>
      <c r="C3517" s="3">
        <v>243347</v>
      </c>
      <c r="D3517" s="3" t="s">
        <v>5910</v>
      </c>
      <c r="E3517" s="2" t="s">
        <v>3880</v>
      </c>
      <c r="F3517" s="2" t="s">
        <v>10</v>
      </c>
      <c r="G3517" s="2" t="s">
        <v>11</v>
      </c>
      <c r="H3517" s="2">
        <v>12000000</v>
      </c>
      <c r="I3517" s="2">
        <v>7.5</v>
      </c>
      <c r="J3517" s="3">
        <v>119219978</v>
      </c>
      <c r="K3517">
        <f t="shared" si="116"/>
        <v>1.3775047412552699E-3</v>
      </c>
      <c r="R3517" s="12" t="str">
        <f ca="1">IFERROR(__xludf.DUMMYFUNCTION("""COMPUTED_VALUE"""),"Run Lola Run ")</f>
        <v>Run Lola Run </v>
      </c>
      <c r="S3517" s="12">
        <f t="shared" si="117"/>
        <v>5935529</v>
      </c>
    </row>
    <row r="3518" spans="1:19" x14ac:dyDescent="0.3">
      <c r="A3518" s="2" t="s">
        <v>209</v>
      </c>
      <c r="B3518" s="2">
        <v>98</v>
      </c>
      <c r="C3518" s="3">
        <v>123777</v>
      </c>
      <c r="D3518" s="3" t="s">
        <v>885</v>
      </c>
      <c r="E3518" s="2" t="s">
        <v>327</v>
      </c>
      <c r="F3518" s="2" t="s">
        <v>10</v>
      </c>
      <c r="G3518" s="2" t="s">
        <v>11</v>
      </c>
      <c r="H3518" s="2">
        <v>127000000</v>
      </c>
      <c r="I3518" s="2">
        <v>6.2</v>
      </c>
      <c r="J3518" s="3">
        <v>119412921</v>
      </c>
      <c r="K3518">
        <f t="shared" si="116"/>
        <v>1.3775047412552699E-3</v>
      </c>
      <c r="R3518" s="12" t="str">
        <f ca="1">IFERROR(__xludf.DUMMYFUNCTION("""COMPUTED_VALUE"""),"May ")</f>
        <v>May </v>
      </c>
      <c r="S3518" s="12">
        <f t="shared" si="117"/>
        <v>-15588202</v>
      </c>
    </row>
    <row r="3519" spans="1:19" x14ac:dyDescent="0.3">
      <c r="A3519" s="2" t="s">
        <v>2451</v>
      </c>
      <c r="B3519" s="2">
        <v>108</v>
      </c>
      <c r="C3519" s="3">
        <v>52961</v>
      </c>
      <c r="D3519" s="3" t="s">
        <v>5869</v>
      </c>
      <c r="E3519" s="2" t="s">
        <v>2869</v>
      </c>
      <c r="F3519" s="2" t="s">
        <v>10</v>
      </c>
      <c r="G3519" s="2" t="s">
        <v>11</v>
      </c>
      <c r="H3519" s="2">
        <v>35000000</v>
      </c>
      <c r="I3519" s="2">
        <v>7.1</v>
      </c>
      <c r="J3519" s="3">
        <v>119420252</v>
      </c>
      <c r="K3519">
        <f t="shared" si="116"/>
        <v>1.3775047412552699E-3</v>
      </c>
      <c r="R3519" s="12" t="str">
        <f ca="1">IFERROR(__xludf.DUMMYFUNCTION("""COMPUTED_VALUE"""),"In the Bedroom ")</f>
        <v>In the Bedroom </v>
      </c>
      <c r="S3519" s="12">
        <f t="shared" si="117"/>
        <v>-1800000</v>
      </c>
    </row>
    <row r="3520" spans="1:19" x14ac:dyDescent="0.3">
      <c r="A3520" s="2" t="s">
        <v>157</v>
      </c>
      <c r="B3520" s="2">
        <v>90</v>
      </c>
      <c r="C3520" s="3">
        <v>102515793</v>
      </c>
      <c r="D3520" s="3" t="s">
        <v>5910</v>
      </c>
      <c r="E3520" s="2" t="s">
        <v>1427</v>
      </c>
      <c r="F3520" s="2" t="s">
        <v>10</v>
      </c>
      <c r="G3520" s="2" t="s">
        <v>11</v>
      </c>
      <c r="H3520" s="2">
        <v>70000000</v>
      </c>
      <c r="I3520" s="2">
        <v>8</v>
      </c>
      <c r="J3520" s="3">
        <v>119500000</v>
      </c>
      <c r="K3520">
        <f t="shared" si="116"/>
        <v>1.3775047412552699E-3</v>
      </c>
      <c r="R3520" s="12" t="str">
        <f ca="1">IFERROR(__xludf.DUMMYFUNCTION("""COMPUTED_VALUE"""),"I Spit on Your Grave ")</f>
        <v>I Spit on Your Grave </v>
      </c>
      <c r="S3520" s="12">
        <f t="shared" si="117"/>
        <v>-43302044</v>
      </c>
    </row>
    <row r="3521" spans="1:19" x14ac:dyDescent="0.3">
      <c r="A3521" s="2" t="s">
        <v>4852</v>
      </c>
      <c r="B3521" s="2">
        <v>88</v>
      </c>
      <c r="C3521" s="3">
        <v>18967571</v>
      </c>
      <c r="D3521" s="3" t="s">
        <v>885</v>
      </c>
      <c r="E3521" s="2" t="s">
        <v>4853</v>
      </c>
      <c r="F3521" s="2" t="s">
        <v>10</v>
      </c>
      <c r="G3521" s="2" t="s">
        <v>11</v>
      </c>
      <c r="H3521" s="2">
        <v>3500000</v>
      </c>
      <c r="I3521" s="2">
        <v>7.8</v>
      </c>
      <c r="J3521" s="3">
        <v>119518352</v>
      </c>
      <c r="K3521">
        <f t="shared" si="116"/>
        <v>1.3775047412552699E-3</v>
      </c>
      <c r="R3521" s="12" t="str">
        <f ca="1">IFERROR(__xludf.DUMMYFUNCTION("""COMPUTED_VALUE"""),"Happy, Texas ")</f>
        <v>Happy, Texas </v>
      </c>
      <c r="S3521" s="12">
        <f t="shared" si="117"/>
        <v>-20819725</v>
      </c>
    </row>
    <row r="3522" spans="1:19" x14ac:dyDescent="0.3">
      <c r="A3522" s="2" t="s">
        <v>5612</v>
      </c>
      <c r="B3522" s="2">
        <v>66</v>
      </c>
      <c r="C3522" s="3">
        <v>1687311</v>
      </c>
      <c r="D3522" s="3" t="s">
        <v>6148</v>
      </c>
      <c r="E3522" s="2" t="s">
        <v>5613</v>
      </c>
      <c r="F3522" s="2" t="s">
        <v>10</v>
      </c>
      <c r="G3522" s="2" t="s">
        <v>11</v>
      </c>
      <c r="H3522" s="2">
        <v>250000</v>
      </c>
      <c r="I3522" s="2">
        <v>7.8</v>
      </c>
      <c r="J3522" s="3">
        <v>119654900</v>
      </c>
      <c r="K3522">
        <f t="shared" ref="K3522:K3585" si="118">CORREL(H$2:H$3941,J$2:J$3941)</f>
        <v>1.3775047412552699E-3</v>
      </c>
      <c r="R3522" s="12" t="str">
        <f ca="1">IFERROR(__xludf.DUMMYFUNCTION("""COMPUTED_VALUE"""),"My Summer of Love ")</f>
        <v>My Summer of Love </v>
      </c>
      <c r="S3522" s="12">
        <f t="shared" si="117"/>
        <v>-190550781</v>
      </c>
    </row>
    <row r="3523" spans="1:19" x14ac:dyDescent="0.3">
      <c r="A3523" s="2" t="s">
        <v>1111</v>
      </c>
      <c r="B3523" s="2">
        <v>83</v>
      </c>
      <c r="C3523" s="3">
        <v>1082044</v>
      </c>
      <c r="D3523" s="3" t="s">
        <v>5869</v>
      </c>
      <c r="E3523" s="2" t="s">
        <v>2396</v>
      </c>
      <c r="F3523" s="2" t="s">
        <v>10</v>
      </c>
      <c r="G3523" s="2" t="s">
        <v>199</v>
      </c>
      <c r="H3523" s="2">
        <v>28000000</v>
      </c>
      <c r="I3523" s="2">
        <v>6.1</v>
      </c>
      <c r="J3523" s="3">
        <v>119793567</v>
      </c>
      <c r="K3523">
        <f t="shared" si="118"/>
        <v>1.3775047412552699E-3</v>
      </c>
      <c r="R3523" s="12" t="str">
        <f ca="1">IFERROR(__xludf.DUMMYFUNCTION("""COMPUTED_VALUE"""),"The Lunchbox ")</f>
        <v>The Lunchbox </v>
      </c>
      <c r="S3523" s="12">
        <f t="shared" si="117"/>
        <v>-3722767</v>
      </c>
    </row>
    <row r="3524" spans="1:19" x14ac:dyDescent="0.3">
      <c r="A3524" s="2" t="s">
        <v>421</v>
      </c>
      <c r="B3524" s="2">
        <v>121</v>
      </c>
      <c r="C3524" s="3">
        <v>32701088</v>
      </c>
      <c r="D3524" s="3" t="s">
        <v>6036</v>
      </c>
      <c r="E3524" s="2" t="s">
        <v>422</v>
      </c>
      <c r="F3524" s="2" t="s">
        <v>10</v>
      </c>
      <c r="G3524" s="2" t="s">
        <v>11</v>
      </c>
      <c r="H3524" s="2">
        <v>160000000</v>
      </c>
      <c r="I3524" s="2">
        <v>3.7</v>
      </c>
      <c r="J3524" s="3">
        <v>119938730</v>
      </c>
      <c r="K3524">
        <f t="shared" si="118"/>
        <v>1.3775047412552699E-3</v>
      </c>
      <c r="R3524" s="12" t="str">
        <f ca="1">IFERROR(__xludf.DUMMYFUNCTION("""COMPUTED_VALUE"""),"Yes ")</f>
        <v>Yes </v>
      </c>
      <c r="S3524" s="12">
        <f t="shared" si="117"/>
        <v>-11396057</v>
      </c>
    </row>
    <row r="3525" spans="1:19" x14ac:dyDescent="0.3">
      <c r="A3525" s="2" t="s">
        <v>2263</v>
      </c>
      <c r="B3525" s="2">
        <v>125</v>
      </c>
      <c r="C3525" s="3">
        <v>800000</v>
      </c>
      <c r="D3525" s="3" t="s">
        <v>885</v>
      </c>
      <c r="E3525" s="2" t="s">
        <v>2264</v>
      </c>
      <c r="F3525" s="2" t="s">
        <v>10</v>
      </c>
      <c r="G3525" s="2" t="s">
        <v>11</v>
      </c>
      <c r="H3525" s="2">
        <v>30000000</v>
      </c>
      <c r="I3525" s="2">
        <v>6.9</v>
      </c>
      <c r="J3525" s="3">
        <v>120136047</v>
      </c>
      <c r="K3525">
        <f t="shared" si="118"/>
        <v>1.3775047412552699E-3</v>
      </c>
      <c r="R3525" s="12" t="str">
        <f ca="1">IFERROR(__xludf.DUMMYFUNCTION("""COMPUTED_VALUE"""),"Foolish ")</f>
        <v>Foolish </v>
      </c>
      <c r="S3525" s="12">
        <f t="shared" si="117"/>
        <v>-97310526</v>
      </c>
    </row>
    <row r="3526" spans="1:19" x14ac:dyDescent="0.3">
      <c r="A3526" s="2" t="s">
        <v>4774</v>
      </c>
      <c r="B3526" s="2">
        <v>106</v>
      </c>
      <c r="C3526" s="3">
        <v>531009</v>
      </c>
      <c r="D3526" s="3" t="s">
        <v>5958</v>
      </c>
      <c r="E3526" s="2" t="s">
        <v>4775</v>
      </c>
      <c r="F3526" s="2" t="s">
        <v>10</v>
      </c>
      <c r="G3526" s="2" t="s">
        <v>11</v>
      </c>
      <c r="H3526" s="2">
        <v>3500000</v>
      </c>
      <c r="I3526" s="2">
        <v>7.1</v>
      </c>
      <c r="J3526" s="3">
        <v>120147445</v>
      </c>
      <c r="K3526">
        <f t="shared" si="118"/>
        <v>1.3775047412552699E-3</v>
      </c>
      <c r="R3526" s="12" t="str">
        <f ca="1">IFERROR(__xludf.DUMMYFUNCTION("""COMPUTED_VALUE"""),"Caramel ")</f>
        <v>Caramel </v>
      </c>
      <c r="S3526" s="12">
        <f t="shared" si="117"/>
        <v>-81031595</v>
      </c>
    </row>
    <row r="3527" spans="1:19" x14ac:dyDescent="0.3">
      <c r="A3527" s="2" t="s">
        <v>4209</v>
      </c>
      <c r="B3527" s="2">
        <v>97</v>
      </c>
      <c r="C3527" s="3">
        <v>1686429</v>
      </c>
      <c r="D3527" s="3" t="s">
        <v>5940</v>
      </c>
      <c r="E3527" s="2" t="s">
        <v>4210</v>
      </c>
      <c r="F3527" s="2" t="s">
        <v>10</v>
      </c>
      <c r="G3527" s="2" t="s">
        <v>199</v>
      </c>
      <c r="H3527" s="2">
        <v>9000000</v>
      </c>
      <c r="I3527" s="2">
        <v>4.2</v>
      </c>
      <c r="J3527" s="3">
        <v>120523073</v>
      </c>
      <c r="K3527">
        <f t="shared" si="118"/>
        <v>1.3775047412552699E-3</v>
      </c>
      <c r="R3527" s="12" t="str">
        <f ca="1">IFERROR(__xludf.DUMMYFUNCTION("""COMPUTED_VALUE"""),"The Bubble ")</f>
        <v>The Bubble </v>
      </c>
      <c r="S3527" s="12">
        <f t="shared" si="117"/>
        <v>10891174</v>
      </c>
    </row>
    <row r="3528" spans="1:19" x14ac:dyDescent="0.3">
      <c r="A3528" s="2" t="s">
        <v>404</v>
      </c>
      <c r="B3528" s="2">
        <v>101</v>
      </c>
      <c r="C3528" s="3">
        <v>418953</v>
      </c>
      <c r="D3528" s="3" t="s">
        <v>520</v>
      </c>
      <c r="E3528" s="2" t="s">
        <v>5086</v>
      </c>
      <c r="F3528" s="2" t="s">
        <v>10</v>
      </c>
      <c r="G3528" s="2" t="s">
        <v>11</v>
      </c>
      <c r="H3528" s="2">
        <v>2000000</v>
      </c>
      <c r="I3528" s="2">
        <v>4.7</v>
      </c>
      <c r="J3528" s="3">
        <v>120618403</v>
      </c>
      <c r="K3528">
        <f t="shared" si="118"/>
        <v>1.3775047412552699E-3</v>
      </c>
      <c r="R3528" s="12" t="str">
        <f ca="1">IFERROR(__xludf.DUMMYFUNCTION("""COMPUTED_VALUE"""),"Mississippi Mermaid ")</f>
        <v>Mississippi Mermaid </v>
      </c>
      <c r="S3528" s="12">
        <f t="shared" si="117"/>
        <v>-18310001</v>
      </c>
    </row>
    <row r="3529" spans="1:19" x14ac:dyDescent="0.3">
      <c r="A3529" s="2" t="s">
        <v>876</v>
      </c>
      <c r="B3529" s="2">
        <v>103</v>
      </c>
      <c r="C3529" s="3">
        <v>1186957</v>
      </c>
      <c r="D3529" s="3" t="s">
        <v>6004</v>
      </c>
      <c r="E3529" s="2" t="s">
        <v>877</v>
      </c>
      <c r="F3529" s="2" t="s">
        <v>10</v>
      </c>
      <c r="G3529" s="2" t="s">
        <v>11</v>
      </c>
      <c r="H3529" s="2">
        <v>58000000</v>
      </c>
      <c r="I3529" s="2">
        <v>6.4</v>
      </c>
      <c r="J3529" s="3">
        <v>120776832</v>
      </c>
      <c r="K3529">
        <f t="shared" si="118"/>
        <v>1.3775047412552699E-3</v>
      </c>
      <c r="R3529" s="12" t="str">
        <f ca="1">IFERROR(__xludf.DUMMYFUNCTION("""COMPUTED_VALUE"""),"I Love Your Work ")</f>
        <v>I Love Your Work </v>
      </c>
      <c r="S3529" s="12">
        <f t="shared" si="117"/>
        <v>-9720320</v>
      </c>
    </row>
    <row r="3530" spans="1:19" x14ac:dyDescent="0.3">
      <c r="A3530" s="2" t="s">
        <v>3690</v>
      </c>
      <c r="B3530" s="2">
        <v>103</v>
      </c>
      <c r="C3530" s="3">
        <v>16459004</v>
      </c>
      <c r="D3530" s="3" t="s">
        <v>6195</v>
      </c>
      <c r="E3530" s="2" t="s">
        <v>5130</v>
      </c>
      <c r="F3530" s="2" t="s">
        <v>10</v>
      </c>
      <c r="G3530" s="2" t="s">
        <v>11</v>
      </c>
      <c r="H3530" s="2">
        <v>1900000</v>
      </c>
      <c r="I3530" s="2">
        <v>6.4</v>
      </c>
      <c r="J3530" s="3">
        <v>121248145</v>
      </c>
      <c r="K3530">
        <f t="shared" si="118"/>
        <v>1.3775047412552699E-3</v>
      </c>
      <c r="R3530" s="12" t="str">
        <f ca="1">IFERROR(__xludf.DUMMYFUNCTION("""COMPUTED_VALUE"""),"Waitress ")</f>
        <v>Waitress </v>
      </c>
      <c r="S3530" s="12">
        <f t="shared" si="117"/>
        <v>-27800000</v>
      </c>
    </row>
    <row r="3531" spans="1:19" x14ac:dyDescent="0.3">
      <c r="A3531" s="2" t="s">
        <v>300</v>
      </c>
      <c r="B3531" s="2">
        <v>96</v>
      </c>
      <c r="C3531" s="3">
        <v>34350553</v>
      </c>
      <c r="D3531" s="3" t="s">
        <v>885</v>
      </c>
      <c r="E3531" s="2" t="s">
        <v>301</v>
      </c>
      <c r="F3531" s="2" t="s">
        <v>10</v>
      </c>
      <c r="G3531" s="2" t="s">
        <v>11</v>
      </c>
      <c r="H3531" s="2">
        <v>135000000</v>
      </c>
      <c r="I3531" s="2">
        <v>6.5</v>
      </c>
      <c r="J3531" s="3">
        <v>121463226</v>
      </c>
      <c r="K3531">
        <f t="shared" si="118"/>
        <v>1.3775047412552699E-3</v>
      </c>
      <c r="R3531" s="12" t="str">
        <f ca="1">IFERROR(__xludf.DUMMYFUNCTION("""COMPUTED_VALUE"""),"Bloodsport ")</f>
        <v>Bloodsport </v>
      </c>
      <c r="S3531" s="12">
        <f t="shared" si="117"/>
        <v>-5929929</v>
      </c>
    </row>
    <row r="3532" spans="1:19" x14ac:dyDescent="0.3">
      <c r="A3532" s="2" t="s">
        <v>3287</v>
      </c>
      <c r="B3532" s="2">
        <v>83</v>
      </c>
      <c r="C3532" s="3">
        <v>2938208</v>
      </c>
      <c r="D3532" s="3" t="s">
        <v>5812</v>
      </c>
      <c r="E3532" s="2" t="s">
        <v>3288</v>
      </c>
      <c r="F3532" s="2" t="s">
        <v>10</v>
      </c>
      <c r="G3532" s="2" t="s">
        <v>11</v>
      </c>
      <c r="H3532" s="2">
        <v>17000000</v>
      </c>
      <c r="I3532" s="2">
        <v>4.0999999999999996</v>
      </c>
      <c r="J3532" s="3">
        <v>121468960</v>
      </c>
      <c r="K3532">
        <f t="shared" si="118"/>
        <v>1.3775047412552699E-3</v>
      </c>
      <c r="R3532" s="12" t="str">
        <f ca="1">IFERROR(__xludf.DUMMYFUNCTION("""COMPUTED_VALUE"""),"Kids ")</f>
        <v>Kids </v>
      </c>
      <c r="S3532" s="12">
        <f t="shared" si="117"/>
        <v>-57140045</v>
      </c>
    </row>
    <row r="3533" spans="1:19" x14ac:dyDescent="0.3">
      <c r="A3533" s="2" t="s">
        <v>4398</v>
      </c>
      <c r="B3533" s="2">
        <v>105</v>
      </c>
      <c r="C3533" s="3">
        <v>27669413</v>
      </c>
      <c r="D3533" s="3" t="s">
        <v>6139</v>
      </c>
      <c r="E3533" s="2" t="s">
        <v>4399</v>
      </c>
      <c r="F3533" s="2" t="s">
        <v>10</v>
      </c>
      <c r="G3533" s="2" t="s">
        <v>11</v>
      </c>
      <c r="H3533" s="2">
        <v>7000000</v>
      </c>
      <c r="I3533" s="2">
        <v>6.6</v>
      </c>
      <c r="J3533" s="3">
        <v>121697350</v>
      </c>
      <c r="K3533">
        <f t="shared" si="118"/>
        <v>1.3775047412552699E-3</v>
      </c>
      <c r="R3533" s="12" t="str">
        <f ca="1">IFERROR(__xludf.DUMMYFUNCTION("""COMPUTED_VALUE"""),"The Squid and the Whale ")</f>
        <v>The Squid and the Whale </v>
      </c>
      <c r="S3533" s="12">
        <f t="shared" si="117"/>
        <v>-1895923</v>
      </c>
    </row>
    <row r="3534" spans="1:19" x14ac:dyDescent="0.3">
      <c r="A3534" s="2" t="s">
        <v>650</v>
      </c>
      <c r="B3534" s="2">
        <v>101</v>
      </c>
      <c r="C3534" s="3">
        <v>21569041</v>
      </c>
      <c r="D3534" s="3" t="s">
        <v>885</v>
      </c>
      <c r="E3534" s="2" t="s">
        <v>2823</v>
      </c>
      <c r="F3534" s="2" t="s">
        <v>10</v>
      </c>
      <c r="G3534" s="2" t="s">
        <v>11</v>
      </c>
      <c r="H3534" s="2">
        <v>21500000</v>
      </c>
      <c r="I3534" s="2">
        <v>6.5</v>
      </c>
      <c r="J3534" s="3">
        <v>121945720</v>
      </c>
      <c r="K3534">
        <f t="shared" si="118"/>
        <v>1.3775047412552699E-3</v>
      </c>
      <c r="R3534" s="12" t="str">
        <f ca="1">IFERROR(__xludf.DUMMYFUNCTION("""COMPUTED_VALUE"""),"Kissing Jessica Stein ")</f>
        <v>Kissing Jessica Stein </v>
      </c>
      <c r="S3534" s="12">
        <f t="shared" si="117"/>
        <v>-55952430</v>
      </c>
    </row>
    <row r="3535" spans="1:19" x14ac:dyDescent="0.3">
      <c r="A3535" s="2" t="s">
        <v>126</v>
      </c>
      <c r="B3535" s="2">
        <v>106</v>
      </c>
      <c r="C3535" s="3">
        <v>16647384</v>
      </c>
      <c r="D3535" s="3" t="s">
        <v>6476</v>
      </c>
      <c r="E3535" s="2" t="s">
        <v>144</v>
      </c>
      <c r="F3535" s="2" t="s">
        <v>10</v>
      </c>
      <c r="G3535" s="2" t="s">
        <v>16</v>
      </c>
      <c r="H3535" s="2">
        <v>175000000</v>
      </c>
      <c r="I3535" s="2">
        <v>7.8</v>
      </c>
      <c r="J3535" s="3">
        <v>122012643</v>
      </c>
      <c r="K3535">
        <f t="shared" si="118"/>
        <v>1.3775047412552699E-3</v>
      </c>
      <c r="R3535" s="12" t="str">
        <f ca="1">IFERROR(__xludf.DUMMYFUNCTION("""COMPUTED_VALUE"""),"Exotica ")</f>
        <v>Exotica </v>
      </c>
      <c r="S3535" s="12">
        <f t="shared" si="117"/>
        <v>-70526618</v>
      </c>
    </row>
    <row r="3536" spans="1:19" x14ac:dyDescent="0.3">
      <c r="A3536" s="2" t="s">
        <v>613</v>
      </c>
      <c r="B3536" s="2">
        <v>109</v>
      </c>
      <c r="C3536" s="3">
        <v>2832826</v>
      </c>
      <c r="D3536" s="3" t="s">
        <v>5818</v>
      </c>
      <c r="E3536" s="2" t="s">
        <v>871</v>
      </c>
      <c r="F3536" s="2" t="s">
        <v>10</v>
      </c>
      <c r="G3536" s="2" t="s">
        <v>11</v>
      </c>
      <c r="H3536" s="2">
        <v>60000000</v>
      </c>
      <c r="I3536" s="2">
        <v>5.6</v>
      </c>
      <c r="J3536" s="3">
        <v>122012710</v>
      </c>
      <c r="K3536">
        <f t="shared" si="118"/>
        <v>1.3775047412552699E-3</v>
      </c>
      <c r="R3536" s="12" t="str">
        <f ca="1">IFERROR(__xludf.DUMMYFUNCTION("""COMPUTED_VALUE"""),"Buffalo '66 ")</f>
        <v>Buffalo '66 </v>
      </c>
      <c r="S3536" s="12">
        <f t="shared" si="117"/>
        <v>-2871876</v>
      </c>
    </row>
    <row r="3537" spans="1:19" x14ac:dyDescent="0.3">
      <c r="A3537" s="2" t="s">
        <v>14</v>
      </c>
      <c r="B3537" s="2">
        <v>98</v>
      </c>
      <c r="C3537" s="3">
        <v>92191</v>
      </c>
      <c r="D3537" s="3" t="s">
        <v>885</v>
      </c>
      <c r="E3537" s="2" t="s">
        <v>2839</v>
      </c>
      <c r="F3537" s="2" t="s">
        <v>10</v>
      </c>
      <c r="G3537" s="2" t="s">
        <v>11</v>
      </c>
      <c r="H3537" s="2">
        <v>17000000</v>
      </c>
      <c r="I3537" s="2">
        <v>7.1</v>
      </c>
      <c r="J3537" s="3">
        <v>122512052</v>
      </c>
      <c r="K3537">
        <f t="shared" si="118"/>
        <v>1.3775047412552699E-3</v>
      </c>
      <c r="R3537" s="12" t="str">
        <f ca="1">IFERROR(__xludf.DUMMYFUNCTION("""COMPUTED_VALUE"""),"Insidious ")</f>
        <v>Insidious </v>
      </c>
      <c r="S3537" s="12">
        <f t="shared" si="117"/>
        <v>-12809982</v>
      </c>
    </row>
    <row r="3538" spans="1:19" x14ac:dyDescent="0.3">
      <c r="A3538" s="2" t="s">
        <v>728</v>
      </c>
      <c r="B3538" s="2">
        <v>118</v>
      </c>
      <c r="C3538" s="3">
        <v>100240</v>
      </c>
      <c r="D3538" s="3" t="s">
        <v>5940</v>
      </c>
      <c r="E3538" s="2" t="s">
        <v>729</v>
      </c>
      <c r="F3538" s="2" t="s">
        <v>10</v>
      </c>
      <c r="G3538" s="2" t="s">
        <v>11</v>
      </c>
      <c r="H3538" s="2">
        <v>88000000</v>
      </c>
      <c r="I3538" s="2">
        <v>5.9</v>
      </c>
      <c r="J3538" s="3">
        <v>123207194</v>
      </c>
      <c r="K3538">
        <f t="shared" si="118"/>
        <v>1.3775047412552699E-3</v>
      </c>
      <c r="R3538" s="12" t="str">
        <f ca="1">IFERROR(__xludf.DUMMYFUNCTION("""COMPUTED_VALUE"""),"Nine Queens ")</f>
        <v>Nine Queens </v>
      </c>
      <c r="S3538" s="12">
        <f t="shared" si="117"/>
        <v>-9836348</v>
      </c>
    </row>
    <row r="3539" spans="1:19" x14ac:dyDescent="0.3">
      <c r="A3539" s="2" t="s">
        <v>104</v>
      </c>
      <c r="B3539" s="2">
        <v>142</v>
      </c>
      <c r="C3539" s="3">
        <v>638951</v>
      </c>
      <c r="D3539" s="3" t="s">
        <v>885</v>
      </c>
      <c r="E3539" s="2" t="s">
        <v>1705</v>
      </c>
      <c r="F3539" s="2" t="s">
        <v>10</v>
      </c>
      <c r="G3539" s="2" t="s">
        <v>11</v>
      </c>
      <c r="H3539" s="2">
        <v>40000000</v>
      </c>
      <c r="I3539" s="2">
        <v>7.6</v>
      </c>
      <c r="J3539" s="3">
        <v>123307945</v>
      </c>
      <c r="K3539">
        <f t="shared" si="118"/>
        <v>1.3775047412552699E-3</v>
      </c>
      <c r="R3539" s="12" t="str">
        <f ca="1">IFERROR(__xludf.DUMMYFUNCTION("""COMPUTED_VALUE"""),"The Ballad of Jack and Rose ")</f>
        <v>The Ballad of Jack and Rose </v>
      </c>
      <c r="S3539" s="12">
        <f t="shared" si="117"/>
        <v>-11756653</v>
      </c>
    </row>
    <row r="3540" spans="1:19" x14ac:dyDescent="0.3">
      <c r="A3540" s="2" t="s">
        <v>1587</v>
      </c>
      <c r="B3540" s="2">
        <v>101</v>
      </c>
      <c r="C3540" s="3">
        <v>42365600</v>
      </c>
      <c r="D3540" s="3" t="s">
        <v>885</v>
      </c>
      <c r="E3540" s="2" t="s">
        <v>1588</v>
      </c>
      <c r="F3540" s="2" t="s">
        <v>10</v>
      </c>
      <c r="G3540" s="2" t="s">
        <v>11</v>
      </c>
      <c r="H3540" s="2">
        <v>45000000</v>
      </c>
      <c r="I3540" s="2">
        <v>6.3</v>
      </c>
      <c r="J3540" s="3">
        <v>123922370</v>
      </c>
      <c r="K3540">
        <f t="shared" si="118"/>
        <v>1.3775047412552699E-3</v>
      </c>
      <c r="R3540" s="12" t="str">
        <f ca="1">IFERROR(__xludf.DUMMYFUNCTION("""COMPUTED_VALUE"""),"The To Do List ")</f>
        <v>The To Do List </v>
      </c>
      <c r="S3540" s="12">
        <f t="shared" si="117"/>
        <v>-126876223</v>
      </c>
    </row>
    <row r="3541" spans="1:19" x14ac:dyDescent="0.3">
      <c r="A3541" s="2" t="s">
        <v>2875</v>
      </c>
      <c r="B3541" s="2">
        <v>134</v>
      </c>
      <c r="C3541" s="3">
        <v>17580</v>
      </c>
      <c r="D3541" s="3" t="s">
        <v>6199</v>
      </c>
      <c r="E3541" s="2" t="s">
        <v>2876</v>
      </c>
      <c r="F3541" s="2" t="s">
        <v>10</v>
      </c>
      <c r="G3541" s="2" t="s">
        <v>11</v>
      </c>
      <c r="H3541" s="2">
        <v>20000000</v>
      </c>
      <c r="I3541" s="2">
        <v>8.1</v>
      </c>
      <c r="J3541" s="3">
        <v>124051759</v>
      </c>
      <c r="K3541">
        <f t="shared" si="118"/>
        <v>1.3775047412552699E-3</v>
      </c>
      <c r="R3541" s="12" t="str">
        <f ca="1">IFERROR(__xludf.DUMMYFUNCTION("""COMPUTED_VALUE"""),"Killing Zoe ")</f>
        <v>Killing Zoe </v>
      </c>
      <c r="S3541" s="12">
        <f t="shared" si="117"/>
        <v>-34947039</v>
      </c>
    </row>
    <row r="3542" spans="1:19" x14ac:dyDescent="0.3">
      <c r="A3542" s="2" t="s">
        <v>1506</v>
      </c>
      <c r="B3542" s="2">
        <v>90</v>
      </c>
      <c r="C3542" s="3">
        <v>6768055</v>
      </c>
      <c r="D3542" s="3" t="s">
        <v>520</v>
      </c>
      <c r="E3542" s="2" t="s">
        <v>3602</v>
      </c>
      <c r="F3542" s="2" t="s">
        <v>10</v>
      </c>
      <c r="G3542" s="2" t="s">
        <v>11</v>
      </c>
      <c r="H3542" s="2">
        <v>14000000</v>
      </c>
      <c r="I3542" s="2">
        <v>4.5999999999999996</v>
      </c>
      <c r="J3542" s="3">
        <v>124107476</v>
      </c>
      <c r="K3542">
        <f t="shared" si="118"/>
        <v>1.3775047412552699E-3</v>
      </c>
      <c r="R3542" s="12" t="str">
        <f ca="1">IFERROR(__xludf.DUMMYFUNCTION("""COMPUTED_VALUE"""),"The Believer ")</f>
        <v>The Believer </v>
      </c>
      <c r="S3542" s="12">
        <f t="shared" si="117"/>
        <v>32515793</v>
      </c>
    </row>
    <row r="3543" spans="1:19" x14ac:dyDescent="0.3">
      <c r="A3543" s="2" t="s">
        <v>392</v>
      </c>
      <c r="B3543" s="2">
        <v>108</v>
      </c>
      <c r="C3543" s="3">
        <v>795126</v>
      </c>
      <c r="D3543" s="3" t="s">
        <v>6320</v>
      </c>
      <c r="E3543" s="2" t="s">
        <v>1955</v>
      </c>
      <c r="F3543" s="2" t="s">
        <v>10</v>
      </c>
      <c r="G3543" s="2" t="s">
        <v>11</v>
      </c>
      <c r="H3543" s="2">
        <v>35000000</v>
      </c>
      <c r="I3543" s="2">
        <v>5.8</v>
      </c>
      <c r="J3543" s="3">
        <v>124590960</v>
      </c>
      <c r="K3543">
        <f t="shared" si="118"/>
        <v>1.3775047412552699E-3</v>
      </c>
      <c r="R3543" s="12" t="str">
        <f ca="1">IFERROR(__xludf.DUMMYFUNCTION("""COMPUTED_VALUE"""),"Session 9 ")</f>
        <v>Session 9 </v>
      </c>
      <c r="S3543" s="12">
        <f t="shared" si="117"/>
        <v>15467571</v>
      </c>
    </row>
    <row r="3544" spans="1:19" x14ac:dyDescent="0.3">
      <c r="A3544" s="2" t="s">
        <v>3109</v>
      </c>
      <c r="B3544" s="2">
        <v>131</v>
      </c>
      <c r="C3544" s="3">
        <v>13401683</v>
      </c>
      <c r="D3544" s="3" t="s">
        <v>5973</v>
      </c>
      <c r="E3544" s="2" t="s">
        <v>3110</v>
      </c>
      <c r="F3544" s="2" t="s">
        <v>10</v>
      </c>
      <c r="G3544" s="2" t="s">
        <v>11</v>
      </c>
      <c r="H3544" s="2">
        <v>19000000</v>
      </c>
      <c r="I3544" s="2">
        <v>7.6</v>
      </c>
      <c r="J3544" s="3">
        <v>124732962</v>
      </c>
      <c r="K3544">
        <f t="shared" si="118"/>
        <v>1.3775047412552699E-3</v>
      </c>
      <c r="R3544" s="12" t="str">
        <f ca="1">IFERROR(__xludf.DUMMYFUNCTION("""COMPUTED_VALUE"""),"I Want Someone to Eat Cheese With ")</f>
        <v>I Want Someone to Eat Cheese With </v>
      </c>
      <c r="S3544" s="12">
        <f t="shared" si="117"/>
        <v>1437311</v>
      </c>
    </row>
    <row r="3545" spans="1:19" x14ac:dyDescent="0.3">
      <c r="A3545" s="2" t="s">
        <v>3066</v>
      </c>
      <c r="B3545" s="2">
        <v>124</v>
      </c>
      <c r="C3545" s="3">
        <v>46729374</v>
      </c>
      <c r="D3545" s="3" t="s">
        <v>6144</v>
      </c>
      <c r="E3545" s="2" t="s">
        <v>3067</v>
      </c>
      <c r="F3545" s="2" t="s">
        <v>10</v>
      </c>
      <c r="G3545" s="2" t="s">
        <v>11</v>
      </c>
      <c r="H3545" s="2">
        <v>20000000</v>
      </c>
      <c r="I3545" s="2">
        <v>4.5</v>
      </c>
      <c r="J3545" s="3">
        <v>124868837</v>
      </c>
      <c r="K3545">
        <f t="shared" si="118"/>
        <v>1.3775047412552699E-3</v>
      </c>
      <c r="R3545" s="12" t="str">
        <f ca="1">IFERROR(__xludf.DUMMYFUNCTION("""COMPUTED_VALUE"""),"Modern Times ")</f>
        <v>Modern Times </v>
      </c>
      <c r="S3545" s="12">
        <f t="shared" ref="S3545:S3608" si="119">C3523-H3523</f>
        <v>-26917956</v>
      </c>
    </row>
    <row r="3546" spans="1:19" x14ac:dyDescent="0.3">
      <c r="A3546" s="2" t="s">
        <v>3334</v>
      </c>
      <c r="B3546" s="2">
        <v>96</v>
      </c>
      <c r="C3546" s="3">
        <v>403932</v>
      </c>
      <c r="D3546" s="3" t="s">
        <v>885</v>
      </c>
      <c r="E3546" s="2" t="s">
        <v>3335</v>
      </c>
      <c r="F3546" s="2" t="s">
        <v>10</v>
      </c>
      <c r="G3546" s="2" t="s">
        <v>11</v>
      </c>
      <c r="H3546" s="2">
        <v>16000000</v>
      </c>
      <c r="I3546" s="2">
        <v>5.6</v>
      </c>
      <c r="J3546" s="3">
        <v>124870275</v>
      </c>
      <c r="K3546">
        <f t="shared" si="118"/>
        <v>1.3775047412552699E-3</v>
      </c>
      <c r="R3546" s="12" t="str">
        <f ca="1">IFERROR(__xludf.DUMMYFUNCTION("""COMPUTED_VALUE"""),"Stolen Summer ")</f>
        <v>Stolen Summer </v>
      </c>
      <c r="S3546" s="12">
        <f t="shared" si="119"/>
        <v>-127298912</v>
      </c>
    </row>
    <row r="3547" spans="1:19" x14ac:dyDescent="0.3">
      <c r="A3547" s="2" t="s">
        <v>1604</v>
      </c>
      <c r="B3547" s="2">
        <v>106</v>
      </c>
      <c r="C3547" s="3">
        <v>128978</v>
      </c>
      <c r="D3547" s="3" t="s">
        <v>5973</v>
      </c>
      <c r="E3547" s="2" t="s">
        <v>3531</v>
      </c>
      <c r="F3547" s="2" t="s">
        <v>10</v>
      </c>
      <c r="G3547" s="2" t="s">
        <v>11</v>
      </c>
      <c r="H3547" s="2">
        <v>15000000</v>
      </c>
      <c r="I3547" s="2">
        <v>6.6</v>
      </c>
      <c r="J3547" s="3">
        <v>124976634</v>
      </c>
      <c r="K3547">
        <f t="shared" si="118"/>
        <v>1.3775047412552699E-3</v>
      </c>
      <c r="R3547" s="12" t="str">
        <f ca="1">IFERROR(__xludf.DUMMYFUNCTION("""COMPUTED_VALUE"""),"My Name Is Bruce ")</f>
        <v>My Name Is Bruce </v>
      </c>
      <c r="S3547" s="12">
        <f t="shared" si="119"/>
        <v>-29200000</v>
      </c>
    </row>
    <row r="3548" spans="1:19" x14ac:dyDescent="0.3">
      <c r="A3548" s="2" t="s">
        <v>3323</v>
      </c>
      <c r="B3548" s="2">
        <v>99</v>
      </c>
      <c r="C3548" s="3">
        <v>16501785</v>
      </c>
      <c r="D3548" s="3" t="s">
        <v>6355</v>
      </c>
      <c r="E3548" s="2" t="s">
        <v>4529</v>
      </c>
      <c r="F3548" s="2" t="s">
        <v>10</v>
      </c>
      <c r="G3548" s="2" t="s">
        <v>11</v>
      </c>
      <c r="H3548" s="2">
        <v>6000000</v>
      </c>
      <c r="I3548" s="2">
        <v>6.7</v>
      </c>
      <c r="J3548" s="3">
        <v>125014030</v>
      </c>
      <c r="K3548">
        <f t="shared" si="118"/>
        <v>1.3775047412552699E-3</v>
      </c>
      <c r="R3548" s="12" t="str">
        <f ca="1">IFERROR(__xludf.DUMMYFUNCTION("""COMPUTED_VALUE"""),"The Salon ")</f>
        <v>The Salon </v>
      </c>
      <c r="S3548" s="12">
        <f t="shared" si="119"/>
        <v>-2968991</v>
      </c>
    </row>
    <row r="3549" spans="1:19" x14ac:dyDescent="0.3">
      <c r="A3549" s="2" t="s">
        <v>821</v>
      </c>
      <c r="B3549" s="2">
        <v>135</v>
      </c>
      <c r="C3549" s="3">
        <v>9628751</v>
      </c>
      <c r="D3549" s="3" t="s">
        <v>5940</v>
      </c>
      <c r="E3549" s="2" t="s">
        <v>1536</v>
      </c>
      <c r="F3549" s="2" t="s">
        <v>10</v>
      </c>
      <c r="G3549" s="2" t="s">
        <v>11</v>
      </c>
      <c r="H3549" s="2">
        <v>45000000</v>
      </c>
      <c r="I3549" s="2">
        <v>6.3</v>
      </c>
      <c r="J3549" s="3">
        <v>125069696</v>
      </c>
      <c r="K3549">
        <f t="shared" si="118"/>
        <v>1.3775047412552699E-3</v>
      </c>
      <c r="R3549" s="12" t="str">
        <f ca="1">IFERROR(__xludf.DUMMYFUNCTION("""COMPUTED_VALUE"""),"Road Hard ")</f>
        <v>Road Hard </v>
      </c>
      <c r="S3549" s="12">
        <f t="shared" si="119"/>
        <v>-7313571</v>
      </c>
    </row>
    <row r="3550" spans="1:19" x14ac:dyDescent="0.3">
      <c r="A3550" s="2" t="s">
        <v>2261</v>
      </c>
      <c r="B3550" s="2">
        <v>118</v>
      </c>
      <c r="C3550" s="3">
        <v>410388</v>
      </c>
      <c r="D3550" s="3" t="s">
        <v>5849</v>
      </c>
      <c r="E3550" s="2" t="s">
        <v>2262</v>
      </c>
      <c r="F3550" s="2" t="s">
        <v>10</v>
      </c>
      <c r="G3550" s="2" t="s">
        <v>11</v>
      </c>
      <c r="H3550" s="2">
        <v>30000000</v>
      </c>
      <c r="I3550" s="2">
        <v>6.7</v>
      </c>
      <c r="J3550" s="3">
        <v>125305545</v>
      </c>
      <c r="K3550">
        <f t="shared" si="118"/>
        <v>1.3775047412552699E-3</v>
      </c>
      <c r="R3550" s="12" t="str">
        <f ca="1">IFERROR(__xludf.DUMMYFUNCTION("""COMPUTED_VALUE"""),"Amigo ")</f>
        <v>Amigo </v>
      </c>
      <c r="S3550" s="12">
        <f t="shared" si="119"/>
        <v>-1581047</v>
      </c>
    </row>
    <row r="3551" spans="1:19" x14ac:dyDescent="0.3">
      <c r="A3551" s="2" t="s">
        <v>1979</v>
      </c>
      <c r="B3551" s="2">
        <v>88</v>
      </c>
      <c r="C3551" s="3">
        <v>12055</v>
      </c>
      <c r="D3551" s="3" t="s">
        <v>885</v>
      </c>
      <c r="E3551" s="2" t="s">
        <v>4170</v>
      </c>
      <c r="F3551" s="2" t="s">
        <v>10</v>
      </c>
      <c r="G3551" s="2" t="s">
        <v>11</v>
      </c>
      <c r="H3551" s="3">
        <v>474544677</v>
      </c>
      <c r="I3551" s="2">
        <v>7.5</v>
      </c>
      <c r="J3551" s="3">
        <v>125320003</v>
      </c>
      <c r="K3551">
        <f t="shared" si="118"/>
        <v>1.3775047412552699E-3</v>
      </c>
      <c r="R3551" s="12" t="str">
        <f ca="1">IFERROR(__xludf.DUMMYFUNCTION("""COMPUTED_VALUE"""),"Pontypool ")</f>
        <v>Pontypool </v>
      </c>
      <c r="S3551" s="12">
        <f t="shared" si="119"/>
        <v>-56813043</v>
      </c>
    </row>
    <row r="3552" spans="1:19" x14ac:dyDescent="0.3">
      <c r="A3552" s="2" t="s">
        <v>2013</v>
      </c>
      <c r="B3552" s="2">
        <v>96</v>
      </c>
      <c r="C3552" s="3">
        <v>174682</v>
      </c>
      <c r="D3552" s="3" t="s">
        <v>5940</v>
      </c>
      <c r="E3552" s="2" t="s">
        <v>2014</v>
      </c>
      <c r="F3552" s="2" t="s">
        <v>10</v>
      </c>
      <c r="G3552" s="2" t="s">
        <v>11</v>
      </c>
      <c r="H3552" s="2">
        <v>35000000</v>
      </c>
      <c r="I3552" s="2">
        <v>6.3</v>
      </c>
      <c r="J3552" s="3">
        <v>125332007</v>
      </c>
      <c r="K3552">
        <f t="shared" si="118"/>
        <v>1.3775047412552699E-3</v>
      </c>
      <c r="R3552" s="12" t="str">
        <f ca="1">IFERROR(__xludf.DUMMYFUNCTION("""COMPUTED_VALUE"""),"Trucker ")</f>
        <v>Trucker </v>
      </c>
      <c r="S3552" s="12">
        <f t="shared" si="119"/>
        <v>14559004</v>
      </c>
    </row>
    <row r="3553" spans="1:19" x14ac:dyDescent="0.3">
      <c r="A3553" s="2" t="s">
        <v>485</v>
      </c>
      <c r="B3553" s="2">
        <v>172</v>
      </c>
      <c r="C3553" s="3">
        <v>177840</v>
      </c>
      <c r="D3553" s="3" t="s">
        <v>6026</v>
      </c>
      <c r="E3553" s="2" t="s">
        <v>486</v>
      </c>
      <c r="F3553" s="2" t="s">
        <v>10</v>
      </c>
      <c r="G3553" s="2" t="s">
        <v>199</v>
      </c>
      <c r="H3553" s="2">
        <v>102000000</v>
      </c>
      <c r="I3553" s="2">
        <v>7.5</v>
      </c>
      <c r="J3553" s="3">
        <v>125531634</v>
      </c>
      <c r="K3553">
        <f t="shared" si="118"/>
        <v>1.3775047412552699E-3</v>
      </c>
      <c r="R3553" s="12" t="str">
        <f ca="1">IFERROR(__xludf.DUMMYFUNCTION("""COMPUTED_VALUE"""),"The Lords of Salem ")</f>
        <v>The Lords of Salem </v>
      </c>
      <c r="S3553" s="12">
        <f t="shared" si="119"/>
        <v>-100649447</v>
      </c>
    </row>
    <row r="3554" spans="1:19" x14ac:dyDescent="0.3">
      <c r="A3554" s="2" t="s">
        <v>3388</v>
      </c>
      <c r="B3554" s="2">
        <v>114</v>
      </c>
      <c r="C3554" s="3">
        <v>5501940</v>
      </c>
      <c r="D3554" s="3" t="s">
        <v>5910</v>
      </c>
      <c r="E3554" s="2" t="s">
        <v>3389</v>
      </c>
      <c r="F3554" s="2" t="s">
        <v>10</v>
      </c>
      <c r="G3554" s="2" t="s">
        <v>16</v>
      </c>
      <c r="H3554" s="2">
        <v>14000000</v>
      </c>
      <c r="I3554" s="2">
        <v>8.1</v>
      </c>
      <c r="J3554" s="3">
        <v>125548685</v>
      </c>
      <c r="K3554">
        <f t="shared" si="118"/>
        <v>1.3775047412552699E-3</v>
      </c>
      <c r="R3554" s="12" t="str">
        <f ca="1">IFERROR(__xludf.DUMMYFUNCTION("""COMPUTED_VALUE"""),"Snow White and the Seven Dwarfs ")</f>
        <v>Snow White and the Seven Dwarfs </v>
      </c>
      <c r="S3554" s="12">
        <f t="shared" si="119"/>
        <v>-14061792</v>
      </c>
    </row>
    <row r="3555" spans="1:19" x14ac:dyDescent="0.3">
      <c r="A3555" s="2" t="s">
        <v>680</v>
      </c>
      <c r="B3555" s="2">
        <v>88</v>
      </c>
      <c r="C3555" s="3">
        <v>2956000</v>
      </c>
      <c r="D3555" s="3" t="s">
        <v>6424</v>
      </c>
      <c r="E3555" s="2" t="s">
        <v>681</v>
      </c>
      <c r="F3555" s="2" t="s">
        <v>10</v>
      </c>
      <c r="G3555" s="2" t="s">
        <v>199</v>
      </c>
      <c r="H3555" s="2">
        <v>80000000</v>
      </c>
      <c r="I3555" s="2">
        <v>5.6</v>
      </c>
      <c r="J3555" s="3">
        <v>125603360</v>
      </c>
      <c r="K3555">
        <f t="shared" si="118"/>
        <v>1.3775047412552699E-3</v>
      </c>
      <c r="R3555" s="12" t="str">
        <f ca="1">IFERROR(__xludf.DUMMYFUNCTION("""COMPUTED_VALUE"""),"The Holy Girl ")</f>
        <v>The Holy Girl </v>
      </c>
      <c r="S3555" s="12">
        <f t="shared" si="119"/>
        <v>20669413</v>
      </c>
    </row>
    <row r="3556" spans="1:19" x14ac:dyDescent="0.3">
      <c r="A3556" s="2" t="s">
        <v>1338</v>
      </c>
      <c r="B3556" s="2">
        <v>120</v>
      </c>
      <c r="C3556" s="3">
        <v>5595428</v>
      </c>
      <c r="D3556" s="3" t="s">
        <v>5940</v>
      </c>
      <c r="E3556" s="2" t="s">
        <v>4574</v>
      </c>
      <c r="F3556" s="2" t="s">
        <v>10</v>
      </c>
      <c r="G3556" s="2" t="s">
        <v>11</v>
      </c>
      <c r="H3556" s="2">
        <v>6500000</v>
      </c>
      <c r="I3556" s="2">
        <v>7.9</v>
      </c>
      <c r="J3556" s="3">
        <v>126088877</v>
      </c>
      <c r="K3556">
        <f t="shared" si="118"/>
        <v>1.3775047412552699E-3</v>
      </c>
      <c r="R3556" s="12" t="str">
        <f ca="1">IFERROR(__xludf.DUMMYFUNCTION("""COMPUTED_VALUE"""),"Incident at Loch Ness ")</f>
        <v>Incident at Loch Ness </v>
      </c>
      <c r="S3556" s="12">
        <f t="shared" si="119"/>
        <v>69041</v>
      </c>
    </row>
    <row r="3557" spans="1:19" x14ac:dyDescent="0.3">
      <c r="A3557" s="2" t="s">
        <v>1453</v>
      </c>
      <c r="B3557" s="2">
        <v>124</v>
      </c>
      <c r="C3557" s="3">
        <v>568695</v>
      </c>
      <c r="D3557" s="3" t="s">
        <v>5940</v>
      </c>
      <c r="E3557" s="2" t="s">
        <v>1454</v>
      </c>
      <c r="F3557" s="2" t="s">
        <v>10</v>
      </c>
      <c r="G3557" s="2" t="s">
        <v>11</v>
      </c>
      <c r="H3557" s="2">
        <v>60000000</v>
      </c>
      <c r="I3557" s="2">
        <v>6.2</v>
      </c>
      <c r="J3557" s="3">
        <v>126149655</v>
      </c>
      <c r="K3557">
        <f t="shared" si="118"/>
        <v>1.3775047412552699E-3</v>
      </c>
      <c r="R3557" s="12" t="str">
        <f ca="1">IFERROR(__xludf.DUMMYFUNCTION("""COMPUTED_VALUE"""),"Lock, Stock and Two Smoking Barrels ")</f>
        <v>Lock, Stock and Two Smoking Barrels </v>
      </c>
      <c r="S3557" s="12">
        <f t="shared" si="119"/>
        <v>-158352616</v>
      </c>
    </row>
    <row r="3558" spans="1:19" x14ac:dyDescent="0.3">
      <c r="A3558" s="2" t="s">
        <v>424</v>
      </c>
      <c r="B3558" s="2">
        <v>102</v>
      </c>
      <c r="C3558" s="3">
        <v>5480996</v>
      </c>
      <c r="D3558" s="3" t="s">
        <v>6201</v>
      </c>
      <c r="E3558" s="2" t="s">
        <v>1601</v>
      </c>
      <c r="F3558" s="2" t="s">
        <v>10</v>
      </c>
      <c r="G3558" s="2" t="s">
        <v>11</v>
      </c>
      <c r="H3558" s="2">
        <v>50000000</v>
      </c>
      <c r="I3558" s="2">
        <v>6.8</v>
      </c>
      <c r="J3558" s="3">
        <v>126203320</v>
      </c>
      <c r="K3558">
        <f t="shared" si="118"/>
        <v>1.3775047412552699E-3</v>
      </c>
      <c r="R3558" s="12" t="str">
        <f ca="1">IFERROR(__xludf.DUMMYFUNCTION("""COMPUTED_VALUE"""),"The Celebration ")</f>
        <v>The Celebration </v>
      </c>
      <c r="S3558" s="12">
        <f t="shared" si="119"/>
        <v>-57167174</v>
      </c>
    </row>
    <row r="3559" spans="1:19" x14ac:dyDescent="0.3">
      <c r="A3559" s="2" t="s">
        <v>3525</v>
      </c>
      <c r="B3559" s="2">
        <v>95</v>
      </c>
      <c r="C3559" s="3">
        <v>133778</v>
      </c>
      <c r="D3559" s="3" t="s">
        <v>6245</v>
      </c>
      <c r="E3559" s="2" t="s">
        <v>3526</v>
      </c>
      <c r="F3559" s="2" t="s">
        <v>10</v>
      </c>
      <c r="G3559" s="2" t="s">
        <v>11</v>
      </c>
      <c r="H3559" s="2">
        <v>15000000</v>
      </c>
      <c r="I3559" s="2">
        <v>5.3</v>
      </c>
      <c r="J3559" s="3">
        <v>126464904</v>
      </c>
      <c r="K3559">
        <f t="shared" si="118"/>
        <v>1.3775047412552699E-3</v>
      </c>
      <c r="R3559" s="12" t="str">
        <f ca="1">IFERROR(__xludf.DUMMYFUNCTION("""COMPUTED_VALUE"""),"Trees Lounge ")</f>
        <v>Trees Lounge </v>
      </c>
      <c r="S3559" s="12">
        <f t="shared" si="119"/>
        <v>-16907809</v>
      </c>
    </row>
    <row r="3560" spans="1:19" x14ac:dyDescent="0.3">
      <c r="A3560" s="2" t="s">
        <v>165</v>
      </c>
      <c r="B3560" s="2">
        <v>85</v>
      </c>
      <c r="C3560" s="3">
        <v>9483821</v>
      </c>
      <c r="D3560" s="3" t="s">
        <v>6440</v>
      </c>
      <c r="E3560" s="2" t="s">
        <v>670</v>
      </c>
      <c r="F3560" s="2" t="s">
        <v>10</v>
      </c>
      <c r="G3560" s="2" t="s">
        <v>11</v>
      </c>
      <c r="H3560" s="2">
        <v>80000000</v>
      </c>
      <c r="I3560" s="2">
        <v>7.2</v>
      </c>
      <c r="J3560" s="3">
        <v>126546825</v>
      </c>
      <c r="K3560">
        <f t="shared" si="118"/>
        <v>1.3775047412552699E-3</v>
      </c>
      <c r="R3560" s="12" t="str">
        <f ca="1">IFERROR(__xludf.DUMMYFUNCTION("""COMPUTED_VALUE"""),"Journey from the Fall ")</f>
        <v>Journey from the Fall </v>
      </c>
      <c r="S3560" s="12">
        <f t="shared" si="119"/>
        <v>-87899760</v>
      </c>
    </row>
    <row r="3561" spans="1:19" x14ac:dyDescent="0.3">
      <c r="A3561" s="2" t="s">
        <v>181</v>
      </c>
      <c r="B3561" s="2">
        <v>105</v>
      </c>
      <c r="C3561" s="3">
        <v>56692</v>
      </c>
      <c r="D3561" s="3" t="s">
        <v>5940</v>
      </c>
      <c r="E3561" s="2" t="s">
        <v>2387</v>
      </c>
      <c r="F3561" s="2" t="s">
        <v>10</v>
      </c>
      <c r="G3561" s="2" t="s">
        <v>11</v>
      </c>
      <c r="H3561" s="2">
        <v>28000000</v>
      </c>
      <c r="I3561" s="2">
        <v>6.6</v>
      </c>
      <c r="J3561" s="3">
        <v>126597121</v>
      </c>
      <c r="K3561">
        <f t="shared" si="118"/>
        <v>1.3775047412552699E-3</v>
      </c>
      <c r="R3561" s="12" t="str">
        <f ca="1">IFERROR(__xludf.DUMMYFUNCTION("""COMPUTED_VALUE"""),"The Basket ")</f>
        <v>The Basket </v>
      </c>
      <c r="S3561" s="12">
        <f t="shared" si="119"/>
        <v>-39361049</v>
      </c>
    </row>
    <row r="3562" spans="1:19" x14ac:dyDescent="0.3">
      <c r="A3562" s="2" t="s">
        <v>1143</v>
      </c>
      <c r="B3562" s="2">
        <v>140</v>
      </c>
      <c r="C3562" s="3">
        <v>7137502</v>
      </c>
      <c r="D3562" s="3" t="s">
        <v>6477</v>
      </c>
      <c r="E3562" s="2" t="s">
        <v>1144</v>
      </c>
      <c r="F3562" s="2" t="s">
        <v>10</v>
      </c>
      <c r="G3562" s="2" t="s">
        <v>16</v>
      </c>
      <c r="H3562" s="2">
        <v>60000000</v>
      </c>
      <c r="I3562" s="2">
        <v>6.6</v>
      </c>
      <c r="J3562" s="3">
        <v>126805112</v>
      </c>
      <c r="K3562">
        <f t="shared" si="118"/>
        <v>1.3775047412552699E-3</v>
      </c>
      <c r="R3562" s="12" t="str">
        <f ca="1">IFERROR(__xludf.DUMMYFUNCTION("""COMPUTED_VALUE"""),"Eddie: The Sleepwalking Cannibal ")</f>
        <v>Eddie: The Sleepwalking Cannibal </v>
      </c>
      <c r="S3562" s="12">
        <f t="shared" si="119"/>
        <v>-2634400</v>
      </c>
    </row>
    <row r="3563" spans="1:19" x14ac:dyDescent="0.3">
      <c r="A3563" s="2" t="s">
        <v>2540</v>
      </c>
      <c r="B3563" s="2">
        <v>113</v>
      </c>
      <c r="C3563" s="3">
        <v>94596</v>
      </c>
      <c r="D3563" s="3" t="s">
        <v>520</v>
      </c>
      <c r="E3563" s="2" t="s">
        <v>3100</v>
      </c>
      <c r="F3563" s="2" t="s">
        <v>10</v>
      </c>
      <c r="G3563" s="2" t="s">
        <v>11</v>
      </c>
      <c r="H3563" s="2">
        <v>13000000</v>
      </c>
      <c r="I3563" s="2">
        <v>4.0999999999999996</v>
      </c>
      <c r="J3563" s="3">
        <v>126930660</v>
      </c>
      <c r="K3563">
        <f t="shared" si="118"/>
        <v>1.3775047412552699E-3</v>
      </c>
      <c r="R3563" s="12" t="str">
        <f ca="1">IFERROR(__xludf.DUMMYFUNCTION("""COMPUTED_VALUE"""),"The Hebrew Hammer ")</f>
        <v>The Hebrew Hammer </v>
      </c>
      <c r="S3563" s="12">
        <f t="shared" si="119"/>
        <v>-19982420</v>
      </c>
    </row>
    <row r="3564" spans="1:19" x14ac:dyDescent="0.3">
      <c r="A3564" s="2" t="s">
        <v>3990</v>
      </c>
      <c r="B3564" s="2">
        <v>103</v>
      </c>
      <c r="C3564" s="3">
        <v>5484375</v>
      </c>
      <c r="D3564" s="3" t="s">
        <v>5910</v>
      </c>
      <c r="E3564" s="2" t="s">
        <v>4417</v>
      </c>
      <c r="F3564" s="2" t="s">
        <v>10</v>
      </c>
      <c r="G3564" s="2" t="s">
        <v>11</v>
      </c>
      <c r="H3564" s="2">
        <v>7000000</v>
      </c>
      <c r="I3564" s="2">
        <v>6.5</v>
      </c>
      <c r="J3564" s="3">
        <v>126975169</v>
      </c>
      <c r="K3564">
        <f t="shared" si="118"/>
        <v>1.3775047412552699E-3</v>
      </c>
      <c r="R3564" s="12" t="str">
        <f ca="1">IFERROR(__xludf.DUMMYFUNCTION("""COMPUTED_VALUE"""),"Neal 'N' Nikki ")</f>
        <v>Neal 'N' Nikki </v>
      </c>
      <c r="S3564" s="12">
        <f t="shared" si="119"/>
        <v>-7231945</v>
      </c>
    </row>
    <row r="3565" spans="1:19" x14ac:dyDescent="0.3">
      <c r="A3565" s="2" t="s">
        <v>840</v>
      </c>
      <c r="B3565" s="2">
        <v>92</v>
      </c>
      <c r="C3565" s="3">
        <v>1098224</v>
      </c>
      <c r="D3565" s="3" t="s">
        <v>6478</v>
      </c>
      <c r="E3565" s="2" t="s">
        <v>1041</v>
      </c>
      <c r="F3565" s="2" t="s">
        <v>10</v>
      </c>
      <c r="G3565" s="2" t="s">
        <v>11</v>
      </c>
      <c r="H3565" s="2">
        <v>60000000</v>
      </c>
      <c r="I3565" s="2">
        <v>5.5</v>
      </c>
      <c r="J3565" s="3">
        <v>127083765</v>
      </c>
      <c r="K3565">
        <f t="shared" si="118"/>
        <v>1.3775047412552699E-3</v>
      </c>
      <c r="R3565" s="12" t="str">
        <f ca="1">IFERROR(__xludf.DUMMYFUNCTION("""COMPUTED_VALUE"""),"Friday the 13th Part 2 ")</f>
        <v>Friday the 13th Part 2 </v>
      </c>
      <c r="S3565" s="12">
        <f t="shared" si="119"/>
        <v>-34204874</v>
      </c>
    </row>
    <row r="3566" spans="1:19" x14ac:dyDescent="0.3">
      <c r="A3566" s="2" t="s">
        <v>2378</v>
      </c>
      <c r="B3566" s="2">
        <v>96</v>
      </c>
      <c r="C3566" s="3">
        <v>35707327</v>
      </c>
      <c r="D3566" s="3" t="s">
        <v>6479</v>
      </c>
      <c r="E3566" s="2" t="s">
        <v>4584</v>
      </c>
      <c r="F3566" s="2" t="s">
        <v>10</v>
      </c>
      <c r="G3566" s="2" t="s">
        <v>11</v>
      </c>
      <c r="H3566" s="2">
        <v>5250000</v>
      </c>
      <c r="I3566" s="2">
        <v>5</v>
      </c>
      <c r="J3566" s="3">
        <v>127175354</v>
      </c>
      <c r="K3566">
        <f t="shared" si="118"/>
        <v>1.3775047412552699E-3</v>
      </c>
      <c r="R3566" s="12" t="str">
        <f ca="1">IFERROR(__xludf.DUMMYFUNCTION("""COMPUTED_VALUE"""),"Filly Brown ")</f>
        <v>Filly Brown </v>
      </c>
      <c r="S3566" s="12">
        <f t="shared" si="119"/>
        <v>-5598317</v>
      </c>
    </row>
    <row r="3567" spans="1:19" x14ac:dyDescent="0.3">
      <c r="A3567" s="2" t="s">
        <v>2167</v>
      </c>
      <c r="B3567" s="2">
        <v>104</v>
      </c>
      <c r="C3567" s="3">
        <v>12212417</v>
      </c>
      <c r="D3567" s="3" t="s">
        <v>5969</v>
      </c>
      <c r="E3567" s="2" t="s">
        <v>2168</v>
      </c>
      <c r="F3567" s="2" t="s">
        <v>10</v>
      </c>
      <c r="G3567" s="2" t="s">
        <v>11</v>
      </c>
      <c r="H3567" s="2">
        <v>30000000</v>
      </c>
      <c r="I3567" s="2">
        <v>6.8</v>
      </c>
      <c r="J3567" s="3">
        <v>127214072</v>
      </c>
      <c r="K3567">
        <f t="shared" si="118"/>
        <v>1.3775047412552699E-3</v>
      </c>
      <c r="R3567" s="12" t="str">
        <f ca="1">IFERROR(__xludf.DUMMYFUNCTION("""COMPUTED_VALUE"""),"Sex, Lies, and Videotape ")</f>
        <v>Sex, Lies, and Videotape </v>
      </c>
      <c r="S3567" s="12">
        <f t="shared" si="119"/>
        <v>26729374</v>
      </c>
    </row>
    <row r="3568" spans="1:19" x14ac:dyDescent="0.3">
      <c r="A3568" s="2" t="s">
        <v>454</v>
      </c>
      <c r="B3568" s="2">
        <v>100</v>
      </c>
      <c r="C3568" s="3">
        <v>30084</v>
      </c>
      <c r="D3568" s="3" t="s">
        <v>5773</v>
      </c>
      <c r="E3568" s="2" t="s">
        <v>2856</v>
      </c>
      <c r="F3568" s="2" t="s">
        <v>10</v>
      </c>
      <c r="G3568" s="2" t="s">
        <v>11</v>
      </c>
      <c r="H3568" s="2">
        <v>28000000</v>
      </c>
      <c r="I3568" s="2">
        <v>6.4</v>
      </c>
      <c r="J3568" s="3">
        <v>127490802</v>
      </c>
      <c r="K3568">
        <f t="shared" si="118"/>
        <v>1.3775047412552699E-3</v>
      </c>
      <c r="R3568" s="12" t="str">
        <f ca="1">IFERROR(__xludf.DUMMYFUNCTION("""COMPUTED_VALUE"""),"Saw ")</f>
        <v>Saw </v>
      </c>
      <c r="S3568" s="12">
        <f t="shared" si="119"/>
        <v>-15596068</v>
      </c>
    </row>
    <row r="3569" spans="1:19" x14ac:dyDescent="0.3">
      <c r="A3569" s="2" t="s">
        <v>1922</v>
      </c>
      <c r="B3569" s="2">
        <v>105</v>
      </c>
      <c r="C3569" s="3">
        <v>562059</v>
      </c>
      <c r="D3569" s="3" t="s">
        <v>6026</v>
      </c>
      <c r="E3569" s="2" t="s">
        <v>4563</v>
      </c>
      <c r="F3569" s="2" t="s">
        <v>10</v>
      </c>
      <c r="G3569" s="2" t="s">
        <v>98</v>
      </c>
      <c r="H3569" s="2">
        <v>5500000</v>
      </c>
      <c r="I3569" s="2">
        <v>7.7</v>
      </c>
      <c r="J3569" s="3">
        <v>127706877</v>
      </c>
      <c r="K3569">
        <f t="shared" si="118"/>
        <v>1.3775047412552699E-3</v>
      </c>
      <c r="R3569" s="12" t="str">
        <f ca="1">IFERROR(__xludf.DUMMYFUNCTION("""COMPUTED_VALUE"""),"Super Troopers ")</f>
        <v>Super Troopers </v>
      </c>
      <c r="S3569" s="12">
        <f t="shared" si="119"/>
        <v>-14871022</v>
      </c>
    </row>
    <row r="3570" spans="1:19" x14ac:dyDescent="0.3">
      <c r="A3570" s="2" t="s">
        <v>987</v>
      </c>
      <c r="B3570" s="2">
        <v>118</v>
      </c>
      <c r="C3570" s="3">
        <v>798341</v>
      </c>
      <c r="D3570" s="3" t="s">
        <v>5973</v>
      </c>
      <c r="E3570" s="2" t="s">
        <v>2029</v>
      </c>
      <c r="F3570" s="2" t="s">
        <v>10</v>
      </c>
      <c r="G3570" s="2" t="s">
        <v>11</v>
      </c>
      <c r="H3570" s="2">
        <v>35000000</v>
      </c>
      <c r="I3570" s="2">
        <v>6.2</v>
      </c>
      <c r="J3570" s="3">
        <v>127968405</v>
      </c>
      <c r="K3570">
        <f t="shared" si="118"/>
        <v>1.3775047412552699E-3</v>
      </c>
      <c r="R3570" s="12" t="str">
        <f ca="1">IFERROR(__xludf.DUMMYFUNCTION("""COMPUTED_VALUE"""),"The Amazing Catfish ")</f>
        <v>The Amazing Catfish </v>
      </c>
      <c r="S3570" s="12">
        <f t="shared" si="119"/>
        <v>10501785</v>
      </c>
    </row>
    <row r="3571" spans="1:19" x14ac:dyDescent="0.3">
      <c r="A3571" s="2" t="s">
        <v>266</v>
      </c>
      <c r="B3571" s="2">
        <v>91</v>
      </c>
      <c r="C3571" s="3">
        <v>5660084</v>
      </c>
      <c r="D3571" s="3" t="s">
        <v>1703</v>
      </c>
      <c r="E3571" s="2" t="s">
        <v>3505</v>
      </c>
      <c r="F3571" s="2" t="s">
        <v>10</v>
      </c>
      <c r="G3571" s="2" t="s">
        <v>11</v>
      </c>
      <c r="H3571" s="2">
        <v>15000000</v>
      </c>
      <c r="I3571" s="2">
        <v>5</v>
      </c>
      <c r="J3571" s="3">
        <v>127997349</v>
      </c>
      <c r="K3571">
        <f t="shared" si="118"/>
        <v>1.3775047412552699E-3</v>
      </c>
      <c r="R3571" s="12" t="str">
        <f ca="1">IFERROR(__xludf.DUMMYFUNCTION("""COMPUTED_VALUE"""),"Monsoon Wedding ")</f>
        <v>Monsoon Wedding </v>
      </c>
      <c r="S3571" s="12">
        <f t="shared" si="119"/>
        <v>-35371249</v>
      </c>
    </row>
    <row r="3572" spans="1:19" x14ac:dyDescent="0.3">
      <c r="A3572" s="2" t="s">
        <v>1585</v>
      </c>
      <c r="B3572" s="2">
        <v>134</v>
      </c>
      <c r="C3572" s="3">
        <v>37371385</v>
      </c>
      <c r="D3572" s="3" t="s">
        <v>5753</v>
      </c>
      <c r="E3572" s="2" t="s">
        <v>2533</v>
      </c>
      <c r="F3572" s="2" t="s">
        <v>10</v>
      </c>
      <c r="G3572" s="2" t="s">
        <v>11</v>
      </c>
      <c r="H3572" s="2">
        <v>25000000</v>
      </c>
      <c r="I3572" s="2">
        <v>7.8</v>
      </c>
      <c r="J3572" s="3">
        <v>128067808</v>
      </c>
      <c r="K3572">
        <f t="shared" si="118"/>
        <v>1.3775047412552699E-3</v>
      </c>
      <c r="R3572" s="12" t="str">
        <f ca="1">IFERROR(__xludf.DUMMYFUNCTION("""COMPUTED_VALUE"""),"You Can Count on Me ")</f>
        <v>You Can Count on Me </v>
      </c>
      <c r="S3572" s="12">
        <f t="shared" si="119"/>
        <v>-29589612</v>
      </c>
    </row>
    <row r="3573" spans="1:19" x14ac:dyDescent="0.3">
      <c r="A3573" s="2" t="s">
        <v>1922</v>
      </c>
      <c r="B3573" s="2">
        <v>101</v>
      </c>
      <c r="C3573" s="3">
        <v>800000</v>
      </c>
      <c r="D3573" s="3" t="s">
        <v>6050</v>
      </c>
      <c r="E3573" s="2" t="s">
        <v>2536</v>
      </c>
      <c r="F3573" s="2" t="s">
        <v>10</v>
      </c>
      <c r="G3573" s="2" t="s">
        <v>11</v>
      </c>
      <c r="H3573" s="2">
        <v>25000000</v>
      </c>
      <c r="I3573" s="2">
        <v>6.5</v>
      </c>
      <c r="J3573" s="3">
        <v>128200012</v>
      </c>
      <c r="K3573">
        <f t="shared" si="118"/>
        <v>1.3775047412552699E-3</v>
      </c>
      <c r="R3573" s="12" t="str">
        <f ca="1">IFERROR(__xludf.DUMMYFUNCTION("""COMPUTED_VALUE"""),"But I'm a Cheerleader ")</f>
        <v>But I'm a Cheerleader </v>
      </c>
      <c r="S3573" s="12">
        <f t="shared" si="119"/>
        <v>-474532622</v>
      </c>
    </row>
    <row r="3574" spans="1:19" x14ac:dyDescent="0.3">
      <c r="A3574" s="2" t="s">
        <v>99</v>
      </c>
      <c r="B3574" s="2">
        <v>157</v>
      </c>
      <c r="C3574" s="3">
        <v>27515786</v>
      </c>
      <c r="D3574" s="3" t="s">
        <v>6195</v>
      </c>
      <c r="E3574" s="2" t="s">
        <v>201</v>
      </c>
      <c r="F3574" s="2" t="s">
        <v>10</v>
      </c>
      <c r="G3574" s="2" t="s">
        <v>16</v>
      </c>
      <c r="H3574" s="2">
        <v>150000000</v>
      </c>
      <c r="I3574" s="2">
        <v>7.6</v>
      </c>
      <c r="J3574" s="3">
        <v>128300000</v>
      </c>
      <c r="K3574">
        <f t="shared" si="118"/>
        <v>1.3775047412552699E-3</v>
      </c>
      <c r="R3574" s="12" t="str">
        <f ca="1">IFERROR(__xludf.DUMMYFUNCTION("""COMPUTED_VALUE"""),"Home Run ")</f>
        <v>Home Run </v>
      </c>
      <c r="S3574" s="12">
        <f t="shared" si="119"/>
        <v>-34825318</v>
      </c>
    </row>
    <row r="3575" spans="1:19" x14ac:dyDescent="0.3">
      <c r="A3575" s="2" t="s">
        <v>2511</v>
      </c>
      <c r="B3575" s="2">
        <v>118</v>
      </c>
      <c r="C3575" s="3">
        <v>32721635</v>
      </c>
      <c r="D3575" s="3" t="s">
        <v>885</v>
      </c>
      <c r="E3575" s="2" t="s">
        <v>2512</v>
      </c>
      <c r="F3575" s="2" t="s">
        <v>10</v>
      </c>
      <c r="G3575" s="2" t="s">
        <v>11</v>
      </c>
      <c r="H3575" s="2">
        <v>26000000</v>
      </c>
      <c r="I3575" s="2">
        <v>6.7</v>
      </c>
      <c r="J3575" s="3">
        <v>128505958</v>
      </c>
      <c r="K3575">
        <f t="shared" si="118"/>
        <v>1.3775047412552699E-3</v>
      </c>
      <c r="R3575" s="12" t="str">
        <f ca="1">IFERROR(__xludf.DUMMYFUNCTION("""COMPUTED_VALUE"""),"Reservoir Dogs ")</f>
        <v>Reservoir Dogs </v>
      </c>
      <c r="S3575" s="12">
        <f t="shared" si="119"/>
        <v>-101822160</v>
      </c>
    </row>
    <row r="3576" spans="1:19" x14ac:dyDescent="0.3">
      <c r="A3576" s="2" t="s">
        <v>4225</v>
      </c>
      <c r="B3576" s="2">
        <v>104</v>
      </c>
      <c r="C3576" s="2">
        <v>4273372</v>
      </c>
      <c r="D3576" s="3" t="s">
        <v>6142</v>
      </c>
      <c r="E3576" s="2" t="s">
        <v>4226</v>
      </c>
      <c r="F3576" s="2" t="s">
        <v>10</v>
      </c>
      <c r="G3576" s="2" t="s">
        <v>11</v>
      </c>
      <c r="H3576" s="2">
        <v>22000000</v>
      </c>
      <c r="I3576" s="2">
        <v>2.1</v>
      </c>
      <c r="J3576" s="3">
        <v>128769345</v>
      </c>
      <c r="K3576">
        <f t="shared" si="118"/>
        <v>1.3775047412552699E-3</v>
      </c>
      <c r="R3576" s="12" t="str">
        <f ca="1">IFERROR(__xludf.DUMMYFUNCTION("""COMPUTED_VALUE"""),"The Good, the Bad and the Ugly ")</f>
        <v>The Good, the Bad and the Ugly </v>
      </c>
      <c r="S3576" s="12">
        <f t="shared" si="119"/>
        <v>-8498060</v>
      </c>
    </row>
    <row r="3577" spans="1:19" x14ac:dyDescent="0.3">
      <c r="A3577" s="2" t="s">
        <v>2796</v>
      </c>
      <c r="B3577" s="2">
        <v>95</v>
      </c>
      <c r="C3577" s="3">
        <v>85222</v>
      </c>
      <c r="D3577" s="3" t="s">
        <v>6118</v>
      </c>
      <c r="E3577" s="2" t="s">
        <v>2797</v>
      </c>
      <c r="F3577" s="2" t="s">
        <v>10</v>
      </c>
      <c r="G3577" s="2" t="s">
        <v>199</v>
      </c>
      <c r="H3577" s="2">
        <v>22000000</v>
      </c>
      <c r="I3577" s="2">
        <v>5.7</v>
      </c>
      <c r="J3577" s="3">
        <v>129734803</v>
      </c>
      <c r="K3577">
        <f t="shared" si="118"/>
        <v>1.3775047412552699E-3</v>
      </c>
      <c r="R3577" s="12" t="str">
        <f ca="1">IFERROR(__xludf.DUMMYFUNCTION("""COMPUTED_VALUE"""),"The Second Mother ")</f>
        <v>The Second Mother </v>
      </c>
      <c r="S3577" s="12">
        <f t="shared" si="119"/>
        <v>-77044000</v>
      </c>
    </row>
    <row r="3578" spans="1:19" x14ac:dyDescent="0.3">
      <c r="A3578" s="2" t="s">
        <v>2540</v>
      </c>
      <c r="B3578" s="2">
        <v>100</v>
      </c>
      <c r="C3578" s="3">
        <v>180483</v>
      </c>
      <c r="D3578" s="3" t="s">
        <v>5767</v>
      </c>
      <c r="E3578" s="2" t="s">
        <v>2541</v>
      </c>
      <c r="F3578" s="2" t="s">
        <v>10</v>
      </c>
      <c r="G3578" s="2" t="s">
        <v>11</v>
      </c>
      <c r="H3578" s="2">
        <v>25000000</v>
      </c>
      <c r="I3578" s="2">
        <v>4.7</v>
      </c>
      <c r="J3578" s="3">
        <v>129995817</v>
      </c>
      <c r="K3578">
        <f t="shared" si="118"/>
        <v>1.3775047412552699E-3</v>
      </c>
      <c r="R3578" s="12" t="str">
        <f ca="1">IFERROR(__xludf.DUMMYFUNCTION("""COMPUTED_VALUE"""),"Blue Like Jazz ")</f>
        <v>Blue Like Jazz </v>
      </c>
      <c r="S3578" s="12">
        <f t="shared" si="119"/>
        <v>-904572</v>
      </c>
    </row>
    <row r="3579" spans="1:19" x14ac:dyDescent="0.3">
      <c r="A3579" s="2" t="s">
        <v>2216</v>
      </c>
      <c r="B3579" s="2">
        <v>124</v>
      </c>
      <c r="C3579" s="2">
        <v>10763469</v>
      </c>
      <c r="D3579" s="3" t="s">
        <v>6103</v>
      </c>
      <c r="E3579" s="2" t="s">
        <v>3500</v>
      </c>
      <c r="F3579" s="2" t="s">
        <v>10</v>
      </c>
      <c r="G3579" s="2" t="s">
        <v>11</v>
      </c>
      <c r="H3579" s="2">
        <v>15000000</v>
      </c>
      <c r="I3579" s="2">
        <v>6.4</v>
      </c>
      <c r="J3579" s="3">
        <v>130058047</v>
      </c>
      <c r="K3579">
        <f t="shared" si="118"/>
        <v>1.3775047412552699E-3</v>
      </c>
      <c r="R3579" s="12" t="str">
        <f ca="1">IFERROR(__xludf.DUMMYFUNCTION("""COMPUTED_VALUE"""),"Down and Out with the Dolls ")</f>
        <v>Down and Out with the Dolls </v>
      </c>
      <c r="S3579" s="12">
        <f t="shared" si="119"/>
        <v>-59431305</v>
      </c>
    </row>
    <row r="3580" spans="1:19" x14ac:dyDescent="0.3">
      <c r="A3580" s="2" t="s">
        <v>3904</v>
      </c>
      <c r="B3580" s="2">
        <v>86</v>
      </c>
      <c r="C3580" s="3">
        <v>233103</v>
      </c>
      <c r="D3580" s="3" t="s">
        <v>1703</v>
      </c>
      <c r="E3580" s="2" t="s">
        <v>3905</v>
      </c>
      <c r="F3580" s="2" t="s">
        <v>10</v>
      </c>
      <c r="G3580" s="2" t="s">
        <v>11</v>
      </c>
      <c r="H3580" s="2">
        <v>11000000</v>
      </c>
      <c r="I3580" s="2">
        <v>4.5999999999999996</v>
      </c>
      <c r="J3580" s="3">
        <v>130127620</v>
      </c>
      <c r="K3580">
        <f t="shared" si="118"/>
        <v>1.3775047412552699E-3</v>
      </c>
      <c r="R3580" s="12" t="str">
        <f ca="1">IFERROR(__xludf.DUMMYFUNCTION("""COMPUTED_VALUE"""),"Pink Ribbons, Inc. ")</f>
        <v>Pink Ribbons, Inc. </v>
      </c>
      <c r="S3580" s="12">
        <f t="shared" si="119"/>
        <v>-44519004</v>
      </c>
    </row>
    <row r="3581" spans="1:19" x14ac:dyDescent="0.3">
      <c r="A3581" s="2" t="s">
        <v>1185</v>
      </c>
      <c r="B3581" s="2">
        <v>129</v>
      </c>
      <c r="C3581" s="3">
        <v>317125</v>
      </c>
      <c r="D3581" s="3" t="s">
        <v>6241</v>
      </c>
      <c r="E3581" s="2" t="s">
        <v>3111</v>
      </c>
      <c r="F3581" s="2" t="s">
        <v>10</v>
      </c>
      <c r="G3581" s="2" t="s">
        <v>11</v>
      </c>
      <c r="H3581" s="2">
        <v>19000000</v>
      </c>
      <c r="I3581" s="2">
        <v>6.5</v>
      </c>
      <c r="J3581" s="3">
        <v>130174897</v>
      </c>
      <c r="K3581">
        <f t="shared" si="118"/>
        <v>1.3775047412552699E-3</v>
      </c>
      <c r="R3581" s="12" t="str">
        <f ca="1">IFERROR(__xludf.DUMMYFUNCTION("""COMPUTED_VALUE"""),"Certifiably Jonathan ")</f>
        <v>Certifiably Jonathan </v>
      </c>
      <c r="S3581" s="12">
        <f t="shared" si="119"/>
        <v>-14866222</v>
      </c>
    </row>
    <row r="3582" spans="1:19" x14ac:dyDescent="0.3">
      <c r="A3582" s="2" t="s">
        <v>2269</v>
      </c>
      <c r="B3582" s="2">
        <v>63</v>
      </c>
      <c r="C3582" s="3">
        <v>792966</v>
      </c>
      <c r="D3582" s="3" t="s">
        <v>6441</v>
      </c>
      <c r="E3582" s="2" t="s">
        <v>2270</v>
      </c>
      <c r="F3582" s="2" t="s">
        <v>10</v>
      </c>
      <c r="G3582" s="2" t="s">
        <v>11</v>
      </c>
      <c r="H3582" s="2">
        <v>30000000</v>
      </c>
      <c r="I3582" s="2">
        <v>7.3</v>
      </c>
      <c r="J3582" s="3">
        <v>130313314</v>
      </c>
      <c r="K3582">
        <f t="shared" si="118"/>
        <v>1.3775047412552699E-3</v>
      </c>
      <c r="R3582" s="12" t="str">
        <f ca="1">IFERROR(__xludf.DUMMYFUNCTION("""COMPUTED_VALUE"""),"The Knife of Don Juan ")</f>
        <v>The Knife of Don Juan </v>
      </c>
      <c r="S3582" s="12">
        <f t="shared" si="119"/>
        <v>-70516179</v>
      </c>
    </row>
    <row r="3583" spans="1:19" x14ac:dyDescent="0.3">
      <c r="A3583" s="2" t="s">
        <v>584</v>
      </c>
      <c r="B3583" s="2">
        <v>100</v>
      </c>
      <c r="C3583" s="3">
        <v>15278</v>
      </c>
      <c r="D3583" s="3" t="s">
        <v>6093</v>
      </c>
      <c r="E3583" s="2" t="s">
        <v>793</v>
      </c>
      <c r="F3583" s="2" t="s">
        <v>10</v>
      </c>
      <c r="G3583" s="2" t="s">
        <v>11</v>
      </c>
      <c r="H3583" s="2">
        <v>35000000</v>
      </c>
      <c r="I3583" s="2">
        <v>5.4</v>
      </c>
      <c r="J3583" s="3">
        <v>130468626</v>
      </c>
      <c r="K3583">
        <f t="shared" si="118"/>
        <v>1.3775047412552699E-3</v>
      </c>
      <c r="R3583" s="12" t="str">
        <f ca="1">IFERROR(__xludf.DUMMYFUNCTION("""COMPUTED_VALUE"""),"Airborne ")</f>
        <v>Airborne </v>
      </c>
      <c r="S3583" s="12">
        <f t="shared" si="119"/>
        <v>-27943308</v>
      </c>
    </row>
    <row r="3584" spans="1:19" x14ac:dyDescent="0.3">
      <c r="A3584" s="2" t="s">
        <v>847</v>
      </c>
      <c r="B3584" s="2">
        <v>126</v>
      </c>
      <c r="C3584" s="3">
        <v>7262288</v>
      </c>
      <c r="D3584" s="3" t="s">
        <v>5849</v>
      </c>
      <c r="E3584" s="2" t="s">
        <v>3681</v>
      </c>
      <c r="F3584" s="2" t="s">
        <v>10</v>
      </c>
      <c r="G3584" s="2" t="s">
        <v>11</v>
      </c>
      <c r="H3584" s="2">
        <v>18000000</v>
      </c>
      <c r="I3584" s="2">
        <v>7.2</v>
      </c>
      <c r="J3584" s="3">
        <v>130512915</v>
      </c>
      <c r="K3584">
        <f t="shared" si="118"/>
        <v>1.3775047412552699E-3</v>
      </c>
      <c r="R3584" s="12" t="str">
        <f ca="1">IFERROR(__xludf.DUMMYFUNCTION("""COMPUTED_VALUE"""),"Waiting... ")</f>
        <v>Waiting... </v>
      </c>
      <c r="S3584" s="12">
        <f t="shared" si="119"/>
        <v>-52862498</v>
      </c>
    </row>
    <row r="3585" spans="1:19" x14ac:dyDescent="0.3">
      <c r="A3585" s="2" t="s">
        <v>646</v>
      </c>
      <c r="B3585" s="2">
        <v>121</v>
      </c>
      <c r="C3585" s="3">
        <v>27667947</v>
      </c>
      <c r="D3585" s="3" t="s">
        <v>5894</v>
      </c>
      <c r="E3585" s="2" t="s">
        <v>3325</v>
      </c>
      <c r="F3585" s="2" t="s">
        <v>10</v>
      </c>
      <c r="G3585" s="2" t="s">
        <v>16</v>
      </c>
      <c r="H3585" s="2">
        <v>8000000</v>
      </c>
      <c r="I3585" s="2">
        <v>7.9</v>
      </c>
      <c r="J3585" s="3">
        <v>130727000</v>
      </c>
      <c r="K3585">
        <f t="shared" si="118"/>
        <v>1.3775047412552699E-3</v>
      </c>
      <c r="R3585" s="12" t="str">
        <f ca="1">IFERROR(__xludf.DUMMYFUNCTION("""COMPUTED_VALUE"""),"Dead Man's Shoes ")</f>
        <v>Dead Man's Shoes </v>
      </c>
      <c r="S3585" s="12">
        <f t="shared" si="119"/>
        <v>-12905404</v>
      </c>
    </row>
    <row r="3586" spans="1:19" x14ac:dyDescent="0.3">
      <c r="A3586" s="2" t="s">
        <v>404</v>
      </c>
      <c r="B3586" s="2">
        <v>106</v>
      </c>
      <c r="C3586" s="3">
        <v>373967</v>
      </c>
      <c r="D3586" s="3" t="s">
        <v>6040</v>
      </c>
      <c r="E3586" s="2" t="s">
        <v>2268</v>
      </c>
      <c r="F3586" s="2" t="s">
        <v>10</v>
      </c>
      <c r="G3586" s="2" t="s">
        <v>11</v>
      </c>
      <c r="H3586" s="2">
        <v>30000000</v>
      </c>
      <c r="I3586" s="2">
        <v>7.1</v>
      </c>
      <c r="J3586" s="3">
        <v>131144183</v>
      </c>
      <c r="K3586">
        <f t="shared" ref="K3586:K3649" si="120">CORREL(H$2:H$3941,J$2:J$3941)</f>
        <v>1.3775047412552699E-3</v>
      </c>
      <c r="R3586" s="12" t="str">
        <f ca="1">IFERROR(__xludf.DUMMYFUNCTION("""COMPUTED_VALUE"""),"From a Whisper to a Scream ")</f>
        <v>From a Whisper to a Scream </v>
      </c>
      <c r="S3586" s="12">
        <f t="shared" si="119"/>
        <v>-1515625</v>
      </c>
    </row>
    <row r="3587" spans="1:19" x14ac:dyDescent="0.3">
      <c r="A3587" s="2" t="s">
        <v>114</v>
      </c>
      <c r="B3587" s="2">
        <v>115</v>
      </c>
      <c r="C3587" s="3">
        <v>117560</v>
      </c>
      <c r="D3587" s="3" t="s">
        <v>5940</v>
      </c>
      <c r="E3587" s="2" t="s">
        <v>260</v>
      </c>
      <c r="F3587" s="2" t="s">
        <v>10</v>
      </c>
      <c r="G3587" s="2" t="s">
        <v>11</v>
      </c>
      <c r="H3587" s="2">
        <v>150000000</v>
      </c>
      <c r="I3587" s="2">
        <v>6.3</v>
      </c>
      <c r="J3587" s="3">
        <v>131536019</v>
      </c>
      <c r="K3587">
        <f t="shared" si="120"/>
        <v>1.3775047412552699E-3</v>
      </c>
      <c r="R3587" s="12" t="str">
        <f ca="1">IFERROR(__xludf.DUMMYFUNCTION("""COMPUTED_VALUE"""),"Dracula: Pages from a Virgin's Diary ")</f>
        <v>Dracula: Pages from a Virgin's Diary </v>
      </c>
      <c r="S3587" s="12">
        <f t="shared" si="119"/>
        <v>-58901776</v>
      </c>
    </row>
    <row r="3588" spans="1:19" x14ac:dyDescent="0.3">
      <c r="A3588" s="2" t="s">
        <v>3834</v>
      </c>
      <c r="B3588" s="2">
        <v>82</v>
      </c>
      <c r="C3588" s="3">
        <v>58936</v>
      </c>
      <c r="D3588" s="3" t="s">
        <v>5849</v>
      </c>
      <c r="E3588" s="2" t="s">
        <v>4130</v>
      </c>
      <c r="F3588" s="2" t="s">
        <v>10</v>
      </c>
      <c r="G3588" s="2" t="s">
        <v>11</v>
      </c>
      <c r="H3588" s="2">
        <v>10000000</v>
      </c>
      <c r="I3588" s="2">
        <v>6.3</v>
      </c>
      <c r="J3588" s="3">
        <v>131564731</v>
      </c>
      <c r="K3588">
        <f t="shared" si="120"/>
        <v>1.3775047412552699E-3</v>
      </c>
      <c r="R3588" s="12" t="str">
        <f ca="1">IFERROR(__xludf.DUMMYFUNCTION("""COMPUTED_VALUE"""),"Beyond the Black Rainbow ")</f>
        <v>Beyond the Black Rainbow </v>
      </c>
      <c r="S3588" s="12">
        <f t="shared" si="119"/>
        <v>30457327</v>
      </c>
    </row>
    <row r="3589" spans="1:19" x14ac:dyDescent="0.3">
      <c r="A3589" s="2" t="s">
        <v>462</v>
      </c>
      <c r="B3589" s="2">
        <v>165</v>
      </c>
      <c r="C3589" s="3">
        <v>128486</v>
      </c>
      <c r="D3589" s="3" t="s">
        <v>6245</v>
      </c>
      <c r="E3589" s="2" t="s">
        <v>463</v>
      </c>
      <c r="F3589" s="2" t="s">
        <v>10</v>
      </c>
      <c r="G3589" s="2" t="s">
        <v>11</v>
      </c>
      <c r="H3589" s="2">
        <v>100000000</v>
      </c>
      <c r="I3589" s="2">
        <v>8.5</v>
      </c>
      <c r="J3589" s="3">
        <v>131920333</v>
      </c>
      <c r="K3589">
        <f t="shared" si="120"/>
        <v>1.3775047412552699E-3</v>
      </c>
      <c r="R3589" s="12" t="str">
        <f ca="1">IFERROR(__xludf.DUMMYFUNCTION("""COMPUTED_VALUE"""),"The Raid: Redemption ")</f>
        <v>The Raid: Redemption </v>
      </c>
      <c r="S3589" s="12">
        <f t="shared" si="119"/>
        <v>-17787583</v>
      </c>
    </row>
    <row r="3590" spans="1:19" x14ac:dyDescent="0.3">
      <c r="A3590" s="2" t="s">
        <v>1017</v>
      </c>
      <c r="B3590" s="2">
        <v>89</v>
      </c>
      <c r="C3590" s="3">
        <v>223878</v>
      </c>
      <c r="D3590" s="3" t="s">
        <v>6069</v>
      </c>
      <c r="E3590" s="2" t="s">
        <v>3304</v>
      </c>
      <c r="F3590" s="2" t="s">
        <v>10</v>
      </c>
      <c r="G3590" s="2" t="s">
        <v>11</v>
      </c>
      <c r="H3590" s="2">
        <v>16000000</v>
      </c>
      <c r="I3590" s="2">
        <v>7.6</v>
      </c>
      <c r="J3590" s="3">
        <v>132014112</v>
      </c>
      <c r="K3590">
        <f t="shared" si="120"/>
        <v>1.3775047412552699E-3</v>
      </c>
      <c r="R3590" s="12" t="str">
        <f ca="1">IFERROR(__xludf.DUMMYFUNCTION("""COMPUTED_VALUE"""),"Rocky ")</f>
        <v>Rocky </v>
      </c>
      <c r="S3590" s="12">
        <f t="shared" si="119"/>
        <v>-27969916</v>
      </c>
    </row>
    <row r="3591" spans="1:19" x14ac:dyDescent="0.3">
      <c r="A3591" s="2" t="s">
        <v>5537</v>
      </c>
      <c r="B3591" s="2">
        <v>98</v>
      </c>
      <c r="C3591" s="2">
        <v>2938208</v>
      </c>
      <c r="D3591" s="3" t="s">
        <v>885</v>
      </c>
      <c r="E3591" s="2" t="s">
        <v>5538</v>
      </c>
      <c r="F3591" s="2" t="s">
        <v>10</v>
      </c>
      <c r="G3591" s="2" t="s">
        <v>11</v>
      </c>
      <c r="H3591" s="2">
        <v>225000</v>
      </c>
      <c r="I3591" s="2">
        <v>7.5</v>
      </c>
      <c r="J3591" s="3">
        <v>132088910</v>
      </c>
      <c r="K3591">
        <f t="shared" si="120"/>
        <v>1.3775047412552699E-3</v>
      </c>
      <c r="R3591" s="12" t="str">
        <f ca="1">IFERROR(__xludf.DUMMYFUNCTION("""COMPUTED_VALUE"""),"Unfriended ")</f>
        <v>Unfriended </v>
      </c>
      <c r="S3591" s="12">
        <f t="shared" si="119"/>
        <v>-4937941</v>
      </c>
    </row>
    <row r="3592" spans="1:19" x14ac:dyDescent="0.3">
      <c r="A3592" s="2" t="s">
        <v>876</v>
      </c>
      <c r="B3592" s="2">
        <v>95</v>
      </c>
      <c r="C3592" s="3">
        <v>85433</v>
      </c>
      <c r="D3592" s="3" t="s">
        <v>6332</v>
      </c>
      <c r="E3592" s="2" t="s">
        <v>1265</v>
      </c>
      <c r="F3592" s="2" t="s">
        <v>10</v>
      </c>
      <c r="G3592" s="2" t="s">
        <v>16</v>
      </c>
      <c r="H3592" s="2">
        <v>57000000</v>
      </c>
      <c r="I3592" s="2">
        <v>4.2</v>
      </c>
      <c r="J3592" s="3">
        <v>132122995</v>
      </c>
      <c r="K3592">
        <f t="shared" si="120"/>
        <v>1.3775047412552699E-3</v>
      </c>
      <c r="R3592" s="12" t="str">
        <f ca="1">IFERROR(__xludf.DUMMYFUNCTION("""COMPUTED_VALUE"""),"The Howling ")</f>
        <v>The Howling </v>
      </c>
      <c r="S3592" s="12">
        <f t="shared" si="119"/>
        <v>-34201659</v>
      </c>
    </row>
    <row r="3593" spans="1:19" x14ac:dyDescent="0.3">
      <c r="A3593" s="2" t="s">
        <v>1338</v>
      </c>
      <c r="B3593" s="2">
        <v>202</v>
      </c>
      <c r="C3593" s="3">
        <v>418268</v>
      </c>
      <c r="D3593" s="3" t="s">
        <v>5767</v>
      </c>
      <c r="E3593" s="2" t="s">
        <v>1968</v>
      </c>
      <c r="F3593" s="2" t="s">
        <v>10</v>
      </c>
      <c r="G3593" s="2" t="s">
        <v>11</v>
      </c>
      <c r="H3593" s="2">
        <v>33000000</v>
      </c>
      <c r="I3593" s="2">
        <v>7.7</v>
      </c>
      <c r="J3593" s="3">
        <v>132373442</v>
      </c>
      <c r="K3593">
        <f t="shared" si="120"/>
        <v>1.3775047412552699E-3</v>
      </c>
      <c r="R3593" s="12" t="str">
        <f ca="1">IFERROR(__xludf.DUMMYFUNCTION("""COMPUTED_VALUE"""),"Dr. No ")</f>
        <v>Dr. No </v>
      </c>
      <c r="S3593" s="12">
        <f t="shared" si="119"/>
        <v>-9339916</v>
      </c>
    </row>
    <row r="3594" spans="1:19" x14ac:dyDescent="0.3">
      <c r="A3594" s="2" t="s">
        <v>2678</v>
      </c>
      <c r="B3594" s="2">
        <v>131</v>
      </c>
      <c r="C3594" s="3">
        <v>27663982</v>
      </c>
      <c r="D3594" s="3" t="s">
        <v>6108</v>
      </c>
      <c r="E3594" s="2" t="s">
        <v>2679</v>
      </c>
      <c r="F3594" s="2" t="s">
        <v>10</v>
      </c>
      <c r="G3594" s="2" t="s">
        <v>2336</v>
      </c>
      <c r="H3594" s="2">
        <v>13500000</v>
      </c>
      <c r="I3594" s="2">
        <v>7.8</v>
      </c>
      <c r="J3594" s="3">
        <v>132541238</v>
      </c>
      <c r="K3594">
        <f t="shared" si="120"/>
        <v>1.3775047412552699E-3</v>
      </c>
      <c r="R3594" s="12" t="str">
        <f ca="1">IFERROR(__xludf.DUMMYFUNCTION("""COMPUTED_VALUE"""),"Chernobyl Diaries ")</f>
        <v>Chernobyl Diaries </v>
      </c>
      <c r="S3594" s="12">
        <f t="shared" si="119"/>
        <v>12371385</v>
      </c>
    </row>
    <row r="3595" spans="1:19" x14ac:dyDescent="0.3">
      <c r="A3595" s="2" t="s">
        <v>3491</v>
      </c>
      <c r="B3595" s="2">
        <v>107</v>
      </c>
      <c r="C3595" s="3">
        <v>146072</v>
      </c>
      <c r="D3595" s="3" t="s">
        <v>5767</v>
      </c>
      <c r="E3595" s="2" t="s">
        <v>3492</v>
      </c>
      <c r="F3595" s="2" t="s">
        <v>10</v>
      </c>
      <c r="G3595" s="2" t="s">
        <v>11</v>
      </c>
      <c r="H3595" s="2">
        <v>15000000</v>
      </c>
      <c r="I3595" s="2">
        <v>7</v>
      </c>
      <c r="J3595" s="3">
        <v>132550960</v>
      </c>
      <c r="K3595">
        <f t="shared" si="120"/>
        <v>1.3775047412552699E-3</v>
      </c>
      <c r="R3595" s="12" t="str">
        <f ca="1">IFERROR(__xludf.DUMMYFUNCTION("""COMPUTED_VALUE"""),"Hellraiser ")</f>
        <v>Hellraiser </v>
      </c>
      <c r="S3595" s="12">
        <f t="shared" si="119"/>
        <v>-24200000</v>
      </c>
    </row>
    <row r="3596" spans="1:19" x14ac:dyDescent="0.3">
      <c r="A3596" s="2" t="s">
        <v>714</v>
      </c>
      <c r="B3596" s="2">
        <v>125</v>
      </c>
      <c r="C3596" s="3">
        <v>777423</v>
      </c>
      <c r="D3596" s="3" t="s">
        <v>5940</v>
      </c>
      <c r="E3596" s="2" t="s">
        <v>3342</v>
      </c>
      <c r="F3596" s="2" t="s">
        <v>10</v>
      </c>
      <c r="G3596" s="2" t="s">
        <v>11</v>
      </c>
      <c r="H3596" s="2">
        <v>26000000</v>
      </c>
      <c r="I3596" s="2">
        <v>7.7</v>
      </c>
      <c r="J3596" s="3">
        <v>133103929</v>
      </c>
      <c r="K3596">
        <f t="shared" si="120"/>
        <v>1.3775047412552699E-3</v>
      </c>
      <c r="R3596" s="12" t="str">
        <f ca="1">IFERROR(__xludf.DUMMYFUNCTION("""COMPUTED_VALUE"""),"God's Not Dead 2 ")</f>
        <v>God's Not Dead 2 </v>
      </c>
      <c r="S3596" s="12">
        <f t="shared" si="119"/>
        <v>-122484214</v>
      </c>
    </row>
    <row r="3597" spans="1:19" x14ac:dyDescent="0.3">
      <c r="A3597" s="2" t="s">
        <v>1542</v>
      </c>
      <c r="B3597" s="2">
        <v>93</v>
      </c>
      <c r="C3597" s="3">
        <v>65087</v>
      </c>
      <c r="D3597" s="3" t="s">
        <v>885</v>
      </c>
      <c r="E3597" s="2" t="s">
        <v>1759</v>
      </c>
      <c r="F3597" s="2" t="s">
        <v>10</v>
      </c>
      <c r="G3597" s="2" t="s">
        <v>11</v>
      </c>
      <c r="H3597" s="2">
        <v>25000000</v>
      </c>
      <c r="I3597" s="2">
        <v>6</v>
      </c>
      <c r="J3597" s="3">
        <v>133228348</v>
      </c>
      <c r="K3597">
        <f t="shared" si="120"/>
        <v>1.3775047412552699E-3</v>
      </c>
      <c r="R3597" s="12" t="str">
        <f ca="1">IFERROR(__xludf.DUMMYFUNCTION("""COMPUTED_VALUE"""),"Cry_Wolf ")</f>
        <v>Cry_Wolf </v>
      </c>
      <c r="S3597" s="12">
        <f t="shared" si="119"/>
        <v>6721635</v>
      </c>
    </row>
    <row r="3598" spans="1:19" x14ac:dyDescent="0.3">
      <c r="A3598" s="2" t="s">
        <v>1017</v>
      </c>
      <c r="B3598" s="2">
        <v>130</v>
      </c>
      <c r="C3598" s="3">
        <v>49526</v>
      </c>
      <c r="D3598" s="3" t="s">
        <v>5869</v>
      </c>
      <c r="E3598" s="2" t="s">
        <v>1921</v>
      </c>
      <c r="F3598" s="2" t="s">
        <v>10</v>
      </c>
      <c r="G3598" s="2" t="s">
        <v>11</v>
      </c>
      <c r="H3598" s="2">
        <v>36000000</v>
      </c>
      <c r="I3598" s="2">
        <v>6.7</v>
      </c>
      <c r="J3598" s="3">
        <v>133375846</v>
      </c>
      <c r="K3598">
        <f t="shared" si="120"/>
        <v>1.3775047412552699E-3</v>
      </c>
      <c r="R3598" s="12" t="str">
        <f ca="1">IFERROR(__xludf.DUMMYFUNCTION("""COMPUTED_VALUE"""),"Godzilla 2000 ")</f>
        <v>Godzilla 2000 </v>
      </c>
      <c r="S3598" s="12">
        <f t="shared" si="119"/>
        <v>-17726628</v>
      </c>
    </row>
    <row r="3599" spans="1:19" x14ac:dyDescent="0.3">
      <c r="A3599" s="2" t="s">
        <v>454</v>
      </c>
      <c r="B3599" s="2">
        <v>107</v>
      </c>
      <c r="C3599" s="3">
        <v>59379</v>
      </c>
      <c r="D3599" s="3" t="s">
        <v>5936</v>
      </c>
      <c r="E3599" s="2" t="s">
        <v>1050</v>
      </c>
      <c r="F3599" s="2" t="s">
        <v>10</v>
      </c>
      <c r="G3599" s="2" t="s">
        <v>11</v>
      </c>
      <c r="H3599" s="2">
        <v>60000000</v>
      </c>
      <c r="I3599" s="2">
        <v>5.9</v>
      </c>
      <c r="J3599" s="3">
        <v>133382309</v>
      </c>
      <c r="K3599">
        <f t="shared" si="120"/>
        <v>1.3775047412552699E-3</v>
      </c>
      <c r="R3599" s="12" t="str">
        <f ca="1">IFERROR(__xludf.DUMMYFUNCTION("""COMPUTED_VALUE"""),"Blue Valentine ")</f>
        <v>Blue Valentine </v>
      </c>
      <c r="S3599" s="12">
        <f t="shared" si="119"/>
        <v>-21914778</v>
      </c>
    </row>
    <row r="3600" spans="1:19" x14ac:dyDescent="0.3">
      <c r="A3600" s="2" t="s">
        <v>4544</v>
      </c>
      <c r="B3600" s="2">
        <v>85</v>
      </c>
      <c r="C3600" s="3">
        <v>778565</v>
      </c>
      <c r="D3600" s="3" t="s">
        <v>5849</v>
      </c>
      <c r="E3600" s="2" t="s">
        <v>4545</v>
      </c>
      <c r="F3600" s="2" t="s">
        <v>10</v>
      </c>
      <c r="G3600" s="2" t="s">
        <v>11</v>
      </c>
      <c r="H3600" s="2">
        <v>6000000</v>
      </c>
      <c r="I3600" s="2">
        <v>4.7</v>
      </c>
      <c r="J3600" s="3">
        <v>133668525</v>
      </c>
      <c r="K3600">
        <f t="shared" si="120"/>
        <v>1.3775047412552699E-3</v>
      </c>
      <c r="R3600" s="12" t="str">
        <f ca="1">IFERROR(__xludf.DUMMYFUNCTION("""COMPUTED_VALUE"""),"Transamerica ")</f>
        <v>Transamerica </v>
      </c>
      <c r="S3600" s="12">
        <f t="shared" si="119"/>
        <v>-24819517</v>
      </c>
    </row>
    <row r="3601" spans="1:19" x14ac:dyDescent="0.3">
      <c r="A3601" s="2" t="s">
        <v>3491</v>
      </c>
      <c r="B3601" s="2">
        <v>100</v>
      </c>
      <c r="C3601" s="3">
        <v>1183354</v>
      </c>
      <c r="D3601" s="3" t="s">
        <v>6480</v>
      </c>
      <c r="E3601" s="2" t="s">
        <v>4324</v>
      </c>
      <c r="F3601" s="2" t="s">
        <v>10</v>
      </c>
      <c r="G3601" s="2" t="s">
        <v>16</v>
      </c>
      <c r="H3601" s="2">
        <v>4500000</v>
      </c>
      <c r="I3601" s="2">
        <v>7.3</v>
      </c>
      <c r="J3601" s="3">
        <v>134006721</v>
      </c>
      <c r="K3601">
        <f t="shared" si="120"/>
        <v>1.3775047412552699E-3</v>
      </c>
      <c r="R3601" s="12" t="str">
        <f ca="1">IFERROR(__xludf.DUMMYFUNCTION("""COMPUTED_VALUE"""),"The Devil Inside ")</f>
        <v>The Devil Inside </v>
      </c>
      <c r="S3601" s="12">
        <f t="shared" si="119"/>
        <v>-4236531</v>
      </c>
    </row>
    <row r="3602" spans="1:19" x14ac:dyDescent="0.3">
      <c r="A3602" s="2" t="s">
        <v>804</v>
      </c>
      <c r="B3602" s="2">
        <v>96</v>
      </c>
      <c r="C3602" s="3">
        <v>22168359</v>
      </c>
      <c r="D3602" s="3" t="s">
        <v>6481</v>
      </c>
      <c r="E3602" s="2" t="s">
        <v>3132</v>
      </c>
      <c r="F3602" s="2" t="s">
        <v>10</v>
      </c>
      <c r="G3602" s="2" t="s">
        <v>11</v>
      </c>
      <c r="H3602" s="2">
        <v>18000000</v>
      </c>
      <c r="I3602" s="2">
        <v>6.2</v>
      </c>
      <c r="J3602" s="3">
        <v>134141530</v>
      </c>
      <c r="K3602">
        <f t="shared" si="120"/>
        <v>1.3775047412552699E-3</v>
      </c>
      <c r="R3602" s="12" t="str">
        <f ca="1">IFERROR(__xludf.DUMMYFUNCTION("""COMPUTED_VALUE"""),"Beyond the Valley of the Dolls ")</f>
        <v>Beyond the Valley of the Dolls </v>
      </c>
      <c r="S3602" s="12">
        <f t="shared" si="119"/>
        <v>-10766897</v>
      </c>
    </row>
    <row r="3603" spans="1:19" x14ac:dyDescent="0.3">
      <c r="A3603" s="2" t="s">
        <v>549</v>
      </c>
      <c r="B3603" s="2">
        <v>99</v>
      </c>
      <c r="C3603" s="3">
        <v>4273372</v>
      </c>
      <c r="D3603" s="3" t="s">
        <v>6482</v>
      </c>
      <c r="E3603" s="2" t="s">
        <v>919</v>
      </c>
      <c r="F3603" s="2" t="s">
        <v>10</v>
      </c>
      <c r="G3603" s="2" t="s">
        <v>11</v>
      </c>
      <c r="H3603" s="2">
        <v>70000000</v>
      </c>
      <c r="I3603" s="2">
        <v>4.2</v>
      </c>
      <c r="J3603" s="3">
        <v>134218018</v>
      </c>
      <c r="K3603">
        <f t="shared" si="120"/>
        <v>1.3775047412552699E-3</v>
      </c>
      <c r="R3603" s="12" t="str">
        <f ca="1">IFERROR(__xludf.DUMMYFUNCTION("""COMPUTED_VALUE"""),"The Green Inferno ")</f>
        <v>The Green Inferno </v>
      </c>
      <c r="S3603" s="12">
        <f t="shared" si="119"/>
        <v>-18682875</v>
      </c>
    </row>
    <row r="3604" spans="1:19" x14ac:dyDescent="0.3">
      <c r="A3604" s="2" t="s">
        <v>5504</v>
      </c>
      <c r="B3604" s="2">
        <v>89</v>
      </c>
      <c r="C3604" s="3">
        <v>13491653</v>
      </c>
      <c r="D3604" s="3" t="s">
        <v>6483</v>
      </c>
      <c r="E3604" s="2" t="s">
        <v>5505</v>
      </c>
      <c r="F3604" s="2" t="s">
        <v>10</v>
      </c>
      <c r="G3604" s="2" t="s">
        <v>11</v>
      </c>
      <c r="H3604" s="2">
        <v>500000</v>
      </c>
      <c r="I3604" s="2">
        <v>8.4</v>
      </c>
      <c r="J3604" s="3">
        <v>134455175</v>
      </c>
      <c r="K3604">
        <f t="shared" si="120"/>
        <v>1.3775047412552699E-3</v>
      </c>
      <c r="R3604" s="12" t="str">
        <f ca="1">IFERROR(__xludf.DUMMYFUNCTION("""COMPUTED_VALUE"""),"The Sessions ")</f>
        <v>The Sessions </v>
      </c>
      <c r="S3604" s="12">
        <f t="shared" si="119"/>
        <v>-29207034</v>
      </c>
    </row>
    <row r="3605" spans="1:19" x14ac:dyDescent="0.3">
      <c r="A3605" s="2" t="s">
        <v>1979</v>
      </c>
      <c r="B3605" s="2">
        <v>100</v>
      </c>
      <c r="C3605" s="3">
        <v>98017</v>
      </c>
      <c r="D3605" s="3" t="s">
        <v>6245</v>
      </c>
      <c r="E3605" s="2" t="s">
        <v>3907</v>
      </c>
      <c r="F3605" s="2" t="s">
        <v>10</v>
      </c>
      <c r="G3605" s="2" t="s">
        <v>11</v>
      </c>
      <c r="H3605" s="2">
        <v>12000000</v>
      </c>
      <c r="I3605" s="2">
        <v>5.5</v>
      </c>
      <c r="J3605" s="3">
        <v>134518390</v>
      </c>
      <c r="K3605">
        <f t="shared" si="120"/>
        <v>1.3775047412552699E-3</v>
      </c>
      <c r="R3605" s="12" t="str">
        <f ca="1">IFERROR(__xludf.DUMMYFUNCTION("""COMPUTED_VALUE"""),"Next Stop Wonderland ")</f>
        <v>Next Stop Wonderland </v>
      </c>
      <c r="S3605" s="12">
        <f t="shared" si="119"/>
        <v>-34984722</v>
      </c>
    </row>
    <row r="3606" spans="1:19" x14ac:dyDescent="0.3">
      <c r="A3606" s="2" t="s">
        <v>250</v>
      </c>
      <c r="B3606" s="2">
        <v>77</v>
      </c>
      <c r="C3606" s="3">
        <v>196067</v>
      </c>
      <c r="D3606" s="3" t="s">
        <v>5802</v>
      </c>
      <c r="E3606" s="2" t="s">
        <v>366</v>
      </c>
      <c r="F3606" s="2" t="s">
        <v>10</v>
      </c>
      <c r="G3606" s="2" t="s">
        <v>11</v>
      </c>
      <c r="H3606" s="2">
        <v>120000000</v>
      </c>
      <c r="I3606" s="2">
        <v>5.4</v>
      </c>
      <c r="J3606" s="3">
        <v>134520804</v>
      </c>
      <c r="K3606">
        <f t="shared" si="120"/>
        <v>1.3775047412552699E-3</v>
      </c>
      <c r="R3606" s="12" t="str">
        <f ca="1">IFERROR(__xludf.DUMMYFUNCTION("""COMPUTED_VALUE"""),"Frozen River ")</f>
        <v>Frozen River </v>
      </c>
      <c r="S3606" s="12">
        <f t="shared" si="119"/>
        <v>-10737712</v>
      </c>
    </row>
    <row r="3607" spans="1:19" x14ac:dyDescent="0.3">
      <c r="A3607" s="2" t="s">
        <v>2456</v>
      </c>
      <c r="B3607" s="2">
        <v>106</v>
      </c>
      <c r="C3607" s="3">
        <v>1181197</v>
      </c>
      <c r="D3607" s="3" t="s">
        <v>5350</v>
      </c>
      <c r="E3607" s="2" t="s">
        <v>2457</v>
      </c>
      <c r="F3607" s="2" t="s">
        <v>10</v>
      </c>
      <c r="G3607" s="2" t="s">
        <v>11</v>
      </c>
      <c r="H3607" s="2">
        <v>27000000</v>
      </c>
      <c r="I3607" s="2">
        <v>6.8</v>
      </c>
      <c r="J3607" s="3">
        <v>134568845</v>
      </c>
      <c r="K3607">
        <f t="shared" si="120"/>
        <v>1.3775047412552699E-3</v>
      </c>
      <c r="R3607" s="12" t="str">
        <f ca="1">IFERROR(__xludf.DUMMYFUNCTION("""COMPUTED_VALUE"""),"20 Feet from Stardom ")</f>
        <v>20 Feet from Stardom </v>
      </c>
      <c r="S3607" s="12">
        <f t="shared" si="119"/>
        <v>19667947</v>
      </c>
    </row>
    <row r="3608" spans="1:19" x14ac:dyDescent="0.3">
      <c r="A3608" s="2" t="s">
        <v>765</v>
      </c>
      <c r="B3608" s="2">
        <v>99</v>
      </c>
      <c r="C3608" s="3">
        <v>64572496</v>
      </c>
      <c r="D3608" s="3" t="s">
        <v>1703</v>
      </c>
      <c r="E3608" s="2" t="s">
        <v>766</v>
      </c>
      <c r="F3608" s="2" t="s">
        <v>10</v>
      </c>
      <c r="G3608" s="2" t="s">
        <v>11</v>
      </c>
      <c r="H3608" s="2">
        <v>80000000</v>
      </c>
      <c r="I3608" s="2">
        <v>5.9</v>
      </c>
      <c r="J3608" s="3">
        <v>134821952</v>
      </c>
      <c r="K3608">
        <f t="shared" si="120"/>
        <v>1.3775047412552699E-3</v>
      </c>
      <c r="R3608" s="12" t="str">
        <f ca="1">IFERROR(__xludf.DUMMYFUNCTION("""COMPUTED_VALUE"""),"Two Girls and a Guy ")</f>
        <v>Two Girls and a Guy </v>
      </c>
      <c r="S3608" s="12">
        <f t="shared" si="119"/>
        <v>-29626033</v>
      </c>
    </row>
    <row r="3609" spans="1:19" x14ac:dyDescent="0.3">
      <c r="A3609" s="2" t="s">
        <v>671</v>
      </c>
      <c r="B3609" s="2">
        <v>120</v>
      </c>
      <c r="C3609" s="3">
        <v>5459824</v>
      </c>
      <c r="D3609" s="3" t="s">
        <v>6136</v>
      </c>
      <c r="E3609" s="2" t="s">
        <v>672</v>
      </c>
      <c r="F3609" s="2" t="s">
        <v>10</v>
      </c>
      <c r="G3609" s="2" t="s">
        <v>11</v>
      </c>
      <c r="H3609" s="2">
        <v>75000000</v>
      </c>
      <c r="I3609" s="2">
        <v>6.1</v>
      </c>
      <c r="J3609" s="3">
        <v>135014968</v>
      </c>
      <c r="K3609">
        <f t="shared" si="120"/>
        <v>1.3775047412552699E-3</v>
      </c>
      <c r="R3609" s="12" t="str">
        <f ca="1">IFERROR(__xludf.DUMMYFUNCTION("""COMPUTED_VALUE"""),"Walking and Talking ")</f>
        <v>Walking and Talking </v>
      </c>
      <c r="S3609" s="12">
        <f t="shared" ref="S3609:S3672" si="121">C3587-H3587</f>
        <v>-149882440</v>
      </c>
    </row>
    <row r="3610" spans="1:19" x14ac:dyDescent="0.3">
      <c r="A3610" s="2" t="s">
        <v>131</v>
      </c>
      <c r="B3610" s="2">
        <v>101</v>
      </c>
      <c r="C3610" s="3">
        <v>2921738</v>
      </c>
      <c r="D3610" s="3" t="s">
        <v>5818</v>
      </c>
      <c r="E3610" s="2" t="s">
        <v>2006</v>
      </c>
      <c r="F3610" s="2" t="s">
        <v>10</v>
      </c>
      <c r="G3610" s="2" t="s">
        <v>11</v>
      </c>
      <c r="H3610" s="2">
        <v>35000000</v>
      </c>
      <c r="I3610" s="2">
        <v>5.0999999999999996</v>
      </c>
      <c r="J3610" s="3">
        <v>135381507</v>
      </c>
      <c r="K3610">
        <f t="shared" si="120"/>
        <v>1.3775047412552699E-3</v>
      </c>
      <c r="R3610" s="12" t="str">
        <f ca="1">IFERROR(__xludf.DUMMYFUNCTION("""COMPUTED_VALUE"""),"Who Killed the Electric Car? ")</f>
        <v>Who Killed the Electric Car? </v>
      </c>
      <c r="S3610" s="12">
        <f t="shared" si="121"/>
        <v>-9941064</v>
      </c>
    </row>
    <row r="3611" spans="1:19" x14ac:dyDescent="0.3">
      <c r="A3611" s="2" t="s">
        <v>3116</v>
      </c>
      <c r="B3611" s="2">
        <v>92</v>
      </c>
      <c r="C3611" s="3">
        <v>8355815</v>
      </c>
      <c r="D3611" s="3" t="s">
        <v>5815</v>
      </c>
      <c r="E3611" s="2" t="s">
        <v>3117</v>
      </c>
      <c r="F3611" s="2" t="s">
        <v>10</v>
      </c>
      <c r="G3611" s="2" t="s">
        <v>11</v>
      </c>
      <c r="H3611" s="2">
        <v>19000000</v>
      </c>
      <c r="I3611" s="2">
        <v>5.7</v>
      </c>
      <c r="J3611" s="3">
        <v>136019448</v>
      </c>
      <c r="K3611">
        <f t="shared" si="120"/>
        <v>1.3775047412552699E-3</v>
      </c>
      <c r="R3611" s="12" t="str">
        <f ca="1">IFERROR(__xludf.DUMMYFUNCTION("""COMPUTED_VALUE"""),"The Broken Hearts Club: A Romantic Comedy ")</f>
        <v>The Broken Hearts Club: A Romantic Comedy </v>
      </c>
      <c r="S3611" s="12">
        <f t="shared" si="121"/>
        <v>-99871514</v>
      </c>
    </row>
    <row r="3612" spans="1:19" x14ac:dyDescent="0.3">
      <c r="A3612" s="2" t="s">
        <v>987</v>
      </c>
      <c r="B3612" s="2">
        <v>135</v>
      </c>
      <c r="C3612" s="3">
        <v>1677838</v>
      </c>
      <c r="D3612" s="3" t="s">
        <v>5910</v>
      </c>
      <c r="E3612" s="2" t="s">
        <v>988</v>
      </c>
      <c r="F3612" s="2" t="s">
        <v>10</v>
      </c>
      <c r="G3612" s="2" t="s">
        <v>11</v>
      </c>
      <c r="H3612" s="2">
        <v>65000000</v>
      </c>
      <c r="I3612" s="2">
        <v>6.2</v>
      </c>
      <c r="J3612" s="3">
        <v>136448821</v>
      </c>
      <c r="K3612">
        <f t="shared" si="120"/>
        <v>1.3775047412552699E-3</v>
      </c>
      <c r="R3612" s="12" t="str">
        <f ca="1">IFERROR(__xludf.DUMMYFUNCTION("""COMPUTED_VALUE"""),"Slam ")</f>
        <v>Slam </v>
      </c>
      <c r="S3612" s="12">
        <f t="shared" si="121"/>
        <v>-15776122</v>
      </c>
    </row>
    <row r="3613" spans="1:19" x14ac:dyDescent="0.3">
      <c r="A3613" s="2" t="s">
        <v>5514</v>
      </c>
      <c r="B3613" s="2">
        <v>91</v>
      </c>
      <c r="C3613" s="3">
        <v>2912363</v>
      </c>
      <c r="D3613" s="3" t="s">
        <v>5884</v>
      </c>
      <c r="E3613" s="2" t="s">
        <v>5515</v>
      </c>
      <c r="F3613" s="2" t="s">
        <v>10</v>
      </c>
      <c r="G3613" s="2" t="s">
        <v>11</v>
      </c>
      <c r="H3613" s="2">
        <v>500000</v>
      </c>
      <c r="I3613" s="2">
        <v>6.5</v>
      </c>
      <c r="J3613" s="3">
        <v>136801374</v>
      </c>
      <c r="K3613">
        <f t="shared" si="120"/>
        <v>1.3775047412552699E-3</v>
      </c>
      <c r="R3613" s="12" t="str">
        <f ca="1">IFERROR(__xludf.DUMMYFUNCTION("""COMPUTED_VALUE"""),"Brigham City ")</f>
        <v>Brigham City </v>
      </c>
      <c r="S3613" s="12">
        <f t="shared" si="121"/>
        <v>2713208</v>
      </c>
    </row>
    <row r="3614" spans="1:19" x14ac:dyDescent="0.3">
      <c r="A3614" s="2" t="s">
        <v>1997</v>
      </c>
      <c r="B3614" s="2">
        <v>108</v>
      </c>
      <c r="C3614" s="3">
        <v>665426</v>
      </c>
      <c r="D3614" s="3" t="s">
        <v>5923</v>
      </c>
      <c r="E3614" s="2" t="s">
        <v>3256</v>
      </c>
      <c r="F3614" s="2" t="s">
        <v>10</v>
      </c>
      <c r="G3614" s="2" t="s">
        <v>11</v>
      </c>
      <c r="H3614" s="2">
        <v>15000000</v>
      </c>
      <c r="I3614" s="2">
        <v>6.4</v>
      </c>
      <c r="J3614" s="3">
        <v>137340146</v>
      </c>
      <c r="K3614">
        <f t="shared" si="120"/>
        <v>1.3775047412552699E-3</v>
      </c>
      <c r="R3614" s="12" t="str">
        <f ca="1">IFERROR(__xludf.DUMMYFUNCTION("""COMPUTED_VALUE"""),"Fiza ")</f>
        <v>Fiza </v>
      </c>
      <c r="S3614" s="12">
        <f t="shared" si="121"/>
        <v>-56914567</v>
      </c>
    </row>
    <row r="3615" spans="1:19" x14ac:dyDescent="0.3">
      <c r="A3615" s="2" t="s">
        <v>1816</v>
      </c>
      <c r="B3615" s="2">
        <v>108</v>
      </c>
      <c r="C3615" s="3">
        <v>27796042</v>
      </c>
      <c r="D3615" s="3" t="s">
        <v>5802</v>
      </c>
      <c r="E3615" s="2" t="s">
        <v>1817</v>
      </c>
      <c r="F3615" s="2" t="s">
        <v>10</v>
      </c>
      <c r="G3615" s="2" t="s">
        <v>199</v>
      </c>
      <c r="H3615" s="2">
        <v>33000000</v>
      </c>
      <c r="I3615" s="2">
        <v>6.8</v>
      </c>
      <c r="J3615" s="3">
        <v>137387272</v>
      </c>
      <c r="K3615">
        <f t="shared" si="120"/>
        <v>1.3775047412552699E-3</v>
      </c>
      <c r="R3615" s="12" t="str">
        <f ca="1">IFERROR(__xludf.DUMMYFUNCTION("""COMPUTED_VALUE"""),"Orgazmo ")</f>
        <v>Orgazmo </v>
      </c>
      <c r="S3615" s="12">
        <f t="shared" si="121"/>
        <v>-32581732</v>
      </c>
    </row>
    <row r="3616" spans="1:19" x14ac:dyDescent="0.3">
      <c r="A3616" s="2" t="s">
        <v>1017</v>
      </c>
      <c r="B3616" s="2">
        <v>89</v>
      </c>
      <c r="C3616" s="3">
        <v>110029</v>
      </c>
      <c r="D3616" s="3" t="s">
        <v>5940</v>
      </c>
      <c r="E3616" s="2" t="s">
        <v>4241</v>
      </c>
      <c r="F3616" s="2" t="s">
        <v>10</v>
      </c>
      <c r="G3616" s="2" t="s">
        <v>11</v>
      </c>
      <c r="H3616" s="2">
        <v>8000000</v>
      </c>
      <c r="I3616" s="2">
        <v>8.1</v>
      </c>
      <c r="J3616" s="3">
        <v>137748063</v>
      </c>
      <c r="K3616">
        <f t="shared" si="120"/>
        <v>1.3775047412552699E-3</v>
      </c>
      <c r="R3616" s="12" t="str">
        <f ca="1">IFERROR(__xludf.DUMMYFUNCTION("""COMPUTED_VALUE"""),"All the Real Girls ")</f>
        <v>All the Real Girls </v>
      </c>
      <c r="S3616" s="12">
        <f t="shared" si="121"/>
        <v>14163982</v>
      </c>
    </row>
    <row r="3617" spans="1:19" x14ac:dyDescent="0.3">
      <c r="A3617" s="2" t="s">
        <v>956</v>
      </c>
      <c r="B3617" s="2">
        <v>98</v>
      </c>
      <c r="C3617" s="3">
        <v>16892</v>
      </c>
      <c r="D3617" s="3" t="s">
        <v>6393</v>
      </c>
      <c r="E3617" s="2" t="s">
        <v>4468</v>
      </c>
      <c r="F3617" s="2" t="s">
        <v>10</v>
      </c>
      <c r="G3617" s="2" t="s">
        <v>16</v>
      </c>
      <c r="H3617" s="2">
        <v>10000000</v>
      </c>
      <c r="I3617" s="2">
        <v>7.6</v>
      </c>
      <c r="J3617" s="3">
        <v>137850096</v>
      </c>
      <c r="K3617">
        <f t="shared" si="120"/>
        <v>1.3775047412552699E-3</v>
      </c>
      <c r="R3617" s="12" t="str">
        <f ca="1">IFERROR(__xludf.DUMMYFUNCTION("""COMPUTED_VALUE"""),"Dream with the Fishes ")</f>
        <v>Dream with the Fishes </v>
      </c>
      <c r="S3617" s="12">
        <f t="shared" si="121"/>
        <v>-14853928</v>
      </c>
    </row>
    <row r="3618" spans="1:19" x14ac:dyDescent="0.3">
      <c r="A3618" s="2" t="s">
        <v>17</v>
      </c>
      <c r="B3618" s="2">
        <v>164</v>
      </c>
      <c r="C3618" s="3">
        <v>70117571</v>
      </c>
      <c r="D3618" s="3" t="s">
        <v>520</v>
      </c>
      <c r="E3618" s="2" t="s">
        <v>18</v>
      </c>
      <c r="F3618" s="2" t="s">
        <v>10</v>
      </c>
      <c r="G3618" s="2" t="s">
        <v>11</v>
      </c>
      <c r="H3618" s="2">
        <v>250000000</v>
      </c>
      <c r="I3618" s="2">
        <v>8.5</v>
      </c>
      <c r="J3618" s="3">
        <v>137963328</v>
      </c>
      <c r="K3618">
        <f t="shared" si="120"/>
        <v>1.3775047412552699E-3</v>
      </c>
      <c r="R3618" s="12" t="str">
        <f ca="1">IFERROR(__xludf.DUMMYFUNCTION("""COMPUTED_VALUE"""),"Blue Car ")</f>
        <v>Blue Car </v>
      </c>
      <c r="S3618" s="12">
        <f t="shared" si="121"/>
        <v>-25222577</v>
      </c>
    </row>
    <row r="3619" spans="1:19" x14ac:dyDescent="0.3">
      <c r="A3619" s="2" t="s">
        <v>2321</v>
      </c>
      <c r="B3619" s="2">
        <v>107</v>
      </c>
      <c r="C3619" s="3">
        <v>51109400</v>
      </c>
      <c r="D3619" s="3" t="s">
        <v>885</v>
      </c>
      <c r="E3619" s="2" t="s">
        <v>2322</v>
      </c>
      <c r="F3619" s="2" t="s">
        <v>10</v>
      </c>
      <c r="G3619" s="2" t="s">
        <v>11</v>
      </c>
      <c r="H3619" s="2">
        <v>45000000</v>
      </c>
      <c r="I3619" s="2">
        <v>6.4</v>
      </c>
      <c r="J3619" s="3">
        <v>138339411</v>
      </c>
      <c r="K3619">
        <f t="shared" si="120"/>
        <v>1.3775047412552699E-3</v>
      </c>
      <c r="R3619" s="12" t="str">
        <f ca="1">IFERROR(__xludf.DUMMYFUNCTION("""COMPUTED_VALUE"""),"Luminarias ")</f>
        <v>Luminarias </v>
      </c>
      <c r="S3619" s="12">
        <f t="shared" si="121"/>
        <v>-24934913</v>
      </c>
    </row>
    <row r="3620" spans="1:19" x14ac:dyDescent="0.3">
      <c r="A3620" s="2" t="s">
        <v>2526</v>
      </c>
      <c r="B3620" s="2">
        <v>97</v>
      </c>
      <c r="C3620" s="3">
        <v>101228</v>
      </c>
      <c r="D3620" s="3" t="s">
        <v>5910</v>
      </c>
      <c r="E3620" s="2" t="s">
        <v>2527</v>
      </c>
      <c r="F3620" s="2" t="s">
        <v>10</v>
      </c>
      <c r="G3620" s="2" t="s">
        <v>16</v>
      </c>
      <c r="H3620" s="2">
        <v>26000000</v>
      </c>
      <c r="I3620" s="2">
        <v>6.7</v>
      </c>
      <c r="J3620" s="3">
        <v>138396624</v>
      </c>
      <c r="K3620">
        <f t="shared" si="120"/>
        <v>1.3775047412552699E-3</v>
      </c>
      <c r="R3620" s="12" t="str">
        <f ca="1">IFERROR(__xludf.DUMMYFUNCTION("""COMPUTED_VALUE"""),"Wristcutters: A Love Story ")</f>
        <v>Wristcutters: A Love Story </v>
      </c>
      <c r="S3620" s="12">
        <f t="shared" si="121"/>
        <v>-35950474</v>
      </c>
    </row>
    <row r="3621" spans="1:19" x14ac:dyDescent="0.3">
      <c r="A3621" s="2" t="s">
        <v>3791</v>
      </c>
      <c r="B3621" s="2">
        <v>93</v>
      </c>
      <c r="C3621" s="3">
        <v>8712564</v>
      </c>
      <c r="D3621" s="3" t="s">
        <v>6041</v>
      </c>
      <c r="E3621" s="2" t="s">
        <v>4631</v>
      </c>
      <c r="F3621" s="2" t="s">
        <v>10</v>
      </c>
      <c r="G3621" s="2" t="s">
        <v>11</v>
      </c>
      <c r="H3621" s="2">
        <v>5000000</v>
      </c>
      <c r="I3621" s="2">
        <v>6.1</v>
      </c>
      <c r="J3621" s="3">
        <v>138447667</v>
      </c>
      <c r="K3621">
        <f t="shared" si="120"/>
        <v>1.3775047412552699E-3</v>
      </c>
      <c r="R3621" s="12" t="str">
        <f ca="1">IFERROR(__xludf.DUMMYFUNCTION("""COMPUTED_VALUE"""),"The Battle of Shaker Heights ")</f>
        <v>The Battle of Shaker Heights </v>
      </c>
      <c r="S3621" s="12">
        <f t="shared" si="121"/>
        <v>-59940621</v>
      </c>
    </row>
    <row r="3622" spans="1:19" x14ac:dyDescent="0.3">
      <c r="A3622" s="2" t="s">
        <v>4035</v>
      </c>
      <c r="B3622" s="2">
        <v>104</v>
      </c>
      <c r="C3622" s="3">
        <v>9600000</v>
      </c>
      <c r="D3622" s="3" t="s">
        <v>6151</v>
      </c>
      <c r="E3622" s="2" t="s">
        <v>4036</v>
      </c>
      <c r="F3622" s="2" t="s">
        <v>10</v>
      </c>
      <c r="G3622" s="2" t="s">
        <v>11</v>
      </c>
      <c r="H3622" s="2">
        <v>10000000</v>
      </c>
      <c r="I3622" s="2">
        <v>7.4</v>
      </c>
      <c r="J3622" s="3">
        <v>138614544</v>
      </c>
      <c r="K3622">
        <f t="shared" si="120"/>
        <v>1.3775047412552699E-3</v>
      </c>
      <c r="R3622" s="12" t="str">
        <f ca="1">IFERROR(__xludf.DUMMYFUNCTION("""COMPUTED_VALUE"""),"The Act of Killing ")</f>
        <v>The Act of Killing </v>
      </c>
      <c r="S3622" s="12">
        <f t="shared" si="121"/>
        <v>-5221435</v>
      </c>
    </row>
    <row r="3623" spans="1:19" x14ac:dyDescent="0.3">
      <c r="A3623" s="2" t="s">
        <v>4699</v>
      </c>
      <c r="B3623" s="2">
        <v>99</v>
      </c>
      <c r="C3623" s="3">
        <v>37432299</v>
      </c>
      <c r="D3623" s="3" t="s">
        <v>6484</v>
      </c>
      <c r="E3623" s="2" t="s">
        <v>4700</v>
      </c>
      <c r="F3623" s="2" t="s">
        <v>10</v>
      </c>
      <c r="G3623" s="2" t="s">
        <v>11</v>
      </c>
      <c r="H3623" s="2">
        <v>5000000</v>
      </c>
      <c r="I3623" s="2">
        <v>4.4000000000000004</v>
      </c>
      <c r="J3623" s="3">
        <v>138795342</v>
      </c>
      <c r="K3623">
        <f t="shared" si="120"/>
        <v>1.3775047412552699E-3</v>
      </c>
      <c r="R3623" s="12" t="str">
        <f ca="1">IFERROR(__xludf.DUMMYFUNCTION("""COMPUTED_VALUE"""),"Taxi to the Dark Side ")</f>
        <v>Taxi to the Dark Side </v>
      </c>
      <c r="S3623" s="12">
        <f t="shared" si="121"/>
        <v>-3316646</v>
      </c>
    </row>
    <row r="3624" spans="1:19" x14ac:dyDescent="0.3">
      <c r="A3624" s="2" t="s">
        <v>473</v>
      </c>
      <c r="B3624" s="2">
        <v>101</v>
      </c>
      <c r="C3624" s="3">
        <v>2223990</v>
      </c>
      <c r="D3624" s="3" t="s">
        <v>6033</v>
      </c>
      <c r="E3624" s="2" t="s">
        <v>474</v>
      </c>
      <c r="F3624" s="2" t="s">
        <v>10</v>
      </c>
      <c r="G3624" s="2" t="s">
        <v>199</v>
      </c>
      <c r="H3624" s="2">
        <v>100000000</v>
      </c>
      <c r="I3624" s="2">
        <v>6.8</v>
      </c>
      <c r="J3624" s="3">
        <v>139225854</v>
      </c>
      <c r="K3624">
        <f t="shared" si="120"/>
        <v>1.3775047412552699E-3</v>
      </c>
      <c r="R3624" s="12" t="str">
        <f ca="1">IFERROR(__xludf.DUMMYFUNCTION("""COMPUTED_VALUE"""),"Once in a Lifetime: The Extraordinary Story of the New York Cosmos ")</f>
        <v>Once in a Lifetime: The Extraordinary Story of the New York Cosmos </v>
      </c>
      <c r="S3624" s="12">
        <f t="shared" si="121"/>
        <v>4168359</v>
      </c>
    </row>
    <row r="3625" spans="1:19" x14ac:dyDescent="0.3">
      <c r="A3625" s="2" t="s">
        <v>2288</v>
      </c>
      <c r="B3625" s="2">
        <v>133</v>
      </c>
      <c r="C3625" s="3">
        <v>48856</v>
      </c>
      <c r="D3625" s="3" t="s">
        <v>5849</v>
      </c>
      <c r="E3625" s="2" t="s">
        <v>2289</v>
      </c>
      <c r="F3625" s="2" t="s">
        <v>10</v>
      </c>
      <c r="G3625" s="2" t="s">
        <v>11</v>
      </c>
      <c r="H3625" s="2">
        <v>35000000</v>
      </c>
      <c r="I3625" s="2">
        <v>7.4</v>
      </c>
      <c r="J3625" s="3">
        <v>139259759</v>
      </c>
      <c r="K3625">
        <f t="shared" si="120"/>
        <v>1.3775047412552699E-3</v>
      </c>
      <c r="R3625" s="12" t="str">
        <f ca="1">IFERROR(__xludf.DUMMYFUNCTION("""COMPUTED_VALUE"""),"Antarctica: A Year on Ice ")</f>
        <v>Antarctica: A Year on Ice </v>
      </c>
      <c r="S3625" s="12">
        <f t="shared" si="121"/>
        <v>-65726628</v>
      </c>
    </row>
    <row r="3626" spans="1:19" x14ac:dyDescent="0.3">
      <c r="A3626" s="2" t="s">
        <v>726</v>
      </c>
      <c r="B3626" s="2">
        <v>90</v>
      </c>
      <c r="C3626" s="3">
        <v>7267324</v>
      </c>
      <c r="D3626" s="3" t="s">
        <v>520</v>
      </c>
      <c r="E3626" s="2" t="s">
        <v>727</v>
      </c>
      <c r="F3626" s="2" t="s">
        <v>10</v>
      </c>
      <c r="G3626" s="2" t="s">
        <v>11</v>
      </c>
      <c r="H3626" s="2">
        <v>80000000</v>
      </c>
      <c r="I3626" s="2">
        <v>5.3</v>
      </c>
      <c r="J3626" s="3">
        <v>139852971</v>
      </c>
      <c r="K3626">
        <f t="shared" si="120"/>
        <v>1.3775047412552699E-3</v>
      </c>
      <c r="R3626" s="12" t="str">
        <f ca="1">IFERROR(__xludf.DUMMYFUNCTION("""COMPUTED_VALUE"""),"A Lego Brickumentary ")</f>
        <v>A Lego Brickumentary </v>
      </c>
      <c r="S3626" s="12">
        <f t="shared" si="121"/>
        <v>12991653</v>
      </c>
    </row>
    <row r="3627" spans="1:19" x14ac:dyDescent="0.3">
      <c r="A3627" s="2" t="s">
        <v>14</v>
      </c>
      <c r="B3627" s="2">
        <v>119</v>
      </c>
      <c r="C3627" s="3">
        <v>211667</v>
      </c>
      <c r="D3627" s="3" t="s">
        <v>6485</v>
      </c>
      <c r="E3627" s="2" t="s">
        <v>1559</v>
      </c>
      <c r="F3627" s="2" t="s">
        <v>10</v>
      </c>
      <c r="G3627" s="2" t="s">
        <v>11</v>
      </c>
      <c r="H3627" s="2">
        <v>35000000</v>
      </c>
      <c r="I3627" s="2">
        <v>7.3</v>
      </c>
      <c r="J3627" s="3">
        <v>140015224</v>
      </c>
      <c r="K3627">
        <f t="shared" si="120"/>
        <v>1.3775047412552699E-3</v>
      </c>
      <c r="R3627" s="12" t="str">
        <f ca="1">IFERROR(__xludf.DUMMYFUNCTION("""COMPUTED_VALUE"""),"Hardflip ")</f>
        <v>Hardflip </v>
      </c>
      <c r="S3627" s="12">
        <f t="shared" si="121"/>
        <v>-11901983</v>
      </c>
    </row>
    <row r="3628" spans="1:19" x14ac:dyDescent="0.3">
      <c r="A3628" s="2" t="s">
        <v>4297</v>
      </c>
      <c r="B3628" s="2">
        <v>109</v>
      </c>
      <c r="C3628" s="3">
        <v>15593</v>
      </c>
      <c r="D3628" s="3" t="s">
        <v>6220</v>
      </c>
      <c r="E3628" s="2" t="s">
        <v>4298</v>
      </c>
      <c r="F3628" s="2" t="s">
        <v>10</v>
      </c>
      <c r="G3628" s="2" t="s">
        <v>11</v>
      </c>
      <c r="H3628" s="2">
        <v>8000000</v>
      </c>
      <c r="I3628" s="2">
        <v>5.6</v>
      </c>
      <c r="J3628" s="3">
        <v>140080850</v>
      </c>
      <c r="K3628">
        <f t="shared" si="120"/>
        <v>1.3775047412552699E-3</v>
      </c>
      <c r="R3628" s="12" t="str">
        <f ca="1">IFERROR(__xludf.DUMMYFUNCTION("""COMPUTED_VALUE"""),"Chocolate: Deep Dark Secrets ")</f>
        <v>Chocolate: Deep Dark Secrets </v>
      </c>
      <c r="S3628" s="12">
        <f t="shared" si="121"/>
        <v>-119803933</v>
      </c>
    </row>
    <row r="3629" spans="1:19" x14ac:dyDescent="0.3">
      <c r="A3629" s="2" t="s">
        <v>1656</v>
      </c>
      <c r="B3629" s="2">
        <v>126</v>
      </c>
      <c r="C3629" s="3">
        <v>763044</v>
      </c>
      <c r="D3629" s="3" t="s">
        <v>5940</v>
      </c>
      <c r="E3629" s="2" t="s">
        <v>1657</v>
      </c>
      <c r="F3629" s="2" t="s">
        <v>10</v>
      </c>
      <c r="G3629" s="2" t="s">
        <v>11</v>
      </c>
      <c r="H3629" s="2">
        <v>8000000</v>
      </c>
      <c r="I3629" s="2">
        <v>7.2</v>
      </c>
      <c r="J3629" s="3">
        <v>140459099</v>
      </c>
      <c r="K3629">
        <f t="shared" si="120"/>
        <v>1.3775047412552699E-3</v>
      </c>
      <c r="R3629" s="12" t="str">
        <f ca="1">IFERROR(__xludf.DUMMYFUNCTION("""COMPUTED_VALUE"""),"The House of the Devil ")</f>
        <v>The House of the Devil </v>
      </c>
      <c r="S3629" s="12">
        <f t="shared" si="121"/>
        <v>-25818803</v>
      </c>
    </row>
    <row r="3630" spans="1:19" x14ac:dyDescent="0.3">
      <c r="A3630" s="2" t="s">
        <v>3948</v>
      </c>
      <c r="B3630" s="2">
        <v>85</v>
      </c>
      <c r="C3630" s="3">
        <v>145096820</v>
      </c>
      <c r="D3630" s="3" t="s">
        <v>5767</v>
      </c>
      <c r="E3630" s="2" t="s">
        <v>4558</v>
      </c>
      <c r="F3630" s="2" t="s">
        <v>723</v>
      </c>
      <c r="G3630" s="2" t="s">
        <v>932</v>
      </c>
      <c r="H3630" s="2">
        <v>5600000</v>
      </c>
      <c r="I3630" s="2">
        <v>6.6</v>
      </c>
      <c r="J3630" s="3">
        <v>140530114</v>
      </c>
      <c r="K3630">
        <f t="shared" si="120"/>
        <v>1.3775047412552699E-3</v>
      </c>
      <c r="R3630" s="12" t="str">
        <f ca="1">IFERROR(__xludf.DUMMYFUNCTION("""COMPUTED_VALUE"""),"The Perfect Host ")</f>
        <v>The Perfect Host </v>
      </c>
      <c r="S3630" s="12">
        <f t="shared" si="121"/>
        <v>-15427504</v>
      </c>
    </row>
    <row r="3631" spans="1:19" x14ac:dyDescent="0.3">
      <c r="A3631" s="2" t="s">
        <v>124</v>
      </c>
      <c r="B3631" s="2">
        <v>85</v>
      </c>
      <c r="C3631" s="3">
        <v>1654367</v>
      </c>
      <c r="D3631" s="3" t="s">
        <v>5767</v>
      </c>
      <c r="E3631" s="2" t="s">
        <v>409</v>
      </c>
      <c r="F3631" s="2" t="s">
        <v>10</v>
      </c>
      <c r="G3631" s="2" t="s">
        <v>11</v>
      </c>
      <c r="H3631" s="2">
        <v>112000000</v>
      </c>
      <c r="I3631" s="2">
        <v>4.9000000000000004</v>
      </c>
      <c r="J3631" s="3">
        <v>141204016</v>
      </c>
      <c r="K3631">
        <f t="shared" si="120"/>
        <v>1.3775047412552699E-3</v>
      </c>
      <c r="R3631" s="12" t="str">
        <f ca="1">IFERROR(__xludf.DUMMYFUNCTION("""COMPUTED_VALUE"""),"Safe Men ")</f>
        <v>Safe Men </v>
      </c>
      <c r="S3631" s="12">
        <f t="shared" si="121"/>
        <v>-69540176</v>
      </c>
    </row>
    <row r="3632" spans="1:19" x14ac:dyDescent="0.3">
      <c r="A3632" s="2" t="s">
        <v>2817</v>
      </c>
      <c r="B3632" s="2">
        <v>125</v>
      </c>
      <c r="C3632" s="3">
        <v>40566655</v>
      </c>
      <c r="D3632" s="3" t="s">
        <v>6041</v>
      </c>
      <c r="E3632" s="2" t="s">
        <v>3088</v>
      </c>
      <c r="F3632" s="2" t="s">
        <v>513</v>
      </c>
      <c r="G3632" s="2" t="s">
        <v>233</v>
      </c>
      <c r="H3632" s="2">
        <v>19400000</v>
      </c>
      <c r="I3632" s="2">
        <v>7.5</v>
      </c>
      <c r="J3632" s="3">
        <v>141319195</v>
      </c>
      <c r="K3632">
        <f t="shared" si="120"/>
        <v>1.3775047412552699E-3</v>
      </c>
      <c r="R3632" s="12" t="str">
        <f ca="1">IFERROR(__xludf.DUMMYFUNCTION("""COMPUTED_VALUE"""),"The Specials ")</f>
        <v>The Specials </v>
      </c>
      <c r="S3632" s="12">
        <f t="shared" si="121"/>
        <v>-32078262</v>
      </c>
    </row>
    <row r="3633" spans="1:19" x14ac:dyDescent="0.3">
      <c r="A3633" s="2" t="s">
        <v>795</v>
      </c>
      <c r="B3633" s="2">
        <v>87</v>
      </c>
      <c r="C3633" s="3">
        <v>15171475</v>
      </c>
      <c r="D3633" s="3" t="s">
        <v>520</v>
      </c>
      <c r="E3633" s="2" t="s">
        <v>1460</v>
      </c>
      <c r="F3633" s="2" t="s">
        <v>10</v>
      </c>
      <c r="G3633" s="2" t="s">
        <v>11</v>
      </c>
      <c r="H3633" s="2">
        <v>50000000</v>
      </c>
      <c r="I3633" s="2">
        <v>5.6</v>
      </c>
      <c r="J3633" s="3">
        <v>141340178</v>
      </c>
      <c r="K3633">
        <f t="shared" si="120"/>
        <v>1.3775047412552699E-3</v>
      </c>
      <c r="R3633" s="12" t="str">
        <f ca="1">IFERROR(__xludf.DUMMYFUNCTION("""COMPUTED_VALUE"""),"Alone with Her ")</f>
        <v>Alone with Her </v>
      </c>
      <c r="S3633" s="12">
        <f t="shared" si="121"/>
        <v>-10644185</v>
      </c>
    </row>
    <row r="3634" spans="1:19" x14ac:dyDescent="0.3">
      <c r="A3634" s="2" t="s">
        <v>4304</v>
      </c>
      <c r="B3634" s="2">
        <v>95</v>
      </c>
      <c r="C3634" s="3">
        <v>4250320</v>
      </c>
      <c r="D3634" s="3" t="s">
        <v>6199</v>
      </c>
      <c r="E3634" s="2" t="s">
        <v>4305</v>
      </c>
      <c r="F3634" s="2" t="s">
        <v>10</v>
      </c>
      <c r="G3634" s="2" t="s">
        <v>11</v>
      </c>
      <c r="H3634" s="2">
        <v>8000000</v>
      </c>
      <c r="I3634" s="2">
        <v>6</v>
      </c>
      <c r="J3634" s="3">
        <v>141600000</v>
      </c>
      <c r="K3634">
        <f t="shared" si="120"/>
        <v>1.3775047412552699E-3</v>
      </c>
      <c r="R3634" s="12" t="str">
        <f ca="1">IFERROR(__xludf.DUMMYFUNCTION("""COMPUTED_VALUE"""),"Creative Control ")</f>
        <v>Creative Control </v>
      </c>
      <c r="S3634" s="12">
        <f t="shared" si="121"/>
        <v>-63322162</v>
      </c>
    </row>
    <row r="3635" spans="1:19" x14ac:dyDescent="0.3">
      <c r="A3635" s="2" t="s">
        <v>3126</v>
      </c>
      <c r="B3635" s="2">
        <v>100</v>
      </c>
      <c r="C3635" s="3">
        <v>94900000</v>
      </c>
      <c r="D3635" s="3" t="s">
        <v>6486</v>
      </c>
      <c r="E3635" s="2" t="s">
        <v>3127</v>
      </c>
      <c r="F3635" s="2" t="s">
        <v>10</v>
      </c>
      <c r="G3635" s="2" t="s">
        <v>11</v>
      </c>
      <c r="H3635" s="2">
        <v>18500000</v>
      </c>
      <c r="I3635" s="2">
        <v>6.4</v>
      </c>
      <c r="J3635" s="3">
        <v>141600000</v>
      </c>
      <c r="K3635">
        <f t="shared" si="120"/>
        <v>1.3775047412552699E-3</v>
      </c>
      <c r="R3635" s="12" t="str">
        <f ca="1">IFERROR(__xludf.DUMMYFUNCTION("""COMPUTED_VALUE"""),"Special ")</f>
        <v>Special </v>
      </c>
      <c r="S3635" s="12">
        <f t="shared" si="121"/>
        <v>2412363</v>
      </c>
    </row>
    <row r="3636" spans="1:19" x14ac:dyDescent="0.3">
      <c r="A3636" s="2" t="s">
        <v>534</v>
      </c>
      <c r="B3636" s="2">
        <v>102</v>
      </c>
      <c r="C3636" s="3">
        <v>4063</v>
      </c>
      <c r="D3636" s="3" t="s">
        <v>6241</v>
      </c>
      <c r="E3636" s="2" t="s">
        <v>535</v>
      </c>
      <c r="F3636" s="2" t="s">
        <v>10</v>
      </c>
      <c r="G3636" s="2" t="s">
        <v>11</v>
      </c>
      <c r="H3636" s="2">
        <v>95000000</v>
      </c>
      <c r="I3636" s="2">
        <v>5.5</v>
      </c>
      <c r="J3636" s="3">
        <v>141614023</v>
      </c>
      <c r="K3636">
        <f t="shared" si="120"/>
        <v>1.3775047412552699E-3</v>
      </c>
      <c r="R3636" s="12" t="str">
        <f ca="1">IFERROR(__xludf.DUMMYFUNCTION("""COMPUTED_VALUE"""),"In Her Line of Fire ")</f>
        <v>In Her Line of Fire </v>
      </c>
      <c r="S3636" s="12">
        <f t="shared" si="121"/>
        <v>-14334574</v>
      </c>
    </row>
    <row r="3637" spans="1:19" x14ac:dyDescent="0.3">
      <c r="A3637" s="2" t="s">
        <v>945</v>
      </c>
      <c r="B3637" s="2">
        <v>132</v>
      </c>
      <c r="C3637" s="3">
        <v>185577</v>
      </c>
      <c r="D3637" s="3" t="s">
        <v>6487</v>
      </c>
      <c r="E3637" s="2" t="s">
        <v>946</v>
      </c>
      <c r="F3637" s="2" t="s">
        <v>10</v>
      </c>
      <c r="G3637" s="2" t="s">
        <v>11</v>
      </c>
      <c r="H3637" s="2">
        <v>66000000</v>
      </c>
      <c r="I3637" s="2">
        <v>6.5</v>
      </c>
      <c r="J3637" s="3">
        <v>142614158</v>
      </c>
      <c r="K3637">
        <f t="shared" si="120"/>
        <v>1.3775047412552699E-3</v>
      </c>
      <c r="R3637" s="12" t="str">
        <f ca="1">IFERROR(__xludf.DUMMYFUNCTION("""COMPUTED_VALUE"""),"The Jimmy Show ")</f>
        <v>The Jimmy Show </v>
      </c>
      <c r="S3637" s="12">
        <f t="shared" si="121"/>
        <v>-5203958</v>
      </c>
    </row>
    <row r="3638" spans="1:19" x14ac:dyDescent="0.3">
      <c r="A3638" s="2" t="s">
        <v>4972</v>
      </c>
      <c r="B3638" s="2">
        <v>97</v>
      </c>
      <c r="C3638" s="3">
        <v>2899970</v>
      </c>
      <c r="D3638" s="3" t="s">
        <v>5849</v>
      </c>
      <c r="E3638" s="2" t="s">
        <v>4973</v>
      </c>
      <c r="F3638" s="2" t="s">
        <v>10</v>
      </c>
      <c r="G3638" s="2" t="s">
        <v>11</v>
      </c>
      <c r="H3638" s="2">
        <v>3000000</v>
      </c>
      <c r="I3638" s="2">
        <v>6.7</v>
      </c>
      <c r="J3638" s="3">
        <v>143151473</v>
      </c>
      <c r="K3638">
        <f t="shared" si="120"/>
        <v>1.3775047412552699E-3</v>
      </c>
      <c r="R3638" s="12" t="str">
        <f ca="1">IFERROR(__xludf.DUMMYFUNCTION("""COMPUTED_VALUE"""),"On the Waterfront ")</f>
        <v>On the Waterfront </v>
      </c>
      <c r="S3638" s="12">
        <f t="shared" si="121"/>
        <v>-7889971</v>
      </c>
    </row>
    <row r="3639" spans="1:19" x14ac:dyDescent="0.3">
      <c r="A3639" s="2" t="s">
        <v>19</v>
      </c>
      <c r="B3639" s="2">
        <v>100</v>
      </c>
      <c r="C3639" s="3">
        <v>64459316</v>
      </c>
      <c r="D3639" s="3" t="s">
        <v>6169</v>
      </c>
      <c r="E3639" s="2" t="s">
        <v>531</v>
      </c>
      <c r="F3639" s="2" t="s">
        <v>10</v>
      </c>
      <c r="G3639" s="2" t="s">
        <v>11</v>
      </c>
      <c r="H3639" s="2">
        <v>94000000</v>
      </c>
      <c r="I3639" s="2">
        <v>8.1999999999999993</v>
      </c>
      <c r="J3639" s="3">
        <v>143492840</v>
      </c>
      <c r="K3639">
        <f t="shared" si="120"/>
        <v>1.3775047412552699E-3</v>
      </c>
      <c r="R3639" s="12" t="str">
        <f ca="1">IFERROR(__xludf.DUMMYFUNCTION("""COMPUTED_VALUE"""),"L!fe Happens ")</f>
        <v>L!fe Happens </v>
      </c>
      <c r="S3639" s="12">
        <f t="shared" si="121"/>
        <v>-9983108</v>
      </c>
    </row>
    <row r="3640" spans="1:19" x14ac:dyDescent="0.3">
      <c r="A3640" s="2" t="s">
        <v>3017</v>
      </c>
      <c r="B3640" s="2">
        <v>98</v>
      </c>
      <c r="C3640" s="3">
        <v>72413</v>
      </c>
      <c r="D3640" s="3" t="s">
        <v>1703</v>
      </c>
      <c r="E3640" s="2" t="s">
        <v>3018</v>
      </c>
      <c r="F3640" s="2" t="s">
        <v>10</v>
      </c>
      <c r="G3640" s="2" t="s">
        <v>98</v>
      </c>
      <c r="H3640" s="2">
        <v>20000000</v>
      </c>
      <c r="I3640" s="2">
        <v>6.1</v>
      </c>
      <c r="J3640" s="3">
        <v>143523463</v>
      </c>
      <c r="K3640">
        <f t="shared" si="120"/>
        <v>1.3775047412552699E-3</v>
      </c>
      <c r="R3640" s="12" t="str">
        <f ca="1">IFERROR(__xludf.DUMMYFUNCTION("""COMPUTED_VALUE"""),"4 Months, 3 Weeks and 2 Days ")</f>
        <v>4 Months, 3 Weeks and 2 Days </v>
      </c>
      <c r="S3640" s="12">
        <f t="shared" si="121"/>
        <v>-179882429</v>
      </c>
    </row>
    <row r="3641" spans="1:19" x14ac:dyDescent="0.3">
      <c r="A3641" s="2" t="s">
        <v>135</v>
      </c>
      <c r="B3641" s="2">
        <v>104</v>
      </c>
      <c r="C3641" s="3">
        <v>489220</v>
      </c>
      <c r="D3641" s="3" t="s">
        <v>885</v>
      </c>
      <c r="E3641" s="2" t="s">
        <v>1141</v>
      </c>
      <c r="F3641" s="2" t="s">
        <v>10</v>
      </c>
      <c r="G3641" s="2" t="s">
        <v>11</v>
      </c>
      <c r="H3641" s="2">
        <v>60000000</v>
      </c>
      <c r="I3641" s="2">
        <v>6.1</v>
      </c>
      <c r="J3641" s="3">
        <v>143618384</v>
      </c>
      <c r="K3641">
        <f t="shared" si="120"/>
        <v>1.3775047412552699E-3</v>
      </c>
      <c r="R3641" s="12" t="str">
        <f ca="1">IFERROR(__xludf.DUMMYFUNCTION("""COMPUTED_VALUE"""),"Hard Candy ")</f>
        <v>Hard Candy </v>
      </c>
      <c r="S3641" s="12">
        <f t="shared" si="121"/>
        <v>6109400</v>
      </c>
    </row>
    <row r="3642" spans="1:19" x14ac:dyDescent="0.3">
      <c r="A3642" s="2" t="s">
        <v>404</v>
      </c>
      <c r="B3642" s="2">
        <v>105</v>
      </c>
      <c r="C3642" s="3">
        <v>5132222</v>
      </c>
      <c r="D3642" s="3" t="s">
        <v>6162</v>
      </c>
      <c r="E3642" s="2" t="s">
        <v>2143</v>
      </c>
      <c r="F3642" s="2" t="s">
        <v>10</v>
      </c>
      <c r="G3642" s="2" t="s">
        <v>11</v>
      </c>
      <c r="H3642" s="2">
        <v>32000000</v>
      </c>
      <c r="I3642" s="2">
        <v>6.1</v>
      </c>
      <c r="J3642" s="3">
        <v>143704210</v>
      </c>
      <c r="K3642">
        <f t="shared" si="120"/>
        <v>1.3775047412552699E-3</v>
      </c>
      <c r="R3642" s="12" t="str">
        <f ca="1">IFERROR(__xludf.DUMMYFUNCTION("""COMPUTED_VALUE"""),"The Quiet ")</f>
        <v>The Quiet </v>
      </c>
      <c r="S3642" s="12">
        <f t="shared" si="121"/>
        <v>-25898772</v>
      </c>
    </row>
    <row r="3643" spans="1:19" x14ac:dyDescent="0.3">
      <c r="A3643" s="2" t="s">
        <v>557</v>
      </c>
      <c r="B3643" s="2">
        <v>109</v>
      </c>
      <c r="C3643" s="3">
        <v>1631839</v>
      </c>
      <c r="D3643" s="3" t="s">
        <v>6488</v>
      </c>
      <c r="E3643" s="2" t="s">
        <v>1614</v>
      </c>
      <c r="F3643" s="2" t="s">
        <v>10</v>
      </c>
      <c r="G3643" s="2" t="s">
        <v>11</v>
      </c>
      <c r="H3643" s="2">
        <v>42000000</v>
      </c>
      <c r="I3643" s="2">
        <v>7.2</v>
      </c>
      <c r="J3643" s="3">
        <v>144156464</v>
      </c>
      <c r="K3643">
        <f t="shared" si="120"/>
        <v>1.3775047412552699E-3</v>
      </c>
      <c r="R3643" s="12" t="str">
        <f ca="1">IFERROR(__xludf.DUMMYFUNCTION("""COMPUTED_VALUE"""),"Fruitvale Station ")</f>
        <v>Fruitvale Station </v>
      </c>
      <c r="S3643" s="12">
        <f t="shared" si="121"/>
        <v>3712564</v>
      </c>
    </row>
    <row r="3644" spans="1:19" x14ac:dyDescent="0.3">
      <c r="A3644" s="2" t="s">
        <v>209</v>
      </c>
      <c r="B3644" s="2">
        <v>108</v>
      </c>
      <c r="C3644" s="3">
        <v>29233</v>
      </c>
      <c r="D3644" s="3" t="s">
        <v>5894</v>
      </c>
      <c r="E3644" s="2" t="s">
        <v>398</v>
      </c>
      <c r="F3644" s="2" t="s">
        <v>10</v>
      </c>
      <c r="G3644" s="2" t="s">
        <v>11</v>
      </c>
      <c r="H3644" s="2">
        <v>110000000</v>
      </c>
      <c r="I3644" s="2">
        <v>6.4</v>
      </c>
      <c r="J3644" s="3">
        <v>144512310</v>
      </c>
      <c r="K3644">
        <f t="shared" si="120"/>
        <v>1.3775047412552699E-3</v>
      </c>
      <c r="R3644" s="12" t="str">
        <f ca="1">IFERROR(__xludf.DUMMYFUNCTION("""COMPUTED_VALUE"""),"The Brass Teapot ")</f>
        <v>The Brass Teapot </v>
      </c>
      <c r="S3644" s="12">
        <f t="shared" si="121"/>
        <v>-400000</v>
      </c>
    </row>
    <row r="3645" spans="1:19" x14ac:dyDescent="0.3">
      <c r="A3645" s="2" t="s">
        <v>900</v>
      </c>
      <c r="B3645" s="2">
        <v>101</v>
      </c>
      <c r="C3645" s="3">
        <v>13376506</v>
      </c>
      <c r="D3645" s="3" t="s">
        <v>885</v>
      </c>
      <c r="E3645" s="2" t="s">
        <v>2002</v>
      </c>
      <c r="F3645" s="2" t="s">
        <v>10</v>
      </c>
      <c r="G3645" s="2" t="s">
        <v>11</v>
      </c>
      <c r="H3645" s="2">
        <v>35000000</v>
      </c>
      <c r="I3645" s="2">
        <v>6.2</v>
      </c>
      <c r="J3645" s="3">
        <v>144731527</v>
      </c>
      <c r="K3645">
        <f t="shared" si="120"/>
        <v>1.3775047412552699E-3</v>
      </c>
      <c r="R3645" s="12" t="str">
        <f ca="1">IFERROR(__xludf.DUMMYFUNCTION("""COMPUTED_VALUE"""),"The Hammer ")</f>
        <v>The Hammer </v>
      </c>
      <c r="S3645" s="12">
        <f t="shared" si="121"/>
        <v>32432299</v>
      </c>
    </row>
    <row r="3646" spans="1:19" x14ac:dyDescent="0.3">
      <c r="A3646" s="2" t="s">
        <v>135</v>
      </c>
      <c r="B3646" s="2">
        <v>115</v>
      </c>
      <c r="C3646" s="3">
        <v>203134</v>
      </c>
      <c r="D3646" s="3" t="s">
        <v>885</v>
      </c>
      <c r="E3646" s="2" t="s">
        <v>1323</v>
      </c>
      <c r="F3646" s="2" t="s">
        <v>10</v>
      </c>
      <c r="G3646" s="2" t="s">
        <v>11</v>
      </c>
      <c r="H3646" s="2">
        <v>50000000</v>
      </c>
      <c r="I3646" s="2">
        <v>6.7</v>
      </c>
      <c r="J3646" s="3">
        <v>144795350</v>
      </c>
      <c r="K3646">
        <f t="shared" si="120"/>
        <v>1.3775047412552699E-3</v>
      </c>
      <c r="R3646" s="12" t="str">
        <f ca="1">IFERROR(__xludf.DUMMYFUNCTION("""COMPUTED_VALUE"""),"Latter Days ")</f>
        <v>Latter Days </v>
      </c>
      <c r="S3646" s="12">
        <f t="shared" si="121"/>
        <v>-97776010</v>
      </c>
    </row>
    <row r="3647" spans="1:19" x14ac:dyDescent="0.3">
      <c r="A3647" s="2" t="s">
        <v>728</v>
      </c>
      <c r="B3647" s="2">
        <v>91</v>
      </c>
      <c r="C3647" s="3">
        <v>12996</v>
      </c>
      <c r="D3647" s="3" t="s">
        <v>520</v>
      </c>
      <c r="E3647" s="2" t="s">
        <v>5547</v>
      </c>
      <c r="F3647" s="2" t="s">
        <v>10</v>
      </c>
      <c r="G3647" s="2" t="s">
        <v>16</v>
      </c>
      <c r="H3647" s="2">
        <v>229575</v>
      </c>
      <c r="I3647" s="2">
        <v>8.3000000000000007</v>
      </c>
      <c r="J3647" s="3">
        <v>144812796</v>
      </c>
      <c r="K3647">
        <f t="shared" si="120"/>
        <v>1.3775047412552699E-3</v>
      </c>
      <c r="R3647" s="12" t="str">
        <f ca="1">IFERROR(__xludf.DUMMYFUNCTION("""COMPUTED_VALUE"""),"For a Good Time, Call... ")</f>
        <v>For a Good Time, Call... </v>
      </c>
      <c r="S3647" s="12">
        <f t="shared" si="121"/>
        <v>-34951144</v>
      </c>
    </row>
    <row r="3648" spans="1:19" x14ac:dyDescent="0.3">
      <c r="A3648" s="2" t="s">
        <v>50</v>
      </c>
      <c r="B3648" s="2">
        <v>117</v>
      </c>
      <c r="C3648" s="3">
        <v>26005908</v>
      </c>
      <c r="D3648" s="3" t="s">
        <v>6320</v>
      </c>
      <c r="E3648" s="2" t="s">
        <v>2401</v>
      </c>
      <c r="F3648" s="2" t="s">
        <v>10</v>
      </c>
      <c r="G3648" s="2" t="s">
        <v>11</v>
      </c>
      <c r="H3648" s="2">
        <v>28000000</v>
      </c>
      <c r="I3648" s="2">
        <v>8.1999999999999993</v>
      </c>
      <c r="J3648" s="3">
        <v>144833357</v>
      </c>
      <c r="K3648">
        <f t="shared" si="120"/>
        <v>1.3775047412552699E-3</v>
      </c>
      <c r="R3648" s="12" t="str">
        <f ca="1">IFERROR(__xludf.DUMMYFUNCTION("""COMPUTED_VALUE"""),"Time Changer ")</f>
        <v>Time Changer </v>
      </c>
      <c r="S3648" s="12">
        <f t="shared" si="121"/>
        <v>-72732676</v>
      </c>
    </row>
    <row r="3649" spans="1:19" x14ac:dyDescent="0.3">
      <c r="A3649" s="2" t="s">
        <v>1212</v>
      </c>
      <c r="B3649" s="2">
        <v>106</v>
      </c>
      <c r="C3649" s="2">
        <v>32645546</v>
      </c>
      <c r="D3649" s="3" t="s">
        <v>1703</v>
      </c>
      <c r="E3649" s="2" t="s">
        <v>3443</v>
      </c>
      <c r="F3649" s="2" t="s">
        <v>10</v>
      </c>
      <c r="G3649" s="2" t="s">
        <v>11</v>
      </c>
      <c r="H3649" s="2">
        <v>14000000</v>
      </c>
      <c r="I3649" s="2">
        <v>6.4</v>
      </c>
      <c r="J3649" s="3">
        <v>145000989</v>
      </c>
      <c r="K3649">
        <f t="shared" si="120"/>
        <v>1.3775047412552699E-3</v>
      </c>
      <c r="R3649" s="12" t="str">
        <f ca="1">IFERROR(__xludf.DUMMYFUNCTION("""COMPUTED_VALUE"""),"A Separation ")</f>
        <v>A Separation </v>
      </c>
      <c r="S3649" s="12">
        <f t="shared" si="121"/>
        <v>-34788333</v>
      </c>
    </row>
    <row r="3650" spans="1:19" x14ac:dyDescent="0.3">
      <c r="A3650" s="2" t="s">
        <v>177</v>
      </c>
      <c r="B3650" s="2">
        <v>127</v>
      </c>
      <c r="C3650" s="3">
        <v>16346122</v>
      </c>
      <c r="D3650" s="3" t="s">
        <v>6489</v>
      </c>
      <c r="E3650" s="2" t="s">
        <v>890</v>
      </c>
      <c r="F3650" s="2" t="s">
        <v>10</v>
      </c>
      <c r="G3650" s="2" t="s">
        <v>16</v>
      </c>
      <c r="H3650" s="2">
        <v>70000000</v>
      </c>
      <c r="I3650" s="2">
        <v>7.7</v>
      </c>
      <c r="J3650" s="3">
        <v>145096820</v>
      </c>
      <c r="K3650">
        <f t="shared" ref="K3650:K3713" si="122">CORREL(H$2:H$3941,J$2:J$3941)</f>
        <v>1.3775047412552699E-3</v>
      </c>
      <c r="R3650" s="12" t="str">
        <f ca="1">IFERROR(__xludf.DUMMYFUNCTION("""COMPUTED_VALUE"""),"Welcome to the Dollhouse ")</f>
        <v>Welcome to the Dollhouse </v>
      </c>
      <c r="S3650" s="12">
        <f t="shared" si="121"/>
        <v>-7984407</v>
      </c>
    </row>
    <row r="3651" spans="1:19" x14ac:dyDescent="0.3">
      <c r="A3651" s="2" t="s">
        <v>14</v>
      </c>
      <c r="B3651" s="2">
        <v>143</v>
      </c>
      <c r="C3651" s="3">
        <v>727883</v>
      </c>
      <c r="D3651" s="3" t="s">
        <v>6406</v>
      </c>
      <c r="E3651" s="2" t="s">
        <v>63</v>
      </c>
      <c r="F3651" s="2" t="s">
        <v>10</v>
      </c>
      <c r="G3651" s="2" t="s">
        <v>16</v>
      </c>
      <c r="H3651" s="2">
        <v>200000000</v>
      </c>
      <c r="I3651" s="2">
        <v>7.8</v>
      </c>
      <c r="J3651" s="3">
        <v>145771527</v>
      </c>
      <c r="K3651">
        <f t="shared" si="122"/>
        <v>1.3775047412552699E-3</v>
      </c>
      <c r="R3651" s="12" t="str">
        <f ca="1">IFERROR(__xludf.DUMMYFUNCTION("""COMPUTED_VALUE"""),"Ruby in Paradise ")</f>
        <v>Ruby in Paradise </v>
      </c>
      <c r="S3651" s="12">
        <f t="shared" si="121"/>
        <v>-7236956</v>
      </c>
    </row>
    <row r="3652" spans="1:19" x14ac:dyDescent="0.3">
      <c r="A3652" s="2" t="s">
        <v>250</v>
      </c>
      <c r="B3652" s="2">
        <v>92</v>
      </c>
      <c r="C3652" s="3">
        <v>236266</v>
      </c>
      <c r="D3652" s="3" t="s">
        <v>5808</v>
      </c>
      <c r="E3652" s="2" t="s">
        <v>251</v>
      </c>
      <c r="F3652" s="2" t="s">
        <v>10</v>
      </c>
      <c r="G3652" s="2" t="s">
        <v>11</v>
      </c>
      <c r="H3652" s="2">
        <v>145000000</v>
      </c>
      <c r="I3652" s="2">
        <v>6.9</v>
      </c>
      <c r="J3652" s="3">
        <v>146282411</v>
      </c>
      <c r="K3652">
        <f t="shared" si="122"/>
        <v>1.3775047412552699E-3</v>
      </c>
      <c r="R3652" s="12" t="str">
        <f ca="1">IFERROR(__xludf.DUMMYFUNCTION("""COMPUTED_VALUE"""),"Raising Victor Vargas ")</f>
        <v>Raising Victor Vargas </v>
      </c>
      <c r="S3652" s="12">
        <f t="shared" si="121"/>
        <v>139496820</v>
      </c>
    </row>
    <row r="3653" spans="1:19" x14ac:dyDescent="0.3">
      <c r="A3653" s="2" t="s">
        <v>3435</v>
      </c>
      <c r="B3653" s="2">
        <v>100</v>
      </c>
      <c r="C3653" s="3">
        <v>31662</v>
      </c>
      <c r="D3653" s="3" t="s">
        <v>885</v>
      </c>
      <c r="E3653" s="2" t="s">
        <v>3436</v>
      </c>
      <c r="F3653" s="2" t="s">
        <v>10</v>
      </c>
      <c r="G3653" s="2" t="s">
        <v>11</v>
      </c>
      <c r="H3653" s="2">
        <v>15000000</v>
      </c>
      <c r="I3653" s="2">
        <v>7.8</v>
      </c>
      <c r="J3653" s="3">
        <v>146405371</v>
      </c>
      <c r="K3653">
        <f t="shared" si="122"/>
        <v>1.3775047412552699E-3</v>
      </c>
      <c r="R3653" s="12" t="str">
        <f ca="1">IFERROR(__xludf.DUMMYFUNCTION("""COMPUTED_VALUE"""),"Deterrence ")</f>
        <v>Deterrence </v>
      </c>
      <c r="S3653" s="12">
        <f t="shared" si="121"/>
        <v>-110345633</v>
      </c>
    </row>
    <row r="3654" spans="1:19" x14ac:dyDescent="0.3">
      <c r="A3654" s="2" t="s">
        <v>131</v>
      </c>
      <c r="B3654" s="2">
        <v>103</v>
      </c>
      <c r="C3654" s="3">
        <v>5430822</v>
      </c>
      <c r="D3654" s="3" t="s">
        <v>6133</v>
      </c>
      <c r="E3654" s="2" t="s">
        <v>1187</v>
      </c>
      <c r="F3654" s="2" t="s">
        <v>10</v>
      </c>
      <c r="G3654" s="2" t="s">
        <v>11</v>
      </c>
      <c r="H3654" s="2">
        <v>57000000</v>
      </c>
      <c r="I3654" s="2">
        <v>6.4</v>
      </c>
      <c r="J3654" s="3">
        <v>147637474</v>
      </c>
      <c r="K3654">
        <f t="shared" si="122"/>
        <v>1.3775047412552699E-3</v>
      </c>
      <c r="R3654" s="12" t="str">
        <f ca="1">IFERROR(__xludf.DUMMYFUNCTION("""COMPUTED_VALUE"""),"Not Cool ")</f>
        <v>Not Cool </v>
      </c>
      <c r="S3654" s="12">
        <f t="shared" si="121"/>
        <v>21166655</v>
      </c>
    </row>
    <row r="3655" spans="1:19" x14ac:dyDescent="0.3">
      <c r="A3655" s="2" t="s">
        <v>5347</v>
      </c>
      <c r="B3655" s="2">
        <v>112</v>
      </c>
      <c r="C3655" s="3">
        <v>21554585</v>
      </c>
      <c r="D3655" s="3" t="s">
        <v>6245</v>
      </c>
      <c r="E3655" s="2" t="s">
        <v>5348</v>
      </c>
      <c r="F3655" s="2" t="s">
        <v>10</v>
      </c>
      <c r="G3655" s="2" t="s">
        <v>11</v>
      </c>
      <c r="H3655" s="2">
        <v>1000000</v>
      </c>
      <c r="I3655" s="2">
        <v>5.6</v>
      </c>
      <c r="J3655" s="3">
        <v>148085755</v>
      </c>
      <c r="K3655">
        <f t="shared" si="122"/>
        <v>1.3775047412552699E-3</v>
      </c>
      <c r="R3655" s="12" t="str">
        <f ca="1">IFERROR(__xludf.DUMMYFUNCTION("""COMPUTED_VALUE"""),"Dead Snow ")</f>
        <v>Dead Snow </v>
      </c>
      <c r="S3655" s="12">
        <f t="shared" si="121"/>
        <v>-34828525</v>
      </c>
    </row>
    <row r="3656" spans="1:19" x14ac:dyDescent="0.3">
      <c r="A3656" s="2" t="s">
        <v>181</v>
      </c>
      <c r="B3656" s="2">
        <v>109</v>
      </c>
      <c r="C3656" s="3">
        <v>49122319</v>
      </c>
      <c r="D3656" s="3" t="s">
        <v>5767</v>
      </c>
      <c r="E3656" s="2" t="s">
        <v>182</v>
      </c>
      <c r="F3656" s="2" t="s">
        <v>10</v>
      </c>
      <c r="G3656" s="2" t="s">
        <v>11</v>
      </c>
      <c r="H3656" s="2">
        <v>150000000</v>
      </c>
      <c r="I3656" s="2">
        <v>6.1</v>
      </c>
      <c r="J3656" s="3">
        <v>148170000</v>
      </c>
      <c r="K3656">
        <f t="shared" si="122"/>
        <v>1.3775047412552699E-3</v>
      </c>
      <c r="R3656" s="12" t="str">
        <f ca="1">IFERROR(__xludf.DUMMYFUNCTION("""COMPUTED_VALUE"""),"Saints and Soldiers ")</f>
        <v>Saints and Soldiers </v>
      </c>
      <c r="S3656" s="12">
        <f t="shared" si="121"/>
        <v>-3749680</v>
      </c>
    </row>
    <row r="3657" spans="1:19" x14ac:dyDescent="0.3">
      <c r="A3657" s="2" t="s">
        <v>2301</v>
      </c>
      <c r="B3657" s="2">
        <v>101</v>
      </c>
      <c r="C3657" s="3">
        <v>1508689</v>
      </c>
      <c r="D3657" s="3" t="s">
        <v>6490</v>
      </c>
      <c r="E3657" s="2" t="s">
        <v>4756</v>
      </c>
      <c r="F3657" s="2" t="s">
        <v>10</v>
      </c>
      <c r="G3657" s="2" t="s">
        <v>47</v>
      </c>
      <c r="H3657" s="2">
        <v>6000000</v>
      </c>
      <c r="I3657" s="2">
        <v>7.6</v>
      </c>
      <c r="J3657" s="3">
        <v>148213377</v>
      </c>
      <c r="K3657">
        <f t="shared" si="122"/>
        <v>1.3775047412552699E-3</v>
      </c>
      <c r="R3657" s="12" t="str">
        <f ca="1">IFERROR(__xludf.DUMMYFUNCTION("""COMPUTED_VALUE"""),"American Graffiti ")</f>
        <v>American Graffiti </v>
      </c>
      <c r="S3657" s="12">
        <f t="shared" si="121"/>
        <v>76400000</v>
      </c>
    </row>
    <row r="3658" spans="1:19" x14ac:dyDescent="0.3">
      <c r="A3658" s="2" t="s">
        <v>5341</v>
      </c>
      <c r="B3658" s="2">
        <v>97</v>
      </c>
      <c r="C3658" s="3">
        <v>548934</v>
      </c>
      <c r="D3658" s="3" t="s">
        <v>6491</v>
      </c>
      <c r="E3658" s="2" t="s">
        <v>5342</v>
      </c>
      <c r="F3658" s="2" t="s">
        <v>10</v>
      </c>
      <c r="G3658" s="2" t="s">
        <v>16</v>
      </c>
      <c r="H3658" s="2">
        <v>1000000</v>
      </c>
      <c r="I3658" s="2">
        <v>7.3</v>
      </c>
      <c r="J3658" s="3">
        <v>148313048</v>
      </c>
      <c r="K3658">
        <f t="shared" si="122"/>
        <v>1.3775047412552699E-3</v>
      </c>
      <c r="R3658" s="12" t="str">
        <f ca="1">IFERROR(__xludf.DUMMYFUNCTION("""COMPUTED_VALUE"""),"Aqua Teen Hunger Force Colon Movie Film for Theaters ")</f>
        <v>Aqua Teen Hunger Force Colon Movie Film for Theaters </v>
      </c>
      <c r="S3658" s="12">
        <f t="shared" si="121"/>
        <v>-94995937</v>
      </c>
    </row>
    <row r="3659" spans="1:19" x14ac:dyDescent="0.3">
      <c r="A3659" s="2" t="s">
        <v>2738</v>
      </c>
      <c r="B3659" s="2">
        <v>107</v>
      </c>
      <c r="C3659" s="3">
        <v>110720</v>
      </c>
      <c r="D3659" s="3" t="s">
        <v>6288</v>
      </c>
      <c r="E3659" s="2" t="s">
        <v>3624</v>
      </c>
      <c r="F3659" s="2" t="s">
        <v>10</v>
      </c>
      <c r="G3659" s="2" t="s">
        <v>11</v>
      </c>
      <c r="H3659" s="2">
        <v>14000000</v>
      </c>
      <c r="I3659" s="2">
        <v>6.6</v>
      </c>
      <c r="J3659" s="3">
        <v>148337537</v>
      </c>
      <c r="K3659">
        <f t="shared" si="122"/>
        <v>1.3775047412552699E-3</v>
      </c>
      <c r="R3659" s="12" t="str">
        <f ca="1">IFERROR(__xludf.DUMMYFUNCTION("""COMPUTED_VALUE"""),"Safety Not Guaranteed ")</f>
        <v>Safety Not Guaranteed </v>
      </c>
      <c r="S3659" s="12">
        <f t="shared" si="121"/>
        <v>-65814423</v>
      </c>
    </row>
    <row r="3660" spans="1:19" x14ac:dyDescent="0.3">
      <c r="A3660" s="2" t="s">
        <v>5667</v>
      </c>
      <c r="B3660" s="2">
        <v>81</v>
      </c>
      <c r="C3660" s="3">
        <v>241816</v>
      </c>
      <c r="D3660" s="3" t="s">
        <v>5940</v>
      </c>
      <c r="E3660" s="2" t="s">
        <v>5668</v>
      </c>
      <c r="F3660" s="2" t="s">
        <v>10</v>
      </c>
      <c r="G3660" s="2" t="s">
        <v>11</v>
      </c>
      <c r="H3660" s="3">
        <v>474544677</v>
      </c>
      <c r="I3660" s="2">
        <v>4.2</v>
      </c>
      <c r="J3660" s="3">
        <v>148383780</v>
      </c>
      <c r="K3660">
        <f t="shared" si="122"/>
        <v>1.3775047412552699E-3</v>
      </c>
      <c r="R3660" s="12" t="str">
        <f ca="1">IFERROR(__xludf.DUMMYFUNCTION("""COMPUTED_VALUE"""),"Kill List ")</f>
        <v>Kill List </v>
      </c>
      <c r="S3660" s="12">
        <f t="shared" si="121"/>
        <v>-100030</v>
      </c>
    </row>
    <row r="3661" spans="1:19" x14ac:dyDescent="0.3">
      <c r="A3661" s="2" t="s">
        <v>1425</v>
      </c>
      <c r="B3661" s="2">
        <v>98</v>
      </c>
      <c r="C3661" s="3">
        <v>20285518</v>
      </c>
      <c r="D3661" s="3" t="s">
        <v>885</v>
      </c>
      <c r="E3661" s="2" t="s">
        <v>2414</v>
      </c>
      <c r="F3661" s="2" t="s">
        <v>10</v>
      </c>
      <c r="G3661" s="2" t="s">
        <v>11</v>
      </c>
      <c r="H3661" s="2">
        <v>28000000</v>
      </c>
      <c r="I3661" s="2">
        <v>4.9000000000000004</v>
      </c>
      <c r="J3661" s="3">
        <v>148734225</v>
      </c>
      <c r="K3661">
        <f t="shared" si="122"/>
        <v>1.3775047412552699E-3</v>
      </c>
      <c r="R3661" s="12" t="str">
        <f ca="1">IFERROR(__xludf.DUMMYFUNCTION("""COMPUTED_VALUE"""),"The Innkeepers ")</f>
        <v>The Innkeepers </v>
      </c>
      <c r="S3661" s="12">
        <f t="shared" si="121"/>
        <v>-29540684</v>
      </c>
    </row>
    <row r="3662" spans="1:19" x14ac:dyDescent="0.3">
      <c r="A3662" s="2" t="s">
        <v>5286</v>
      </c>
      <c r="B3662" s="2">
        <v>83</v>
      </c>
      <c r="C3662" s="3">
        <v>2246000</v>
      </c>
      <c r="D3662" s="3" t="s">
        <v>6492</v>
      </c>
      <c r="E3662" s="2" t="s">
        <v>5287</v>
      </c>
      <c r="F3662" s="2" t="s">
        <v>10</v>
      </c>
      <c r="G3662" s="2" t="s">
        <v>11</v>
      </c>
      <c r="H3662" s="2">
        <v>1000000</v>
      </c>
      <c r="I3662" s="2">
        <v>5.7</v>
      </c>
      <c r="J3662" s="3">
        <v>148775460</v>
      </c>
      <c r="K3662">
        <f t="shared" si="122"/>
        <v>1.3775047412552699E-3</v>
      </c>
      <c r="R3662" s="12" t="str">
        <f ca="1">IFERROR(__xludf.DUMMYFUNCTION("""COMPUTED_VALUE"""),"Interview with the Assassin ")</f>
        <v>Interview with the Assassin </v>
      </c>
      <c r="S3662" s="12">
        <f t="shared" si="121"/>
        <v>-19927587</v>
      </c>
    </row>
    <row r="3663" spans="1:19" x14ac:dyDescent="0.3">
      <c r="A3663" s="2" t="s">
        <v>2327</v>
      </c>
      <c r="B3663" s="2">
        <v>86</v>
      </c>
      <c r="C3663" s="3">
        <v>102055</v>
      </c>
      <c r="D3663" s="3" t="s">
        <v>5849</v>
      </c>
      <c r="E3663" s="2" t="s">
        <v>2328</v>
      </c>
      <c r="F3663" s="2" t="s">
        <v>10</v>
      </c>
      <c r="G3663" s="2" t="s">
        <v>11</v>
      </c>
      <c r="H3663" s="2">
        <v>30000000</v>
      </c>
      <c r="I3663" s="2">
        <v>4.8</v>
      </c>
      <c r="J3663" s="3">
        <v>149234747</v>
      </c>
      <c r="K3663">
        <f t="shared" si="122"/>
        <v>1.3775047412552699E-3</v>
      </c>
      <c r="R3663" s="12" t="str">
        <f ca="1">IFERROR(__xludf.DUMMYFUNCTION("""COMPUTED_VALUE"""),"Donkey Punch ")</f>
        <v>Donkey Punch </v>
      </c>
      <c r="S3663" s="12">
        <f t="shared" si="121"/>
        <v>-59510780</v>
      </c>
    </row>
    <row r="3664" spans="1:19" x14ac:dyDescent="0.3">
      <c r="A3664" s="2" t="s">
        <v>802</v>
      </c>
      <c r="B3664" s="2">
        <v>96</v>
      </c>
      <c r="C3664" s="3">
        <v>32694788</v>
      </c>
      <c r="D3664" s="3" t="s">
        <v>885</v>
      </c>
      <c r="E3664" s="2" t="s">
        <v>2294</v>
      </c>
      <c r="F3664" s="2" t="s">
        <v>10</v>
      </c>
      <c r="G3664" s="2" t="s">
        <v>11</v>
      </c>
      <c r="H3664" s="2">
        <v>30000000</v>
      </c>
      <c r="I3664" s="2">
        <v>6.1</v>
      </c>
      <c r="J3664" s="3">
        <v>150056505</v>
      </c>
      <c r="K3664">
        <f t="shared" si="122"/>
        <v>1.3775047412552699E-3</v>
      </c>
      <c r="R3664" s="12" t="str">
        <f ca="1">IFERROR(__xludf.DUMMYFUNCTION("""COMPUTED_VALUE"""),"Hoop Dreams ")</f>
        <v>Hoop Dreams </v>
      </c>
      <c r="S3664" s="12">
        <f t="shared" si="121"/>
        <v>-26867778</v>
      </c>
    </row>
    <row r="3665" spans="1:19" x14ac:dyDescent="0.3">
      <c r="A3665" s="2" t="s">
        <v>1014</v>
      </c>
      <c r="B3665" s="2">
        <v>98</v>
      </c>
      <c r="C3665" s="3">
        <v>9430988</v>
      </c>
      <c r="D3665" s="3" t="s">
        <v>6245</v>
      </c>
      <c r="E3665" s="2" t="s">
        <v>1015</v>
      </c>
      <c r="F3665" s="2" t="s">
        <v>10</v>
      </c>
      <c r="G3665" s="2" t="s">
        <v>11</v>
      </c>
      <c r="H3665" s="2">
        <v>64000000</v>
      </c>
      <c r="I3665" s="2">
        <v>4.3</v>
      </c>
      <c r="J3665" s="3">
        <v>150117807</v>
      </c>
      <c r="K3665">
        <f t="shared" si="122"/>
        <v>1.3775047412552699E-3</v>
      </c>
      <c r="R3665" s="12" t="str">
        <f ca="1">IFERROR(__xludf.DUMMYFUNCTION("""COMPUTED_VALUE"""),"L.I.E. ")</f>
        <v>L.I.E. </v>
      </c>
      <c r="S3665" s="12">
        <f t="shared" si="121"/>
        <v>-40368161</v>
      </c>
    </row>
    <row r="3666" spans="1:19" x14ac:dyDescent="0.3">
      <c r="A3666" s="2" t="s">
        <v>728</v>
      </c>
      <c r="B3666" s="2">
        <v>103</v>
      </c>
      <c r="C3666" s="3">
        <v>21210</v>
      </c>
      <c r="D3666" s="3" t="s">
        <v>6144</v>
      </c>
      <c r="E3666" s="2" t="s">
        <v>3785</v>
      </c>
      <c r="F3666" s="2" t="s">
        <v>10</v>
      </c>
      <c r="G3666" s="2" t="s">
        <v>16</v>
      </c>
      <c r="H3666" s="2">
        <v>5000000</v>
      </c>
      <c r="I3666" s="2">
        <v>7</v>
      </c>
      <c r="J3666" s="3">
        <v>150167630</v>
      </c>
      <c r="K3666">
        <f t="shared" si="122"/>
        <v>1.3775047412552699E-3</v>
      </c>
      <c r="R3666" s="12" t="str">
        <f ca="1">IFERROR(__xludf.DUMMYFUNCTION("""COMPUTED_VALUE"""),"Half Nelson ")</f>
        <v>Half Nelson </v>
      </c>
      <c r="S3666" s="12">
        <f t="shared" si="121"/>
        <v>-109970767</v>
      </c>
    </row>
    <row r="3667" spans="1:19" x14ac:dyDescent="0.3">
      <c r="A3667" s="2" t="s">
        <v>181</v>
      </c>
      <c r="B3667" s="2">
        <v>98</v>
      </c>
      <c r="C3667" s="3">
        <v>5654777</v>
      </c>
      <c r="D3667" s="3" t="s">
        <v>6390</v>
      </c>
      <c r="E3667" s="2" t="s">
        <v>3587</v>
      </c>
      <c r="F3667" s="2" t="s">
        <v>10</v>
      </c>
      <c r="G3667" s="2" t="s">
        <v>11</v>
      </c>
      <c r="H3667" s="2">
        <v>15000000</v>
      </c>
      <c r="I3667" s="2">
        <v>6.9</v>
      </c>
      <c r="J3667" s="3">
        <v>150315155</v>
      </c>
      <c r="K3667">
        <f t="shared" si="122"/>
        <v>1.3775047412552699E-3</v>
      </c>
      <c r="R3667" s="12" t="str">
        <f ca="1">IFERROR(__xludf.DUMMYFUNCTION("""COMPUTED_VALUE"""),"Naturally Native ")</f>
        <v>Naturally Native </v>
      </c>
      <c r="S3667" s="12">
        <f t="shared" si="121"/>
        <v>-21623494</v>
      </c>
    </row>
    <row r="3668" spans="1:19" x14ac:dyDescent="0.3">
      <c r="A3668" s="2" t="s">
        <v>284</v>
      </c>
      <c r="B3668" s="2">
        <v>101</v>
      </c>
      <c r="C3668" s="3">
        <v>26871</v>
      </c>
      <c r="D3668" s="3" t="s">
        <v>885</v>
      </c>
      <c r="E3668" s="2" t="s">
        <v>3106</v>
      </c>
      <c r="F3668" s="2" t="s">
        <v>10</v>
      </c>
      <c r="G3668" s="2" t="s">
        <v>11</v>
      </c>
      <c r="H3668" s="2">
        <v>20000000</v>
      </c>
      <c r="I3668" s="2">
        <v>6.5</v>
      </c>
      <c r="J3668" s="3">
        <v>150350192</v>
      </c>
      <c r="K3668">
        <f t="shared" si="122"/>
        <v>1.3775047412552699E-3</v>
      </c>
      <c r="R3668" s="12" t="str">
        <f ca="1">IFERROR(__xludf.DUMMYFUNCTION("""COMPUTED_VALUE"""),"Hav Plenty ")</f>
        <v>Hav Plenty </v>
      </c>
      <c r="S3668" s="12">
        <f t="shared" si="121"/>
        <v>-49796866</v>
      </c>
    </row>
    <row r="3669" spans="1:19" x14ac:dyDescent="0.3">
      <c r="A3669" s="2" t="s">
        <v>3952</v>
      </c>
      <c r="B3669" s="2">
        <v>97</v>
      </c>
      <c r="C3669" s="3">
        <v>13038660</v>
      </c>
      <c r="D3669" s="3" t="s">
        <v>5894</v>
      </c>
      <c r="E3669" s="2" t="s">
        <v>3953</v>
      </c>
      <c r="F3669" s="2" t="s">
        <v>10</v>
      </c>
      <c r="G3669" s="2" t="s">
        <v>11</v>
      </c>
      <c r="H3669" s="2">
        <v>10000000</v>
      </c>
      <c r="I3669" s="2">
        <v>6.5</v>
      </c>
      <c r="J3669" s="3">
        <v>150368971</v>
      </c>
      <c r="K3669">
        <f t="shared" si="122"/>
        <v>1.3775047412552699E-3</v>
      </c>
      <c r="R3669" s="12" t="str">
        <f ca="1">IFERROR(__xludf.DUMMYFUNCTION("""COMPUTED_VALUE"""),"Top Hat ")</f>
        <v>Top Hat </v>
      </c>
      <c r="S3669" s="12">
        <f t="shared" si="121"/>
        <v>-216579</v>
      </c>
    </row>
    <row r="3670" spans="1:19" x14ac:dyDescent="0.3">
      <c r="A3670" s="2" t="s">
        <v>5017</v>
      </c>
      <c r="B3670" s="2">
        <v>95</v>
      </c>
      <c r="C3670" s="3">
        <v>8406264</v>
      </c>
      <c r="D3670" s="3" t="s">
        <v>6393</v>
      </c>
      <c r="E3670" s="2" t="s">
        <v>5018</v>
      </c>
      <c r="F3670" s="2" t="s">
        <v>10</v>
      </c>
      <c r="G3670" s="2" t="s">
        <v>11</v>
      </c>
      <c r="H3670" s="2">
        <v>2500000</v>
      </c>
      <c r="I3670" s="2">
        <v>7.1</v>
      </c>
      <c r="J3670" s="3">
        <v>150415432</v>
      </c>
      <c r="K3670">
        <f t="shared" si="122"/>
        <v>1.3775047412552699E-3</v>
      </c>
      <c r="R3670" s="12" t="str">
        <f ca="1">IFERROR(__xludf.DUMMYFUNCTION("""COMPUTED_VALUE"""),"The Blair Witch Project ")</f>
        <v>The Blair Witch Project </v>
      </c>
      <c r="S3670" s="12">
        <f t="shared" si="121"/>
        <v>-1994092</v>
      </c>
    </row>
    <row r="3671" spans="1:19" x14ac:dyDescent="0.3">
      <c r="A3671" s="2" t="s">
        <v>209</v>
      </c>
      <c r="B3671" s="2">
        <v>95</v>
      </c>
      <c r="C3671" s="3">
        <v>610968</v>
      </c>
      <c r="D3671" s="3" t="s">
        <v>5869</v>
      </c>
      <c r="E3671" s="2" t="s">
        <v>3102</v>
      </c>
      <c r="F3671" s="2" t="s">
        <v>10</v>
      </c>
      <c r="G3671" s="2" t="s">
        <v>11</v>
      </c>
      <c r="H3671" s="2">
        <v>18000000</v>
      </c>
      <c r="I3671" s="2">
        <v>5.4</v>
      </c>
      <c r="J3671" s="3">
        <v>150832203</v>
      </c>
      <c r="K3671">
        <f t="shared" si="122"/>
        <v>1.3775047412552699E-3</v>
      </c>
      <c r="R3671" s="12" t="str">
        <f ca="1">IFERROR(__xludf.DUMMYFUNCTION("""COMPUTED_VALUE"""),"Woodstock ")</f>
        <v>Woodstock </v>
      </c>
      <c r="S3671" s="12">
        <f t="shared" si="121"/>
        <v>18645546</v>
      </c>
    </row>
    <row r="3672" spans="1:19" x14ac:dyDescent="0.3">
      <c r="A3672" s="2" t="s">
        <v>3610</v>
      </c>
      <c r="B3672" s="2">
        <v>93</v>
      </c>
      <c r="C3672" s="3">
        <v>1652472</v>
      </c>
      <c r="D3672" s="3" t="s">
        <v>5910</v>
      </c>
      <c r="E3672" s="2" t="s">
        <v>3611</v>
      </c>
      <c r="F3672" s="2" t="s">
        <v>10</v>
      </c>
      <c r="G3672" s="2" t="s">
        <v>11</v>
      </c>
      <c r="H3672" s="2">
        <v>8500000</v>
      </c>
      <c r="I3672" s="2">
        <v>5.7</v>
      </c>
      <c r="J3672" s="3">
        <v>152149590</v>
      </c>
      <c r="K3672">
        <f t="shared" si="122"/>
        <v>1.3775047412552699E-3</v>
      </c>
      <c r="R3672" s="12" t="str">
        <f ca="1">IFERROR(__xludf.DUMMYFUNCTION("""COMPUTED_VALUE"""),"Mercy Streets ")</f>
        <v>Mercy Streets </v>
      </c>
      <c r="S3672" s="12">
        <f t="shared" si="121"/>
        <v>-53653878</v>
      </c>
    </row>
    <row r="3673" spans="1:19" x14ac:dyDescent="0.3">
      <c r="A3673" s="2" t="s">
        <v>4385</v>
      </c>
      <c r="B3673" s="2">
        <v>122</v>
      </c>
      <c r="C3673" s="3">
        <v>652526</v>
      </c>
      <c r="D3673" s="3" t="s">
        <v>5940</v>
      </c>
      <c r="E3673" s="2" t="s">
        <v>4386</v>
      </c>
      <c r="F3673" s="2" t="s">
        <v>10</v>
      </c>
      <c r="G3673" s="2" t="s">
        <v>16</v>
      </c>
      <c r="H3673" s="2">
        <v>7000000</v>
      </c>
      <c r="I3673" s="2">
        <v>6.2</v>
      </c>
      <c r="J3673" s="3">
        <v>153288182</v>
      </c>
      <c r="K3673">
        <f t="shared" si="122"/>
        <v>1.3775047412552699E-3</v>
      </c>
      <c r="R3673" s="12" t="str">
        <f ca="1">IFERROR(__xludf.DUMMYFUNCTION("""COMPUTED_VALUE"""),"Arnolds Park ")</f>
        <v>Arnolds Park </v>
      </c>
      <c r="S3673" s="12">
        <f t="shared" ref="S3673:S3736" si="123">C3651-H3651</f>
        <v>-199272117</v>
      </c>
    </row>
    <row r="3674" spans="1:19" x14ac:dyDescent="0.3">
      <c r="A3674" s="2" t="s">
        <v>1760</v>
      </c>
      <c r="B3674" s="2">
        <v>124</v>
      </c>
      <c r="C3674" s="3">
        <v>5400000</v>
      </c>
      <c r="D3674" s="3" t="s">
        <v>6245</v>
      </c>
      <c r="E3674" s="2" t="s">
        <v>2104</v>
      </c>
      <c r="F3674" s="2" t="s">
        <v>10</v>
      </c>
      <c r="G3674" s="2" t="s">
        <v>11</v>
      </c>
      <c r="H3674" s="2">
        <v>32000000</v>
      </c>
      <c r="I3674" s="2">
        <v>7.6</v>
      </c>
      <c r="J3674" s="3">
        <v>153620822</v>
      </c>
      <c r="K3674">
        <f t="shared" si="122"/>
        <v>1.3775047412552699E-3</v>
      </c>
      <c r="R3674" s="12" t="str">
        <f ca="1">IFERROR(__xludf.DUMMYFUNCTION("""COMPUTED_VALUE"""),"Broken Vessels ")</f>
        <v>Broken Vessels </v>
      </c>
      <c r="S3674" s="12">
        <f t="shared" si="123"/>
        <v>-144763734</v>
      </c>
    </row>
    <row r="3675" spans="1:19" x14ac:dyDescent="0.3">
      <c r="A3675" s="2" t="s">
        <v>485</v>
      </c>
      <c r="B3675" s="2">
        <v>147</v>
      </c>
      <c r="C3675" s="3">
        <v>49494</v>
      </c>
      <c r="D3675" s="3" t="s">
        <v>5820</v>
      </c>
      <c r="E3675" s="2" t="s">
        <v>1005</v>
      </c>
      <c r="F3675" s="2" t="s">
        <v>10</v>
      </c>
      <c r="G3675" s="2" t="s">
        <v>199</v>
      </c>
      <c r="H3675" s="2">
        <v>50000000</v>
      </c>
      <c r="I3675" s="2">
        <v>7.5</v>
      </c>
      <c r="J3675" s="3">
        <v>153629485</v>
      </c>
      <c r="K3675">
        <f t="shared" si="122"/>
        <v>1.3775047412552699E-3</v>
      </c>
      <c r="R3675" s="12" t="str">
        <f ca="1">IFERROR(__xludf.DUMMYFUNCTION("""COMPUTED_VALUE"""),"A Hard Day's Night ")</f>
        <v>A Hard Day's Night </v>
      </c>
      <c r="S3675" s="12">
        <f t="shared" si="123"/>
        <v>-14968338</v>
      </c>
    </row>
    <row r="3676" spans="1:19" x14ac:dyDescent="0.3">
      <c r="A3676" s="2" t="s">
        <v>416</v>
      </c>
      <c r="B3676" s="2">
        <v>76</v>
      </c>
      <c r="C3676" s="2">
        <v>50026353</v>
      </c>
      <c r="D3676" s="3" t="s">
        <v>6482</v>
      </c>
      <c r="E3676" s="2" t="s">
        <v>417</v>
      </c>
      <c r="F3676" s="2" t="s">
        <v>10</v>
      </c>
      <c r="G3676" s="2" t="s">
        <v>11</v>
      </c>
      <c r="H3676" s="2">
        <v>110000000</v>
      </c>
      <c r="I3676" s="2">
        <v>5.4</v>
      </c>
      <c r="J3676" s="3">
        <v>153665036</v>
      </c>
      <c r="K3676">
        <f t="shared" si="122"/>
        <v>1.3775047412552699E-3</v>
      </c>
      <c r="R3676" s="12" t="str">
        <f ca="1">IFERROR(__xludf.DUMMYFUNCTION("""COMPUTED_VALUE"""),"The Harvest/La Cosecha ")</f>
        <v>The Harvest/La Cosecha </v>
      </c>
      <c r="S3676" s="12">
        <f t="shared" si="123"/>
        <v>-51569178</v>
      </c>
    </row>
    <row r="3677" spans="1:19" x14ac:dyDescent="0.3">
      <c r="A3677" s="2" t="s">
        <v>67</v>
      </c>
      <c r="B3677" s="2">
        <v>126</v>
      </c>
      <c r="C3677" s="3">
        <v>18378</v>
      </c>
      <c r="D3677" s="3" t="s">
        <v>520</v>
      </c>
      <c r="E3677" s="2" t="s">
        <v>1935</v>
      </c>
      <c r="F3677" s="2" t="s">
        <v>10</v>
      </c>
      <c r="G3677" s="2" t="s">
        <v>11</v>
      </c>
      <c r="H3677" s="2">
        <v>35000000</v>
      </c>
      <c r="I3677" s="2">
        <v>7.6</v>
      </c>
      <c r="J3677" s="3">
        <v>154985087</v>
      </c>
      <c r="K3677">
        <f t="shared" si="122"/>
        <v>1.3775047412552699E-3</v>
      </c>
      <c r="R3677" s="12" t="str">
        <f ca="1">IFERROR(__xludf.DUMMYFUNCTION("""COMPUTED_VALUE"""),"Fireproof ")</f>
        <v>Fireproof </v>
      </c>
      <c r="S3677" s="12">
        <f t="shared" si="123"/>
        <v>20554585</v>
      </c>
    </row>
    <row r="3678" spans="1:19" x14ac:dyDescent="0.3">
      <c r="A3678" s="2" t="s">
        <v>2198</v>
      </c>
      <c r="B3678" s="2">
        <v>98</v>
      </c>
      <c r="C3678" s="3">
        <v>717753</v>
      </c>
      <c r="D3678" s="3" t="s">
        <v>5811</v>
      </c>
      <c r="E3678" s="2" t="s">
        <v>2199</v>
      </c>
      <c r="F3678" s="2" t="s">
        <v>10</v>
      </c>
      <c r="G3678" s="2" t="s">
        <v>11</v>
      </c>
      <c r="H3678" s="2">
        <v>35000000</v>
      </c>
      <c r="I3678" s="2">
        <v>6.9</v>
      </c>
      <c r="J3678" s="3">
        <v>155019340</v>
      </c>
      <c r="K3678">
        <f t="shared" si="122"/>
        <v>1.3775047412552699E-3</v>
      </c>
      <c r="R3678" s="12" t="str">
        <f ca="1">IFERROR(__xludf.DUMMYFUNCTION("""COMPUTED_VALUE"""),"Benji ")</f>
        <v>Benji </v>
      </c>
      <c r="S3678" s="12">
        <f t="shared" si="123"/>
        <v>-100877681</v>
      </c>
    </row>
    <row r="3679" spans="1:19" x14ac:dyDescent="0.3">
      <c r="A3679" s="2" t="s">
        <v>4789</v>
      </c>
      <c r="B3679" s="2">
        <v>99</v>
      </c>
      <c r="C3679" s="3">
        <v>22770</v>
      </c>
      <c r="D3679" s="3" t="s">
        <v>5869</v>
      </c>
      <c r="E3679" s="2" t="s">
        <v>5198</v>
      </c>
      <c r="F3679" s="2" t="s">
        <v>10</v>
      </c>
      <c r="G3679" s="2" t="s">
        <v>504</v>
      </c>
      <c r="H3679" s="2">
        <v>1500000</v>
      </c>
      <c r="I3679" s="2">
        <v>6.5</v>
      </c>
      <c r="J3679" s="3">
        <v>155111815</v>
      </c>
      <c r="K3679">
        <f t="shared" si="122"/>
        <v>1.3775047412552699E-3</v>
      </c>
      <c r="R3679" s="12" t="str">
        <f ca="1">IFERROR(__xludf.DUMMYFUNCTION("""COMPUTED_VALUE"""),"Open Water ")</f>
        <v>Open Water </v>
      </c>
      <c r="S3679" s="12">
        <f t="shared" si="123"/>
        <v>-4491311</v>
      </c>
    </row>
    <row r="3680" spans="1:19" x14ac:dyDescent="0.3">
      <c r="A3680" s="2" t="s">
        <v>1492</v>
      </c>
      <c r="B3680" s="2">
        <v>103</v>
      </c>
      <c r="C3680" s="3">
        <v>173783</v>
      </c>
      <c r="D3680" s="3" t="s">
        <v>6026</v>
      </c>
      <c r="E3680" s="2" t="s">
        <v>3014</v>
      </c>
      <c r="F3680" s="2" t="s">
        <v>10</v>
      </c>
      <c r="G3680" s="2" t="s">
        <v>16</v>
      </c>
      <c r="H3680" s="2">
        <v>20000000</v>
      </c>
      <c r="I3680" s="2">
        <v>7.1</v>
      </c>
      <c r="J3680" s="3">
        <v>155181732</v>
      </c>
      <c r="K3680">
        <f t="shared" si="122"/>
        <v>1.3775047412552699E-3</v>
      </c>
      <c r="R3680" s="12" t="str">
        <f ca="1">IFERROR(__xludf.DUMMYFUNCTION("""COMPUTED_VALUE"""),"Kingdom of the Spiders ")</f>
        <v>Kingdom of the Spiders </v>
      </c>
      <c r="S3680" s="12">
        <f t="shared" si="123"/>
        <v>-451066</v>
      </c>
    </row>
    <row r="3681" spans="1:19" x14ac:dyDescent="0.3">
      <c r="A3681" s="2" t="s">
        <v>613</v>
      </c>
      <c r="B3681" s="2">
        <v>101</v>
      </c>
      <c r="C3681" s="3">
        <v>399879</v>
      </c>
      <c r="D3681" s="3" t="s">
        <v>5950</v>
      </c>
      <c r="E3681" s="2" t="s">
        <v>2870</v>
      </c>
      <c r="F3681" s="2" t="s">
        <v>10</v>
      </c>
      <c r="G3681" s="2" t="s">
        <v>11</v>
      </c>
      <c r="H3681" s="2">
        <v>18000000</v>
      </c>
      <c r="I3681" s="2">
        <v>5.8</v>
      </c>
      <c r="J3681" s="3">
        <v>155370362</v>
      </c>
      <c r="K3681">
        <f t="shared" si="122"/>
        <v>1.3775047412552699E-3</v>
      </c>
      <c r="R3681" s="12" t="str">
        <f ca="1">IFERROR(__xludf.DUMMYFUNCTION("""COMPUTED_VALUE"""),"The Station Agent ")</f>
        <v>The Station Agent </v>
      </c>
      <c r="S3681" s="12">
        <f t="shared" si="123"/>
        <v>-13889280</v>
      </c>
    </row>
    <row r="3682" spans="1:19" x14ac:dyDescent="0.3">
      <c r="A3682" s="2" t="s">
        <v>1793</v>
      </c>
      <c r="B3682" s="2">
        <v>105</v>
      </c>
      <c r="C3682" s="3">
        <v>40687294</v>
      </c>
      <c r="D3682" s="3" t="s">
        <v>520</v>
      </c>
      <c r="E3682" s="2" t="s">
        <v>4787</v>
      </c>
      <c r="F3682" s="2" t="s">
        <v>723</v>
      </c>
      <c r="G3682" s="2" t="s">
        <v>932</v>
      </c>
      <c r="H3682" s="2">
        <v>3400000</v>
      </c>
      <c r="I3682" s="2">
        <v>7.5</v>
      </c>
      <c r="J3682" s="3">
        <v>156645693</v>
      </c>
      <c r="K3682">
        <f t="shared" si="122"/>
        <v>1.3775047412552699E-3</v>
      </c>
      <c r="R3682" s="12" t="str">
        <f ca="1">IFERROR(__xludf.DUMMYFUNCTION("""COMPUTED_VALUE"""),"To Save a Life ")</f>
        <v>To Save a Life </v>
      </c>
      <c r="S3682" s="12">
        <f t="shared" si="123"/>
        <v>-474302861</v>
      </c>
    </row>
    <row r="3683" spans="1:19" x14ac:dyDescent="0.3">
      <c r="A3683" s="2" t="s">
        <v>1701</v>
      </c>
      <c r="B3683" s="2">
        <v>109</v>
      </c>
      <c r="C3683" s="3">
        <v>1172769</v>
      </c>
      <c r="D3683" s="3" t="s">
        <v>6199</v>
      </c>
      <c r="E3683" s="2" t="s">
        <v>1702</v>
      </c>
      <c r="F3683" s="2" t="s">
        <v>10</v>
      </c>
      <c r="G3683" s="2" t="s">
        <v>11</v>
      </c>
      <c r="H3683" s="2">
        <v>40000000</v>
      </c>
      <c r="I3683" s="2">
        <v>6</v>
      </c>
      <c r="J3683" s="3">
        <v>157299717</v>
      </c>
      <c r="K3683">
        <f t="shared" si="122"/>
        <v>1.3775047412552699E-3</v>
      </c>
      <c r="R3683" s="12" t="str">
        <f ca="1">IFERROR(__xludf.DUMMYFUNCTION("""COMPUTED_VALUE"""),"Beyond the Mat ")</f>
        <v>Beyond the Mat </v>
      </c>
      <c r="S3683" s="12">
        <f t="shared" si="123"/>
        <v>-7714482</v>
      </c>
    </row>
    <row r="3684" spans="1:19" x14ac:dyDescent="0.3">
      <c r="A3684" s="2" t="s">
        <v>2440</v>
      </c>
      <c r="B3684" s="2">
        <v>118</v>
      </c>
      <c r="C3684" s="3">
        <v>768045</v>
      </c>
      <c r="D3684" s="3" t="s">
        <v>6493</v>
      </c>
      <c r="E3684" s="2" t="s">
        <v>2441</v>
      </c>
      <c r="F3684" s="2" t="s">
        <v>10</v>
      </c>
      <c r="G3684" s="2" t="s">
        <v>11</v>
      </c>
      <c r="H3684" s="2">
        <v>25000000</v>
      </c>
      <c r="I3684" s="2">
        <v>5.7</v>
      </c>
      <c r="J3684" s="3">
        <v>158115031</v>
      </c>
      <c r="K3684">
        <f t="shared" si="122"/>
        <v>1.3775047412552699E-3</v>
      </c>
      <c r="R3684" s="12" t="str">
        <f ca="1">IFERROR(__xludf.DUMMYFUNCTION("""COMPUTED_VALUE"""),"The Singles Ward ")</f>
        <v>The Singles Ward </v>
      </c>
      <c r="S3684" s="12">
        <f t="shared" si="123"/>
        <v>1246000</v>
      </c>
    </row>
    <row r="3685" spans="1:19" x14ac:dyDescent="0.3">
      <c r="A3685" s="2" t="s">
        <v>1288</v>
      </c>
      <c r="B3685" s="2">
        <v>89</v>
      </c>
      <c r="C3685" s="3">
        <v>8596914</v>
      </c>
      <c r="D3685" s="3" t="s">
        <v>5894</v>
      </c>
      <c r="E3685" s="2" t="s">
        <v>2954</v>
      </c>
      <c r="F3685" s="2" t="s">
        <v>10</v>
      </c>
      <c r="G3685" s="2" t="s">
        <v>11</v>
      </c>
      <c r="H3685" s="2">
        <v>40000000</v>
      </c>
      <c r="I3685" s="2">
        <v>4.9000000000000004</v>
      </c>
      <c r="J3685" s="3">
        <v>158348400</v>
      </c>
      <c r="K3685">
        <f t="shared" si="122"/>
        <v>1.3775047412552699E-3</v>
      </c>
      <c r="R3685" s="12" t="str">
        <f ca="1">IFERROR(__xludf.DUMMYFUNCTION("""COMPUTED_VALUE"""),"Osama ")</f>
        <v>Osama </v>
      </c>
      <c r="S3685" s="12">
        <f t="shared" si="123"/>
        <v>-29897945</v>
      </c>
    </row>
    <row r="3686" spans="1:19" x14ac:dyDescent="0.3">
      <c r="A3686" s="2" t="s">
        <v>949</v>
      </c>
      <c r="B3686" s="2">
        <v>136</v>
      </c>
      <c r="C3686" s="3">
        <v>8855646</v>
      </c>
      <c r="D3686" s="3" t="s">
        <v>5898</v>
      </c>
      <c r="E3686" s="2" t="s">
        <v>950</v>
      </c>
      <c r="F3686" s="2" t="s">
        <v>10</v>
      </c>
      <c r="G3686" s="2" t="s">
        <v>11</v>
      </c>
      <c r="H3686" s="2">
        <v>68000000</v>
      </c>
      <c r="I3686" s="2">
        <v>5.5</v>
      </c>
      <c r="J3686" s="3">
        <v>159578352</v>
      </c>
      <c r="K3686">
        <f t="shared" si="122"/>
        <v>1.3775047412552699E-3</v>
      </c>
      <c r="R3686" s="12" t="str">
        <f ca="1">IFERROR(__xludf.DUMMYFUNCTION("""COMPUTED_VALUE"""),"Sholem Aleichem: Laughing in the Darkness ")</f>
        <v>Sholem Aleichem: Laughing in the Darkness </v>
      </c>
      <c r="S3686" s="12">
        <f t="shared" si="123"/>
        <v>2694788</v>
      </c>
    </row>
    <row r="3687" spans="1:19" x14ac:dyDescent="0.3">
      <c r="A3687" s="2" t="s">
        <v>2308</v>
      </c>
      <c r="B3687" s="2">
        <v>98</v>
      </c>
      <c r="C3687" s="3">
        <v>74098862</v>
      </c>
      <c r="D3687" s="3" t="s">
        <v>5849</v>
      </c>
      <c r="E3687" s="2" t="s">
        <v>2693</v>
      </c>
      <c r="F3687" s="2" t="s">
        <v>10</v>
      </c>
      <c r="G3687" s="2" t="s">
        <v>11</v>
      </c>
      <c r="H3687" s="2">
        <v>25000000</v>
      </c>
      <c r="I3687" s="2">
        <v>5.8</v>
      </c>
      <c r="J3687" s="3">
        <v>159600000</v>
      </c>
      <c r="K3687">
        <f t="shared" si="122"/>
        <v>1.3775047412552699E-3</v>
      </c>
      <c r="R3687" s="12" t="str">
        <f ca="1">IFERROR(__xludf.DUMMYFUNCTION("""COMPUTED_VALUE"""),"Groove ")</f>
        <v>Groove </v>
      </c>
      <c r="S3687" s="12">
        <f t="shared" si="123"/>
        <v>-54569012</v>
      </c>
    </row>
    <row r="3688" spans="1:19" x14ac:dyDescent="0.3">
      <c r="A3688" s="2" t="s">
        <v>4875</v>
      </c>
      <c r="B3688" s="2">
        <v>101</v>
      </c>
      <c r="C3688" s="3">
        <v>66637</v>
      </c>
      <c r="D3688" s="3" t="s">
        <v>6479</v>
      </c>
      <c r="E3688" s="2" t="s">
        <v>4876</v>
      </c>
      <c r="F3688" s="2" t="s">
        <v>10</v>
      </c>
      <c r="G3688" s="2" t="s">
        <v>11</v>
      </c>
      <c r="H3688" s="2">
        <v>3500000</v>
      </c>
      <c r="I3688" s="2">
        <v>6.5</v>
      </c>
      <c r="J3688" s="3">
        <v>160201106</v>
      </c>
      <c r="K3688">
        <f t="shared" si="122"/>
        <v>1.3775047412552699E-3</v>
      </c>
      <c r="R3688" s="12" t="str">
        <f ca="1">IFERROR(__xludf.DUMMYFUNCTION("""COMPUTED_VALUE"""),"The R.M. ")</f>
        <v>The R.M. </v>
      </c>
      <c r="S3688" s="12">
        <f t="shared" si="123"/>
        <v>-4978790</v>
      </c>
    </row>
    <row r="3689" spans="1:19" x14ac:dyDescent="0.3">
      <c r="A3689" s="2" t="s">
        <v>584</v>
      </c>
      <c r="B3689" s="2">
        <v>106</v>
      </c>
      <c r="C3689" s="3">
        <v>1243961</v>
      </c>
      <c r="D3689" s="3" t="s">
        <v>6320</v>
      </c>
      <c r="E3689" s="2" t="s">
        <v>585</v>
      </c>
      <c r="F3689" s="2" t="s">
        <v>10</v>
      </c>
      <c r="G3689" s="2" t="s">
        <v>11</v>
      </c>
      <c r="H3689" s="2">
        <v>90000000</v>
      </c>
      <c r="I3689" s="2">
        <v>5.9</v>
      </c>
      <c r="J3689" s="3">
        <v>160762022</v>
      </c>
      <c r="K3689">
        <f t="shared" si="122"/>
        <v>1.3775047412552699E-3</v>
      </c>
      <c r="R3689" s="12" t="str">
        <f ca="1">IFERROR(__xludf.DUMMYFUNCTION("""COMPUTED_VALUE"""),"Twin Falls Idaho ")</f>
        <v>Twin Falls Idaho </v>
      </c>
      <c r="S3689" s="12">
        <f t="shared" si="123"/>
        <v>-9345223</v>
      </c>
    </row>
    <row r="3690" spans="1:19" x14ac:dyDescent="0.3">
      <c r="A3690" s="2" t="s">
        <v>4179</v>
      </c>
      <c r="B3690" s="2">
        <v>120</v>
      </c>
      <c r="C3690" s="3">
        <v>19158074</v>
      </c>
      <c r="D3690" s="3" t="s">
        <v>5849</v>
      </c>
      <c r="E3690" s="2" t="s">
        <v>4909</v>
      </c>
      <c r="F3690" s="2" t="s">
        <v>10</v>
      </c>
      <c r="G3690" s="2" t="s">
        <v>199</v>
      </c>
      <c r="H3690" s="2">
        <v>4000000</v>
      </c>
      <c r="I3690" s="2">
        <v>8</v>
      </c>
      <c r="J3690" s="3">
        <v>161029270</v>
      </c>
      <c r="K3690">
        <f t="shared" si="122"/>
        <v>1.3775047412552699E-3</v>
      </c>
      <c r="R3690" s="12" t="str">
        <f ca="1">IFERROR(__xludf.DUMMYFUNCTION("""COMPUTED_VALUE"""),"Mean Creek ")</f>
        <v>Mean Creek </v>
      </c>
      <c r="S3690" s="12">
        <f t="shared" si="123"/>
        <v>-19973129</v>
      </c>
    </row>
    <row r="3691" spans="1:19" x14ac:dyDescent="0.3">
      <c r="A3691" s="2" t="s">
        <v>167</v>
      </c>
      <c r="B3691" s="2">
        <v>89</v>
      </c>
      <c r="C3691" s="3">
        <v>20218</v>
      </c>
      <c r="D3691" s="3" t="s">
        <v>6127</v>
      </c>
      <c r="E3691" s="2" t="s">
        <v>731</v>
      </c>
      <c r="F3691" s="2" t="s">
        <v>10</v>
      </c>
      <c r="G3691" s="2" t="s">
        <v>11</v>
      </c>
      <c r="H3691" s="2">
        <v>80000000</v>
      </c>
      <c r="I3691" s="2">
        <v>6.3</v>
      </c>
      <c r="J3691" s="3">
        <v>161087183</v>
      </c>
      <c r="K3691">
        <f t="shared" si="122"/>
        <v>1.3775047412552699E-3</v>
      </c>
      <c r="R3691" s="12" t="str">
        <f ca="1">IFERROR(__xludf.DUMMYFUNCTION("""COMPUTED_VALUE"""),"Hurricane Streets ")</f>
        <v>Hurricane Streets </v>
      </c>
      <c r="S3691" s="12">
        <f t="shared" si="123"/>
        <v>3038660</v>
      </c>
    </row>
    <row r="3692" spans="1:19" x14ac:dyDescent="0.3">
      <c r="A3692" s="2" t="s">
        <v>613</v>
      </c>
      <c r="B3692" s="2">
        <v>97</v>
      </c>
      <c r="C3692" s="3">
        <v>352786</v>
      </c>
      <c r="D3692" s="3" t="s">
        <v>520</v>
      </c>
      <c r="E3692" s="2" t="s">
        <v>1181</v>
      </c>
      <c r="F3692" s="2" t="s">
        <v>10</v>
      </c>
      <c r="G3692" s="2" t="s">
        <v>199</v>
      </c>
      <c r="H3692" s="2">
        <v>60000000</v>
      </c>
      <c r="I3692" s="2">
        <v>5.9</v>
      </c>
      <c r="J3692" s="3">
        <v>161317423</v>
      </c>
      <c r="K3692">
        <f t="shared" si="122"/>
        <v>1.3775047412552699E-3</v>
      </c>
      <c r="R3692" s="12" t="str">
        <f ca="1">IFERROR(__xludf.DUMMYFUNCTION("""COMPUTED_VALUE"""),"Never Again ")</f>
        <v>Never Again </v>
      </c>
      <c r="S3692" s="12">
        <f t="shared" si="123"/>
        <v>5906264</v>
      </c>
    </row>
    <row r="3693" spans="1:19" x14ac:dyDescent="0.3">
      <c r="A3693" s="2" t="s">
        <v>1555</v>
      </c>
      <c r="B3693" s="2">
        <v>147</v>
      </c>
      <c r="C3693" s="3">
        <v>25528495</v>
      </c>
      <c r="D3693" s="3" t="s">
        <v>5910</v>
      </c>
      <c r="E3693" s="2" t="s">
        <v>3541</v>
      </c>
      <c r="F3693" s="2" t="s">
        <v>10</v>
      </c>
      <c r="G3693" s="2" t="s">
        <v>504</v>
      </c>
      <c r="H3693" s="2">
        <v>15000000</v>
      </c>
      <c r="I3693" s="2">
        <v>8</v>
      </c>
      <c r="J3693" s="3">
        <v>161487252</v>
      </c>
      <c r="K3693">
        <f t="shared" si="122"/>
        <v>1.3775047412552699E-3</v>
      </c>
      <c r="R3693" s="12" t="str">
        <f ca="1">IFERROR(__xludf.DUMMYFUNCTION("""COMPUTED_VALUE"""),"Civil Brand ")</f>
        <v>Civil Brand </v>
      </c>
      <c r="S3693" s="12">
        <f t="shared" si="123"/>
        <v>-17389032</v>
      </c>
    </row>
    <row r="3694" spans="1:19" x14ac:dyDescent="0.3">
      <c r="A3694" s="2" t="s">
        <v>325</v>
      </c>
      <c r="B3694" s="2">
        <v>82</v>
      </c>
      <c r="C3694" s="3">
        <v>1206135</v>
      </c>
      <c r="D3694" s="3" t="s">
        <v>1703</v>
      </c>
      <c r="E3694" s="2" t="s">
        <v>326</v>
      </c>
      <c r="F3694" s="2" t="s">
        <v>10</v>
      </c>
      <c r="G3694" s="2" t="s">
        <v>11</v>
      </c>
      <c r="H3694" s="2">
        <v>127500000</v>
      </c>
      <c r="I3694" s="2">
        <v>6.5</v>
      </c>
      <c r="J3694" s="3">
        <v>162001186</v>
      </c>
      <c r="K3694">
        <f t="shared" si="122"/>
        <v>1.3775047412552699E-3</v>
      </c>
      <c r="R3694" s="12" t="str">
        <f ca="1">IFERROR(__xludf.DUMMYFUNCTION("""COMPUTED_VALUE"""),"Lonesome Jim ")</f>
        <v>Lonesome Jim </v>
      </c>
      <c r="S3694" s="12">
        <f t="shared" si="123"/>
        <v>-6847528</v>
      </c>
    </row>
    <row r="3695" spans="1:19" x14ac:dyDescent="0.3">
      <c r="A3695" s="2" t="s">
        <v>2762</v>
      </c>
      <c r="B3695" s="2">
        <v>106</v>
      </c>
      <c r="C3695" s="3">
        <v>1666262</v>
      </c>
      <c r="D3695" s="3" t="s">
        <v>6105</v>
      </c>
      <c r="E3695" s="2" t="s">
        <v>4989</v>
      </c>
      <c r="F3695" s="2" t="s">
        <v>10</v>
      </c>
      <c r="G3695" s="2" t="s">
        <v>11</v>
      </c>
      <c r="H3695" s="2">
        <v>2800000</v>
      </c>
      <c r="I3695" s="2">
        <v>8</v>
      </c>
      <c r="J3695" s="3">
        <v>162495848</v>
      </c>
      <c r="K3695">
        <f t="shared" si="122"/>
        <v>1.3775047412552699E-3</v>
      </c>
      <c r="R3695" s="12" t="str">
        <f ca="1">IFERROR(__xludf.DUMMYFUNCTION("""COMPUTED_VALUE"""),"Deceptive Practice: The Mysteries and Mentors of Ricky Jay ")</f>
        <v>Deceptive Practice: The Mysteries and Mentors of Ricky Jay </v>
      </c>
      <c r="S3695" s="12">
        <f t="shared" si="123"/>
        <v>-6347474</v>
      </c>
    </row>
    <row r="3696" spans="1:19" x14ac:dyDescent="0.3">
      <c r="A3696" s="2" t="s">
        <v>332</v>
      </c>
      <c r="B3696" s="2">
        <v>98</v>
      </c>
      <c r="C3696" s="3">
        <v>4394936</v>
      </c>
      <c r="D3696" s="3" t="s">
        <v>885</v>
      </c>
      <c r="E3696" s="2" t="s">
        <v>1217</v>
      </c>
      <c r="F3696" s="2" t="s">
        <v>10</v>
      </c>
      <c r="G3696" s="2" t="s">
        <v>11</v>
      </c>
      <c r="H3696" s="2">
        <v>55000000</v>
      </c>
      <c r="I3696" s="2">
        <v>6.2</v>
      </c>
      <c r="J3696" s="3">
        <v>162586036</v>
      </c>
      <c r="K3696">
        <f t="shared" si="122"/>
        <v>1.3775047412552699E-3</v>
      </c>
      <c r="R3696" s="12" t="str">
        <f ca="1">IFERROR(__xludf.DUMMYFUNCTION("""COMPUTED_VALUE"""),"Seven Samurai ")</f>
        <v>Seven Samurai </v>
      </c>
      <c r="S3696" s="12">
        <f t="shared" si="123"/>
        <v>-26600000</v>
      </c>
    </row>
    <row r="3697" spans="1:19" x14ac:dyDescent="0.3">
      <c r="A3697" s="2" t="s">
        <v>3495</v>
      </c>
      <c r="B3697" s="2">
        <v>100</v>
      </c>
      <c r="C3697" s="3">
        <v>7659747</v>
      </c>
      <c r="D3697" s="3" t="s">
        <v>6494</v>
      </c>
      <c r="E3697" s="2" t="s">
        <v>3740</v>
      </c>
      <c r="F3697" s="2" t="s">
        <v>10</v>
      </c>
      <c r="G3697" s="2" t="s">
        <v>11</v>
      </c>
      <c r="H3697" s="2">
        <v>12500000</v>
      </c>
      <c r="I3697" s="2">
        <v>7.8</v>
      </c>
      <c r="J3697" s="3">
        <v>162792677</v>
      </c>
      <c r="K3697">
        <f t="shared" si="122"/>
        <v>1.3775047412552699E-3</v>
      </c>
      <c r="R3697" s="12" t="str">
        <f ca="1">IFERROR(__xludf.DUMMYFUNCTION("""COMPUTED_VALUE"""),"The Other Dream Team ")</f>
        <v>The Other Dream Team </v>
      </c>
      <c r="S3697" s="12">
        <f t="shared" si="123"/>
        <v>-49950506</v>
      </c>
    </row>
    <row r="3698" spans="1:19" x14ac:dyDescent="0.3">
      <c r="A3698" s="2" t="s">
        <v>4418</v>
      </c>
      <c r="B3698" s="2">
        <v>108</v>
      </c>
      <c r="C3698" s="3">
        <v>252652</v>
      </c>
      <c r="D3698" s="3" t="s">
        <v>6495</v>
      </c>
      <c r="E3698" s="2" t="s">
        <v>4419</v>
      </c>
      <c r="F3698" s="2" t="s">
        <v>10</v>
      </c>
      <c r="G3698" s="2" t="s">
        <v>11</v>
      </c>
      <c r="H3698" s="2">
        <v>7000000</v>
      </c>
      <c r="I3698" s="2">
        <v>5.9</v>
      </c>
      <c r="J3698" s="3">
        <v>162804648</v>
      </c>
      <c r="K3698">
        <f t="shared" si="122"/>
        <v>1.3775047412552699E-3</v>
      </c>
      <c r="R3698" s="12" t="str">
        <f ca="1">IFERROR(__xludf.DUMMYFUNCTION("""COMPUTED_VALUE"""),"Finishing the Game: The Search for a New Bruce Lee ")</f>
        <v>Finishing the Game: The Search for a New Bruce Lee </v>
      </c>
      <c r="S3698" s="12">
        <f t="shared" si="123"/>
        <v>-59973647</v>
      </c>
    </row>
    <row r="3699" spans="1:19" x14ac:dyDescent="0.3">
      <c r="A3699" s="2" t="s">
        <v>14</v>
      </c>
      <c r="B3699" s="2">
        <v>117</v>
      </c>
      <c r="C3699" s="3">
        <v>713413</v>
      </c>
      <c r="D3699" s="3" t="s">
        <v>6245</v>
      </c>
      <c r="E3699" s="2" t="s">
        <v>686</v>
      </c>
      <c r="F3699" s="2" t="s">
        <v>10</v>
      </c>
      <c r="G3699" s="2" t="s">
        <v>11</v>
      </c>
      <c r="H3699" s="2">
        <v>80000000</v>
      </c>
      <c r="I3699" s="2">
        <v>7.7</v>
      </c>
      <c r="J3699" s="3">
        <v>162831698</v>
      </c>
      <c r="K3699">
        <f t="shared" si="122"/>
        <v>1.3775047412552699E-3</v>
      </c>
      <c r="R3699" s="12" t="str">
        <f ca="1">IFERROR(__xludf.DUMMYFUNCTION("""COMPUTED_VALUE"""),"Rubber ")</f>
        <v>Rubber </v>
      </c>
      <c r="S3699" s="12">
        <f t="shared" si="123"/>
        <v>-34981622</v>
      </c>
    </row>
    <row r="3700" spans="1:19" x14ac:dyDescent="0.3">
      <c r="A3700" s="2" t="s">
        <v>4054</v>
      </c>
      <c r="B3700" s="2">
        <v>101</v>
      </c>
      <c r="C3700" s="3">
        <v>121972</v>
      </c>
      <c r="D3700" s="3" t="s">
        <v>1703</v>
      </c>
      <c r="E3700" s="2" t="s">
        <v>4055</v>
      </c>
      <c r="F3700" s="2" t="s">
        <v>10</v>
      </c>
      <c r="G3700" s="2" t="s">
        <v>11</v>
      </c>
      <c r="H3700" s="2">
        <v>10000000</v>
      </c>
      <c r="I3700" s="2">
        <v>6.7</v>
      </c>
      <c r="J3700" s="3">
        <v>163192114</v>
      </c>
      <c r="K3700">
        <f t="shared" si="122"/>
        <v>1.3775047412552699E-3</v>
      </c>
      <c r="R3700" s="12" t="str">
        <f ca="1">IFERROR(__xludf.DUMMYFUNCTION("""COMPUTED_VALUE"""),"Kiss the Bride ")</f>
        <v>Kiss the Bride </v>
      </c>
      <c r="S3700" s="12">
        <f t="shared" si="123"/>
        <v>-34282247</v>
      </c>
    </row>
    <row r="3701" spans="1:19" x14ac:dyDescent="0.3">
      <c r="A3701" s="2" t="s">
        <v>630</v>
      </c>
      <c r="B3701" s="2">
        <v>88</v>
      </c>
      <c r="C3701" s="3">
        <v>60008303</v>
      </c>
      <c r="D3701" s="3" t="s">
        <v>5869</v>
      </c>
      <c r="E3701" s="2" t="s">
        <v>5444</v>
      </c>
      <c r="F3701" s="2" t="s">
        <v>10</v>
      </c>
      <c r="G3701" s="2" t="s">
        <v>11</v>
      </c>
      <c r="H3701" s="2">
        <v>750000</v>
      </c>
      <c r="I3701" s="2">
        <v>6.6</v>
      </c>
      <c r="J3701" s="3">
        <v>163214286</v>
      </c>
      <c r="K3701">
        <f t="shared" si="122"/>
        <v>1.3775047412552699E-3</v>
      </c>
      <c r="R3701" s="12" t="str">
        <f ca="1">IFERROR(__xludf.DUMMYFUNCTION("""COMPUTED_VALUE"""),"The Slaughter Rule ")</f>
        <v>The Slaughter Rule </v>
      </c>
      <c r="S3701" s="12">
        <f t="shared" si="123"/>
        <v>-1477230</v>
      </c>
    </row>
    <row r="3702" spans="1:19" x14ac:dyDescent="0.3">
      <c r="A3702" s="2" t="s">
        <v>4829</v>
      </c>
      <c r="B3702" s="2">
        <v>98</v>
      </c>
      <c r="C3702" s="3">
        <v>16323969</v>
      </c>
      <c r="D3702" s="3" t="s">
        <v>6245</v>
      </c>
      <c r="E3702" s="2" t="s">
        <v>4830</v>
      </c>
      <c r="F3702" s="2" t="s">
        <v>10</v>
      </c>
      <c r="G3702" s="2" t="s">
        <v>11</v>
      </c>
      <c r="H3702" s="2">
        <v>650000</v>
      </c>
      <c r="I3702" s="2">
        <v>6.5</v>
      </c>
      <c r="J3702" s="3">
        <v>163479795</v>
      </c>
      <c r="K3702">
        <f t="shared" si="122"/>
        <v>1.3775047412552699E-3</v>
      </c>
      <c r="R3702" s="12" t="str">
        <f ca="1">IFERROR(__xludf.DUMMYFUNCTION("""COMPUTED_VALUE"""),"Monsters ")</f>
        <v>Monsters </v>
      </c>
      <c r="S3702" s="12">
        <f t="shared" si="123"/>
        <v>-19826217</v>
      </c>
    </row>
    <row r="3703" spans="1:19" x14ac:dyDescent="0.3">
      <c r="A3703" s="2" t="s">
        <v>2738</v>
      </c>
      <c r="B3703" s="2">
        <v>97</v>
      </c>
      <c r="C3703" s="3">
        <v>9437933</v>
      </c>
      <c r="D3703" s="3" t="s">
        <v>6429</v>
      </c>
      <c r="E3703" s="2" t="s">
        <v>2739</v>
      </c>
      <c r="F3703" s="2" t="s">
        <v>10</v>
      </c>
      <c r="G3703" s="2" t="s">
        <v>11</v>
      </c>
      <c r="H3703" s="2">
        <v>23000000</v>
      </c>
      <c r="I3703" s="2">
        <v>6.1</v>
      </c>
      <c r="J3703" s="3">
        <v>163947053</v>
      </c>
      <c r="K3703">
        <f t="shared" si="122"/>
        <v>1.3775047412552699E-3</v>
      </c>
      <c r="R3703" s="12" t="str">
        <f ca="1">IFERROR(__xludf.DUMMYFUNCTION("""COMPUTED_VALUE"""),"The Living Wake ")</f>
        <v>The Living Wake </v>
      </c>
      <c r="S3703" s="12">
        <f t="shared" si="123"/>
        <v>-17600121</v>
      </c>
    </row>
    <row r="3704" spans="1:19" x14ac:dyDescent="0.3">
      <c r="A3704" s="2" t="s">
        <v>1377</v>
      </c>
      <c r="B3704" s="2">
        <v>98</v>
      </c>
      <c r="C3704" s="3">
        <v>5100000</v>
      </c>
      <c r="D3704" s="3" t="s">
        <v>6163</v>
      </c>
      <c r="E3704" s="2" t="s">
        <v>2030</v>
      </c>
      <c r="F3704" s="2" t="s">
        <v>10</v>
      </c>
      <c r="G3704" s="2" t="s">
        <v>16</v>
      </c>
      <c r="H3704" s="2">
        <v>31000000</v>
      </c>
      <c r="I3704" s="2">
        <v>6.3</v>
      </c>
      <c r="J3704" s="3">
        <v>164435221</v>
      </c>
      <c r="K3704">
        <f t="shared" si="122"/>
        <v>1.3775047412552699E-3</v>
      </c>
      <c r="R3704" s="12" t="str">
        <f ca="1">IFERROR(__xludf.DUMMYFUNCTION("""COMPUTED_VALUE"""),"Detention of the Dead ")</f>
        <v>Detention of the Dead </v>
      </c>
      <c r="S3704" s="12">
        <f t="shared" si="123"/>
        <v>37287294</v>
      </c>
    </row>
    <row r="3705" spans="1:19" x14ac:dyDescent="0.3">
      <c r="A3705" s="2" t="s">
        <v>1185</v>
      </c>
      <c r="B3705" s="2">
        <v>116</v>
      </c>
      <c r="C3705" s="3">
        <v>58214</v>
      </c>
      <c r="D3705" s="3" t="s">
        <v>6470</v>
      </c>
      <c r="E3705" s="2" t="s">
        <v>1186</v>
      </c>
      <c r="F3705" s="2" t="s">
        <v>10</v>
      </c>
      <c r="G3705" s="2" t="s">
        <v>11</v>
      </c>
      <c r="H3705" s="2">
        <v>70000000</v>
      </c>
      <c r="I3705" s="2">
        <v>5.6</v>
      </c>
      <c r="J3705" s="3">
        <v>165230261</v>
      </c>
      <c r="K3705">
        <f t="shared" si="122"/>
        <v>1.3775047412552699E-3</v>
      </c>
      <c r="R3705" s="12" t="str">
        <f ca="1">IFERROR(__xludf.DUMMYFUNCTION("""COMPUTED_VALUE"""),"Born to Fly: Elizabeth Streb vs. Gravity ")</f>
        <v>Born to Fly: Elizabeth Streb vs. Gravity </v>
      </c>
      <c r="S3705" s="12">
        <f t="shared" si="123"/>
        <v>-38827231</v>
      </c>
    </row>
    <row r="3706" spans="1:19" x14ac:dyDescent="0.3">
      <c r="A3706" s="2" t="s">
        <v>4455</v>
      </c>
      <c r="B3706" s="2">
        <v>100</v>
      </c>
      <c r="C3706" s="3">
        <v>5383834</v>
      </c>
      <c r="D3706" s="3" t="s">
        <v>6482</v>
      </c>
      <c r="E3706" s="2" t="s">
        <v>4456</v>
      </c>
      <c r="F3706" s="2" t="s">
        <v>10</v>
      </c>
      <c r="G3706" s="2" t="s">
        <v>11</v>
      </c>
      <c r="H3706" s="2">
        <v>6500000</v>
      </c>
      <c r="I3706" s="2">
        <v>6.6</v>
      </c>
      <c r="J3706" s="3">
        <v>165500000</v>
      </c>
      <c r="K3706">
        <f t="shared" si="122"/>
        <v>1.3775047412552699E-3</v>
      </c>
      <c r="R3706" s="12" t="str">
        <f ca="1">IFERROR(__xludf.DUMMYFUNCTION("""COMPUTED_VALUE"""),"Straight Out of Brooklyn ")</f>
        <v>Straight Out of Brooklyn </v>
      </c>
      <c r="S3706" s="12">
        <f t="shared" si="123"/>
        <v>-24231955</v>
      </c>
    </row>
    <row r="3707" spans="1:19" x14ac:dyDescent="0.3">
      <c r="A3707" s="2" t="s">
        <v>1542</v>
      </c>
      <c r="B3707" s="2">
        <v>110</v>
      </c>
      <c r="C3707" s="3">
        <v>16066</v>
      </c>
      <c r="D3707" s="3" t="s">
        <v>5802</v>
      </c>
      <c r="E3707" s="2" t="s">
        <v>3350</v>
      </c>
      <c r="F3707" s="2" t="s">
        <v>10</v>
      </c>
      <c r="G3707" s="2" t="s">
        <v>16</v>
      </c>
      <c r="H3707" s="2">
        <v>16000000</v>
      </c>
      <c r="I3707" s="2">
        <v>7.2</v>
      </c>
      <c r="J3707" s="3">
        <v>166112167</v>
      </c>
      <c r="K3707">
        <f t="shared" si="122"/>
        <v>1.3775047412552699E-3</v>
      </c>
      <c r="R3707" s="12" t="str">
        <f ca="1">IFERROR(__xludf.DUMMYFUNCTION("""COMPUTED_VALUE"""),"Bloody Sunday ")</f>
        <v>Bloody Sunday </v>
      </c>
      <c r="S3707" s="12">
        <f t="shared" si="123"/>
        <v>-31403086</v>
      </c>
    </row>
    <row r="3708" spans="1:19" x14ac:dyDescent="0.3">
      <c r="A3708" s="2" t="s">
        <v>498</v>
      </c>
      <c r="B3708" s="2">
        <v>87</v>
      </c>
      <c r="C3708" s="3">
        <v>9525276</v>
      </c>
      <c r="D3708" s="3" t="s">
        <v>5940</v>
      </c>
      <c r="E3708" s="2" t="s">
        <v>1043</v>
      </c>
      <c r="F3708" s="2" t="s">
        <v>10</v>
      </c>
      <c r="G3708" s="2" t="s">
        <v>11</v>
      </c>
      <c r="H3708" s="2">
        <v>60000000</v>
      </c>
      <c r="I3708" s="2">
        <v>5.2</v>
      </c>
      <c r="J3708" s="3">
        <v>166147885</v>
      </c>
      <c r="K3708">
        <f t="shared" si="122"/>
        <v>1.3775047412552699E-3</v>
      </c>
      <c r="R3708" s="12" t="str">
        <f ca="1">IFERROR(__xludf.DUMMYFUNCTION("""COMPUTED_VALUE"""),"Conversations with Other Women ")</f>
        <v>Conversations with Other Women </v>
      </c>
      <c r="S3708" s="12">
        <f t="shared" si="123"/>
        <v>-59144354</v>
      </c>
    </row>
    <row r="3709" spans="1:19" x14ac:dyDescent="0.3">
      <c r="A3709" s="2" t="s">
        <v>4844</v>
      </c>
      <c r="B3709" s="2">
        <v>95</v>
      </c>
      <c r="C3709" s="3">
        <v>4244155</v>
      </c>
      <c r="D3709" s="3" t="s">
        <v>6496</v>
      </c>
      <c r="E3709" s="2" t="s">
        <v>4845</v>
      </c>
      <c r="F3709" s="2" t="s">
        <v>10</v>
      </c>
      <c r="G3709" s="2" t="s">
        <v>71</v>
      </c>
      <c r="H3709" s="2">
        <v>3500000</v>
      </c>
      <c r="I3709" s="2">
        <v>6.8</v>
      </c>
      <c r="J3709" s="3">
        <v>166225040</v>
      </c>
      <c r="K3709">
        <f t="shared" si="122"/>
        <v>1.3775047412552699E-3</v>
      </c>
      <c r="R3709" s="12" t="str">
        <f ca="1">IFERROR(__xludf.DUMMYFUNCTION("""COMPUTED_VALUE"""),"Poultrygeist: Night of the Chicken Dead ")</f>
        <v>Poultrygeist: Night of the Chicken Dead </v>
      </c>
      <c r="S3709" s="12">
        <f t="shared" si="123"/>
        <v>49098862</v>
      </c>
    </row>
    <row r="3710" spans="1:19" x14ac:dyDescent="0.3">
      <c r="A3710" s="2" t="s">
        <v>1296</v>
      </c>
      <c r="B3710" s="2">
        <v>105</v>
      </c>
      <c r="C3710" s="3">
        <v>226792</v>
      </c>
      <c r="D3710" s="3" t="s">
        <v>5869</v>
      </c>
      <c r="E3710" s="2" t="s">
        <v>3596</v>
      </c>
      <c r="F3710" s="2" t="s">
        <v>10</v>
      </c>
      <c r="G3710" s="2" t="s">
        <v>16</v>
      </c>
      <c r="H3710" s="2">
        <v>13000000</v>
      </c>
      <c r="I3710" s="2">
        <v>6.4</v>
      </c>
      <c r="J3710" s="3">
        <v>167007184</v>
      </c>
      <c r="K3710">
        <f t="shared" si="122"/>
        <v>1.3775047412552699E-3</v>
      </c>
      <c r="R3710" s="12" t="str">
        <f ca="1">IFERROR(__xludf.DUMMYFUNCTION("""COMPUTED_VALUE"""),"42nd Street ")</f>
        <v>42nd Street </v>
      </c>
      <c r="S3710" s="12">
        <f t="shared" si="123"/>
        <v>-3433363</v>
      </c>
    </row>
    <row r="3711" spans="1:19" x14ac:dyDescent="0.3">
      <c r="A3711" s="2" t="s">
        <v>209</v>
      </c>
      <c r="B3711" s="2">
        <v>125</v>
      </c>
      <c r="C3711" s="3">
        <v>2926565</v>
      </c>
      <c r="D3711" s="3" t="s">
        <v>5940</v>
      </c>
      <c r="E3711" s="2" t="s">
        <v>1180</v>
      </c>
      <c r="F3711" s="2" t="s">
        <v>10</v>
      </c>
      <c r="G3711" s="2" t="s">
        <v>11</v>
      </c>
      <c r="H3711" s="2">
        <v>58000000</v>
      </c>
      <c r="I3711" s="2">
        <v>6.3</v>
      </c>
      <c r="J3711" s="3">
        <v>167735396</v>
      </c>
      <c r="K3711">
        <f t="shared" si="122"/>
        <v>1.3775047412552699E-3</v>
      </c>
      <c r="R3711" s="12" t="str">
        <f ca="1">IFERROR(__xludf.DUMMYFUNCTION("""COMPUTED_VALUE"""),"Metropolitan ")</f>
        <v>Metropolitan </v>
      </c>
      <c r="S3711" s="12">
        <f t="shared" si="123"/>
        <v>-88756039</v>
      </c>
    </row>
    <row r="3712" spans="1:19" x14ac:dyDescent="0.3">
      <c r="A3712" s="2" t="s">
        <v>150</v>
      </c>
      <c r="B3712" s="2">
        <v>85</v>
      </c>
      <c r="C3712" s="3">
        <v>37300107</v>
      </c>
      <c r="D3712" s="3" t="s">
        <v>885</v>
      </c>
      <c r="E3712" s="2" t="s">
        <v>2520</v>
      </c>
      <c r="F3712" s="2" t="s">
        <v>10</v>
      </c>
      <c r="G3712" s="2" t="s">
        <v>11</v>
      </c>
      <c r="H3712" s="2">
        <v>25000000</v>
      </c>
      <c r="I3712" s="2">
        <v>7</v>
      </c>
      <c r="J3712" s="3">
        <v>167780960</v>
      </c>
      <c r="K3712">
        <f t="shared" si="122"/>
        <v>1.3775047412552699E-3</v>
      </c>
      <c r="R3712" s="12" t="str">
        <f ca="1">IFERROR(__xludf.DUMMYFUNCTION("""COMPUTED_VALUE"""),"As It Is in Heaven ")</f>
        <v>As It Is in Heaven </v>
      </c>
      <c r="S3712" s="12">
        <f t="shared" si="123"/>
        <v>15158074</v>
      </c>
    </row>
    <row r="3713" spans="1:19" x14ac:dyDescent="0.3">
      <c r="A3713" s="2" t="s">
        <v>712</v>
      </c>
      <c r="B3713" s="2">
        <v>103</v>
      </c>
      <c r="C3713" s="3">
        <v>3330</v>
      </c>
      <c r="D3713" s="3" t="s">
        <v>885</v>
      </c>
      <c r="E3713" s="2" t="s">
        <v>2001</v>
      </c>
      <c r="F3713" s="2" t="s">
        <v>10</v>
      </c>
      <c r="G3713" s="2" t="s">
        <v>11</v>
      </c>
      <c r="H3713" s="2">
        <v>3573740000</v>
      </c>
      <c r="I3713" s="2">
        <v>6.2</v>
      </c>
      <c r="J3713" s="3">
        <v>168368427</v>
      </c>
      <c r="K3713">
        <f t="shared" si="122"/>
        <v>1.3775047412552699E-3</v>
      </c>
      <c r="R3713" s="12" t="str">
        <f ca="1">IFERROR(__xludf.DUMMYFUNCTION("""COMPUTED_VALUE"""),"Napoleon Dynamite ")</f>
        <v>Napoleon Dynamite </v>
      </c>
      <c r="S3713" s="12">
        <f t="shared" si="123"/>
        <v>-79979782</v>
      </c>
    </row>
    <row r="3714" spans="1:19" x14ac:dyDescent="0.3">
      <c r="A3714" s="2" t="s">
        <v>3523</v>
      </c>
      <c r="B3714" s="2">
        <v>110</v>
      </c>
      <c r="C3714" s="3">
        <v>15681020</v>
      </c>
      <c r="D3714" s="3" t="s">
        <v>6245</v>
      </c>
      <c r="E3714" s="2" t="s">
        <v>3643</v>
      </c>
      <c r="F3714" s="2" t="s">
        <v>10</v>
      </c>
      <c r="G3714" s="2" t="s">
        <v>16</v>
      </c>
      <c r="H3714" s="2">
        <v>15000000</v>
      </c>
      <c r="I3714" s="2">
        <v>7.2</v>
      </c>
      <c r="J3714" s="3">
        <v>169076745</v>
      </c>
      <c r="K3714">
        <f t="shared" ref="K3714:K3777" si="124">CORREL(H$2:H$3941,J$2:J$3941)</f>
        <v>1.3775047412552699E-3</v>
      </c>
      <c r="R3714" s="12" t="str">
        <f ca="1">IFERROR(__xludf.DUMMYFUNCTION("""COMPUTED_VALUE"""),"Blue Ruin ")</f>
        <v>Blue Ruin </v>
      </c>
      <c r="S3714" s="12">
        <f t="shared" si="123"/>
        <v>-59647214</v>
      </c>
    </row>
    <row r="3715" spans="1:19" x14ac:dyDescent="0.3">
      <c r="A3715" s="2" t="s">
        <v>709</v>
      </c>
      <c r="B3715" s="2">
        <v>83</v>
      </c>
      <c r="C3715" s="3">
        <v>958319</v>
      </c>
      <c r="D3715" s="3" t="s">
        <v>5767</v>
      </c>
      <c r="E3715" s="2" t="s">
        <v>710</v>
      </c>
      <c r="F3715" s="2" t="s">
        <v>10</v>
      </c>
      <c r="G3715" s="2" t="s">
        <v>11</v>
      </c>
      <c r="H3715" s="2">
        <v>80000000</v>
      </c>
      <c r="I3715" s="2">
        <v>7</v>
      </c>
      <c r="J3715" s="3">
        <v>169692572</v>
      </c>
      <c r="K3715">
        <f t="shared" si="124"/>
        <v>1.3775047412552699E-3</v>
      </c>
      <c r="R3715" s="12" t="str">
        <f ca="1">IFERROR(__xludf.DUMMYFUNCTION("""COMPUTED_VALUE"""),"Paranormal Activity ")</f>
        <v>Paranormal Activity </v>
      </c>
      <c r="S3715" s="12">
        <f t="shared" si="123"/>
        <v>10528495</v>
      </c>
    </row>
    <row r="3716" spans="1:19" x14ac:dyDescent="0.3">
      <c r="A3716" s="2" t="s">
        <v>1212</v>
      </c>
      <c r="B3716" s="2">
        <v>104</v>
      </c>
      <c r="C3716" s="2">
        <v>1346503</v>
      </c>
      <c r="D3716" s="3" t="s">
        <v>5767</v>
      </c>
      <c r="E3716" s="2" t="s">
        <v>4540</v>
      </c>
      <c r="F3716" s="2" t="s">
        <v>10</v>
      </c>
      <c r="G3716" s="2" t="s">
        <v>233</v>
      </c>
      <c r="H3716" s="2">
        <v>6000000</v>
      </c>
      <c r="I3716" s="2">
        <v>6.1</v>
      </c>
      <c r="J3716" s="3">
        <v>169705587</v>
      </c>
      <c r="K3716">
        <f t="shared" si="124"/>
        <v>1.3775047412552699E-3</v>
      </c>
      <c r="R3716" s="12" t="str">
        <f ca="1">IFERROR(__xludf.DUMMYFUNCTION("""COMPUTED_VALUE"""),"Monty Python and the Holy Grail ")</f>
        <v>Monty Python and the Holy Grail </v>
      </c>
      <c r="S3716" s="12">
        <f t="shared" si="123"/>
        <v>-126293865</v>
      </c>
    </row>
    <row r="3717" spans="1:19" x14ac:dyDescent="0.3">
      <c r="A3717" s="2" t="s">
        <v>83</v>
      </c>
      <c r="B3717" s="2">
        <v>136</v>
      </c>
      <c r="C3717" s="3">
        <v>16311763</v>
      </c>
      <c r="D3717" s="3" t="s">
        <v>6026</v>
      </c>
      <c r="E3717" s="2" t="s">
        <v>961</v>
      </c>
      <c r="F3717" s="2" t="s">
        <v>10</v>
      </c>
      <c r="G3717" s="2" t="s">
        <v>11</v>
      </c>
      <c r="H3717" s="2">
        <v>65000000</v>
      </c>
      <c r="I3717" s="2">
        <v>6.7</v>
      </c>
      <c r="J3717" s="3">
        <v>170684505</v>
      </c>
      <c r="K3717">
        <f t="shared" si="124"/>
        <v>1.3775047412552699E-3</v>
      </c>
      <c r="R3717" s="12" t="str">
        <f ca="1">IFERROR(__xludf.DUMMYFUNCTION("""COMPUTED_VALUE"""),"Quinceañera ")</f>
        <v>Quinceañera </v>
      </c>
      <c r="S3717" s="12">
        <f t="shared" si="123"/>
        <v>-1133738</v>
      </c>
    </row>
    <row r="3718" spans="1:19" x14ac:dyDescent="0.3">
      <c r="A3718" s="2" t="s">
        <v>3556</v>
      </c>
      <c r="B3718" s="2">
        <v>105</v>
      </c>
      <c r="C3718" s="3">
        <v>1068392</v>
      </c>
      <c r="D3718" s="3" t="s">
        <v>5350</v>
      </c>
      <c r="E3718" s="2" t="s">
        <v>3557</v>
      </c>
      <c r="F3718" s="2" t="s">
        <v>513</v>
      </c>
      <c r="G3718" s="2" t="s">
        <v>3381</v>
      </c>
      <c r="H3718" s="2">
        <v>15000000</v>
      </c>
      <c r="I3718" s="2">
        <v>6.4</v>
      </c>
      <c r="J3718" s="3">
        <v>170708996</v>
      </c>
      <c r="K3718">
        <f t="shared" si="124"/>
        <v>1.3775047412552699E-3</v>
      </c>
      <c r="R3718" s="12" t="str">
        <f ca="1">IFERROR(__xludf.DUMMYFUNCTION("""COMPUTED_VALUE"""),"Gory Gory Hallelujah ")</f>
        <v>Gory Gory Hallelujah </v>
      </c>
      <c r="S3718" s="12">
        <f t="shared" si="123"/>
        <v>-50605064</v>
      </c>
    </row>
    <row r="3719" spans="1:19" x14ac:dyDescent="0.3">
      <c r="A3719" s="2" t="s">
        <v>3558</v>
      </c>
      <c r="B3719" s="2">
        <v>98</v>
      </c>
      <c r="C3719" s="3">
        <v>13395939</v>
      </c>
      <c r="D3719" s="3" t="s">
        <v>6121</v>
      </c>
      <c r="E3719" s="2" t="s">
        <v>3559</v>
      </c>
      <c r="F3719" s="2" t="s">
        <v>10</v>
      </c>
      <c r="G3719" s="2" t="s">
        <v>16</v>
      </c>
      <c r="H3719" s="2">
        <v>15000000</v>
      </c>
      <c r="I3719" s="2">
        <v>6.9</v>
      </c>
      <c r="J3719" s="3">
        <v>171031347</v>
      </c>
      <c r="K3719">
        <f t="shared" si="124"/>
        <v>1.3775047412552699E-3</v>
      </c>
      <c r="R3719" s="12" t="str">
        <f ca="1">IFERROR(__xludf.DUMMYFUNCTION("""COMPUTED_VALUE"""),"Tarnation ")</f>
        <v>Tarnation </v>
      </c>
      <c r="S3719" s="12">
        <f t="shared" si="123"/>
        <v>-4840253</v>
      </c>
    </row>
    <row r="3720" spans="1:19" x14ac:dyDescent="0.3">
      <c r="A3720" s="2" t="s">
        <v>169</v>
      </c>
      <c r="B3720" s="2">
        <v>96</v>
      </c>
      <c r="C3720" s="3">
        <v>2221994</v>
      </c>
      <c r="D3720" s="3" t="s">
        <v>5849</v>
      </c>
      <c r="E3720" s="2" t="s">
        <v>5034</v>
      </c>
      <c r="F3720" s="2" t="s">
        <v>10</v>
      </c>
      <c r="G3720" s="2" t="s">
        <v>11</v>
      </c>
      <c r="H3720" s="2">
        <v>2500000</v>
      </c>
      <c r="I3720" s="2">
        <v>6.8</v>
      </c>
      <c r="J3720" s="3">
        <v>171383253</v>
      </c>
      <c r="K3720">
        <f t="shared" si="124"/>
        <v>1.3775047412552699E-3</v>
      </c>
      <c r="R3720" s="12" t="str">
        <f ca="1">IFERROR(__xludf.DUMMYFUNCTION("""COMPUTED_VALUE"""),"I Want Your Money ")</f>
        <v>I Want Your Money </v>
      </c>
      <c r="S3720" s="12">
        <f t="shared" si="123"/>
        <v>-6747348</v>
      </c>
    </row>
    <row r="3721" spans="1:19" x14ac:dyDescent="0.3">
      <c r="A3721" s="2" t="s">
        <v>1017</v>
      </c>
      <c r="B3721" s="2">
        <v>138</v>
      </c>
      <c r="C3721" s="3">
        <v>10696</v>
      </c>
      <c r="D3721" s="3" t="s">
        <v>5849</v>
      </c>
      <c r="E3721" s="2" t="s">
        <v>2080</v>
      </c>
      <c r="F3721" s="2" t="s">
        <v>10</v>
      </c>
      <c r="G3721" s="2" t="s">
        <v>11</v>
      </c>
      <c r="H3721" s="2">
        <v>40000000</v>
      </c>
      <c r="I3721" s="2">
        <v>7.6</v>
      </c>
      <c r="J3721" s="3">
        <v>172051787</v>
      </c>
      <c r="K3721">
        <f t="shared" si="124"/>
        <v>1.3775047412552699E-3</v>
      </c>
      <c r="R3721" s="12" t="str">
        <f ca="1">IFERROR(__xludf.DUMMYFUNCTION("""COMPUTED_VALUE"""),"The Beyond ")</f>
        <v>The Beyond </v>
      </c>
      <c r="S3721" s="12">
        <f t="shared" si="123"/>
        <v>-79286587</v>
      </c>
    </row>
    <row r="3722" spans="1:19" x14ac:dyDescent="0.3">
      <c r="A3722" s="2" t="s">
        <v>1189</v>
      </c>
      <c r="B3722" s="2">
        <v>91</v>
      </c>
      <c r="C3722" s="3">
        <v>2222647</v>
      </c>
      <c r="D3722" s="3" t="s">
        <v>6393</v>
      </c>
      <c r="E3722" s="2" t="s">
        <v>3726</v>
      </c>
      <c r="F3722" s="2" t="s">
        <v>10</v>
      </c>
      <c r="G3722" s="2" t="s">
        <v>11</v>
      </c>
      <c r="H3722" s="2">
        <v>8495000</v>
      </c>
      <c r="I3722" s="2">
        <v>4.5</v>
      </c>
      <c r="J3722" s="3">
        <v>172071312</v>
      </c>
      <c r="K3722">
        <f t="shared" si="124"/>
        <v>1.3775047412552699E-3</v>
      </c>
      <c r="R3722" s="12" t="str">
        <f ca="1">IFERROR(__xludf.DUMMYFUNCTION("""COMPUTED_VALUE"""),"What Happens in Vegas ")</f>
        <v>What Happens in Vegas </v>
      </c>
      <c r="S3722" s="12">
        <f t="shared" si="123"/>
        <v>-9878028</v>
      </c>
    </row>
    <row r="3723" spans="1:19" x14ac:dyDescent="0.3">
      <c r="A3723" s="2" t="s">
        <v>234</v>
      </c>
      <c r="B3723" s="2">
        <v>124</v>
      </c>
      <c r="C3723" s="3">
        <v>537580</v>
      </c>
      <c r="D3723" s="3" t="s">
        <v>5849</v>
      </c>
      <c r="E3723" s="2" t="s">
        <v>288</v>
      </c>
      <c r="F3723" s="2" t="s">
        <v>10</v>
      </c>
      <c r="G3723" s="2" t="s">
        <v>11</v>
      </c>
      <c r="H3723" s="2">
        <v>140000000</v>
      </c>
      <c r="I3723" s="2">
        <v>6.9</v>
      </c>
      <c r="J3723" s="3">
        <v>172620724</v>
      </c>
      <c r="K3723">
        <f t="shared" si="124"/>
        <v>1.3775047412552699E-3</v>
      </c>
      <c r="R3723" s="12" t="str">
        <f ca="1">IFERROR(__xludf.DUMMYFUNCTION("""COMPUTED_VALUE"""),"Trekkies ")</f>
        <v>Trekkies </v>
      </c>
      <c r="S3723" s="12">
        <f t="shared" si="123"/>
        <v>59258303</v>
      </c>
    </row>
    <row r="3724" spans="1:19" x14ac:dyDescent="0.3">
      <c r="A3724" s="2" t="s">
        <v>112</v>
      </c>
      <c r="B3724" s="2">
        <v>130</v>
      </c>
      <c r="C3724" s="3">
        <v>21501098</v>
      </c>
      <c r="D3724" s="3" t="s">
        <v>5940</v>
      </c>
      <c r="E3724" s="2" t="s">
        <v>2447</v>
      </c>
      <c r="F3724" s="2" t="s">
        <v>10</v>
      </c>
      <c r="G3724" s="2" t="s">
        <v>16</v>
      </c>
      <c r="H3724" s="2">
        <v>30000000</v>
      </c>
      <c r="I3724" s="2">
        <v>6.9</v>
      </c>
      <c r="J3724" s="3">
        <v>172825435</v>
      </c>
      <c r="K3724">
        <f t="shared" si="124"/>
        <v>1.3775047412552699E-3</v>
      </c>
      <c r="R3724" s="12" t="str">
        <f ca="1">IFERROR(__xludf.DUMMYFUNCTION("""COMPUTED_VALUE"""),"The Broadway Melody ")</f>
        <v>The Broadway Melody </v>
      </c>
      <c r="S3724" s="12">
        <f t="shared" si="123"/>
        <v>15673969</v>
      </c>
    </row>
    <row r="3725" spans="1:19" x14ac:dyDescent="0.3">
      <c r="A3725" s="2" t="s">
        <v>4869</v>
      </c>
      <c r="B3725" s="2">
        <v>81</v>
      </c>
      <c r="C3725" s="3">
        <v>263365</v>
      </c>
      <c r="D3725" s="3" t="s">
        <v>5849</v>
      </c>
      <c r="E3725" s="2" t="s">
        <v>4870</v>
      </c>
      <c r="F3725" s="2" t="s">
        <v>10</v>
      </c>
      <c r="G3725" s="2" t="s">
        <v>11</v>
      </c>
      <c r="H3725" s="2">
        <v>3000000</v>
      </c>
      <c r="I3725" s="2">
        <v>5.2</v>
      </c>
      <c r="J3725" s="3">
        <v>173005002</v>
      </c>
      <c r="K3725">
        <f t="shared" si="124"/>
        <v>1.3775047412552699E-3</v>
      </c>
      <c r="R3725" s="12" t="str">
        <f ca="1">IFERROR(__xludf.DUMMYFUNCTION("""COMPUTED_VALUE"""),"Maniac ")</f>
        <v>Maniac </v>
      </c>
      <c r="S3725" s="12">
        <f t="shared" si="123"/>
        <v>-13562067</v>
      </c>
    </row>
    <row r="3726" spans="1:19" x14ac:dyDescent="0.3">
      <c r="A3726" s="2" t="s">
        <v>427</v>
      </c>
      <c r="B3726" s="2">
        <v>117</v>
      </c>
      <c r="C3726" s="3">
        <v>15527125</v>
      </c>
      <c r="D3726" s="3" t="s">
        <v>6094</v>
      </c>
      <c r="E3726" s="2" t="s">
        <v>1544</v>
      </c>
      <c r="F3726" s="2" t="s">
        <v>10</v>
      </c>
      <c r="G3726" s="2" t="s">
        <v>11</v>
      </c>
      <c r="H3726" s="2">
        <v>40000000</v>
      </c>
      <c r="I3726" s="2">
        <v>6.5</v>
      </c>
      <c r="J3726" s="3">
        <v>173381405</v>
      </c>
      <c r="K3726">
        <f t="shared" si="124"/>
        <v>1.3775047412552699E-3</v>
      </c>
      <c r="R3726" s="12" t="str">
        <f ca="1">IFERROR(__xludf.DUMMYFUNCTION("""COMPUTED_VALUE"""),"Censored Voices ")</f>
        <v>Censored Voices </v>
      </c>
      <c r="S3726" s="12">
        <f t="shared" si="123"/>
        <v>-25900000</v>
      </c>
    </row>
    <row r="3727" spans="1:19" x14ac:dyDescent="0.3">
      <c r="A3727" s="2" t="s">
        <v>804</v>
      </c>
      <c r="B3727" s="2">
        <v>96</v>
      </c>
      <c r="C3727" s="3">
        <v>27457409</v>
      </c>
      <c r="D3727" s="3" t="s">
        <v>5869</v>
      </c>
      <c r="E3727" s="2" t="s">
        <v>1855</v>
      </c>
      <c r="F3727" s="2" t="s">
        <v>10</v>
      </c>
      <c r="G3727" s="2" t="s">
        <v>11</v>
      </c>
      <c r="H3727" s="2">
        <v>38000000</v>
      </c>
      <c r="I3727" s="2">
        <v>6.5</v>
      </c>
      <c r="J3727" s="3">
        <v>173585516</v>
      </c>
      <c r="K3727">
        <f t="shared" si="124"/>
        <v>1.3775047412552699E-3</v>
      </c>
      <c r="R3727" s="12" t="str">
        <f ca="1">IFERROR(__xludf.DUMMYFUNCTION("""COMPUTED_VALUE"""),"Murderball ")</f>
        <v>Murderball </v>
      </c>
      <c r="S3727" s="12">
        <f t="shared" si="123"/>
        <v>-69941786</v>
      </c>
    </row>
    <row r="3728" spans="1:19" x14ac:dyDescent="0.3">
      <c r="A3728" s="2" t="s">
        <v>3414</v>
      </c>
      <c r="B3728" s="2">
        <v>99</v>
      </c>
      <c r="C3728" s="3">
        <v>58885635</v>
      </c>
      <c r="D3728" s="3" t="s">
        <v>6497</v>
      </c>
      <c r="E3728" s="2" t="s">
        <v>3415</v>
      </c>
      <c r="F3728" s="2" t="s">
        <v>10</v>
      </c>
      <c r="G3728" s="2" t="s">
        <v>11</v>
      </c>
      <c r="H3728" s="2">
        <v>16000000</v>
      </c>
      <c r="I3728" s="2">
        <v>5.7</v>
      </c>
      <c r="J3728" s="3">
        <v>174635000</v>
      </c>
      <c r="K3728">
        <f t="shared" si="124"/>
        <v>1.3775047412552699E-3</v>
      </c>
      <c r="R3728" s="12" t="str">
        <f ca="1">IFERROR(__xludf.DUMMYFUNCTION("""COMPUTED_VALUE"""),"American Ninja 2: The Confrontation ")</f>
        <v>American Ninja 2: The Confrontation </v>
      </c>
      <c r="S3728" s="12">
        <f t="shared" si="123"/>
        <v>-1116166</v>
      </c>
    </row>
    <row r="3729" spans="1:19" x14ac:dyDescent="0.3">
      <c r="A3729" s="2" t="s">
        <v>454</v>
      </c>
      <c r="B3729" s="2">
        <v>123</v>
      </c>
      <c r="C3729" s="3">
        <v>536767</v>
      </c>
      <c r="D3729" s="3" t="s">
        <v>5892</v>
      </c>
      <c r="E3729" s="2" t="s">
        <v>1214</v>
      </c>
      <c r="F3729" s="2" t="s">
        <v>10</v>
      </c>
      <c r="G3729" s="2" t="s">
        <v>11</v>
      </c>
      <c r="H3729" s="2">
        <v>53000000</v>
      </c>
      <c r="I3729" s="2">
        <v>7.3</v>
      </c>
      <c r="J3729" s="3">
        <v>176049130</v>
      </c>
      <c r="K3729">
        <f t="shared" si="124"/>
        <v>1.3775047412552699E-3</v>
      </c>
      <c r="R3729" s="12" t="str">
        <f ca="1">IFERROR(__xludf.DUMMYFUNCTION("""COMPUTED_VALUE"""),"Tumbleweeds ")</f>
        <v>Tumbleweeds </v>
      </c>
      <c r="S3729" s="12">
        <f t="shared" si="123"/>
        <v>-15983934</v>
      </c>
    </row>
    <row r="3730" spans="1:19" x14ac:dyDescent="0.3">
      <c r="A3730" s="2" t="s">
        <v>148</v>
      </c>
      <c r="B3730" s="2">
        <v>97</v>
      </c>
      <c r="C3730" s="3">
        <v>2207975</v>
      </c>
      <c r="D3730" s="3" t="s">
        <v>5767</v>
      </c>
      <c r="E3730" s="2" t="s">
        <v>149</v>
      </c>
      <c r="F3730" s="2" t="s">
        <v>10</v>
      </c>
      <c r="G3730" s="2" t="s">
        <v>11</v>
      </c>
      <c r="H3730" s="2">
        <v>180000000</v>
      </c>
      <c r="I3730" s="2">
        <v>7</v>
      </c>
      <c r="J3730" s="3">
        <v>176387405</v>
      </c>
      <c r="K3730">
        <f t="shared" si="124"/>
        <v>1.3775047412552699E-3</v>
      </c>
      <c r="R3730" s="12" t="str">
        <f ca="1">IFERROR(__xludf.DUMMYFUNCTION("""COMPUTED_VALUE"""),"The Prophecy ")</f>
        <v>The Prophecy </v>
      </c>
      <c r="S3730" s="12">
        <f t="shared" si="123"/>
        <v>-50474724</v>
      </c>
    </row>
    <row r="3731" spans="1:19" x14ac:dyDescent="0.3">
      <c r="A3731" s="2" t="s">
        <v>5323</v>
      </c>
      <c r="B3731" s="2">
        <v>167</v>
      </c>
      <c r="C3731" s="3">
        <v>26003149</v>
      </c>
      <c r="D3731" s="3" t="s">
        <v>6201</v>
      </c>
      <c r="E3731" s="2" t="s">
        <v>5324</v>
      </c>
      <c r="F3731" s="2" t="s">
        <v>3944</v>
      </c>
      <c r="G3731" s="2" t="s">
        <v>1845</v>
      </c>
      <c r="H3731" s="2">
        <v>1000000</v>
      </c>
      <c r="I3731" s="2">
        <v>6.2</v>
      </c>
      <c r="J3731" s="3">
        <v>176483808</v>
      </c>
      <c r="K3731">
        <f t="shared" si="124"/>
        <v>1.3775047412552699E-3</v>
      </c>
      <c r="R3731" s="12" t="str">
        <f ca="1">IFERROR(__xludf.DUMMYFUNCTION("""COMPUTED_VALUE"""),"When the Cat's Away ")</f>
        <v>When the Cat's Away </v>
      </c>
      <c r="S3731" s="12">
        <f t="shared" si="123"/>
        <v>744155</v>
      </c>
    </row>
    <row r="3732" spans="1:19" x14ac:dyDescent="0.3">
      <c r="A3732" s="2" t="s">
        <v>5595</v>
      </c>
      <c r="B3732" s="2">
        <v>100</v>
      </c>
      <c r="C3732" s="3">
        <v>92900</v>
      </c>
      <c r="D3732" s="3" t="s">
        <v>6041</v>
      </c>
      <c r="E3732" s="2" t="s">
        <v>5596</v>
      </c>
      <c r="F3732" s="2" t="s">
        <v>10</v>
      </c>
      <c r="G3732" s="2" t="s">
        <v>11</v>
      </c>
      <c r="H3732" s="2">
        <v>250000</v>
      </c>
      <c r="I3732" s="2">
        <v>6.7</v>
      </c>
      <c r="J3732" s="3">
        <v>176636816</v>
      </c>
      <c r="K3732">
        <f t="shared" si="124"/>
        <v>1.3775047412552699E-3</v>
      </c>
      <c r="R3732" s="12" t="str">
        <f ca="1">IFERROR(__xludf.DUMMYFUNCTION("""COMPUTED_VALUE"""),"Pieces of April ")</f>
        <v>Pieces of April </v>
      </c>
      <c r="S3732" s="12">
        <f t="shared" si="123"/>
        <v>-12773208</v>
      </c>
    </row>
    <row r="3733" spans="1:19" x14ac:dyDescent="0.3">
      <c r="A3733" s="2" t="s">
        <v>2440</v>
      </c>
      <c r="B3733" s="2">
        <v>111</v>
      </c>
      <c r="C3733" s="3">
        <v>379122</v>
      </c>
      <c r="D3733" s="3" t="s">
        <v>5608</v>
      </c>
      <c r="E3733" s="2" t="s">
        <v>3049</v>
      </c>
      <c r="F3733" s="2" t="s">
        <v>10</v>
      </c>
      <c r="G3733" s="2" t="s">
        <v>11</v>
      </c>
      <c r="H3733" s="2">
        <v>20000000</v>
      </c>
      <c r="I3733" s="2">
        <v>6.4</v>
      </c>
      <c r="J3733" s="3">
        <v>176740650</v>
      </c>
      <c r="K3733">
        <f t="shared" si="124"/>
        <v>1.3775047412552699E-3</v>
      </c>
      <c r="R3733" s="12" t="str">
        <f ca="1">IFERROR(__xludf.DUMMYFUNCTION("""COMPUTED_VALUE"""),"Old Joy ")</f>
        <v>Old Joy </v>
      </c>
      <c r="S3733" s="12">
        <f t="shared" si="123"/>
        <v>-55073435</v>
      </c>
    </row>
    <row r="3734" spans="1:19" x14ac:dyDescent="0.3">
      <c r="A3734" s="2" t="s">
        <v>4752</v>
      </c>
      <c r="B3734" s="2">
        <v>103</v>
      </c>
      <c r="C3734" s="3">
        <v>37339525</v>
      </c>
      <c r="D3734" s="3" t="s">
        <v>6245</v>
      </c>
      <c r="E3734" s="2" t="s">
        <v>4753</v>
      </c>
      <c r="F3734" s="2" t="s">
        <v>10</v>
      </c>
      <c r="G3734" s="2" t="s">
        <v>11</v>
      </c>
      <c r="H3734" s="2">
        <v>4500000</v>
      </c>
      <c r="I3734" s="2">
        <v>5.8</v>
      </c>
      <c r="J3734" s="3">
        <v>176781728</v>
      </c>
      <c r="K3734">
        <f t="shared" si="124"/>
        <v>1.3775047412552699E-3</v>
      </c>
      <c r="R3734" s="12" t="str">
        <f ca="1">IFERROR(__xludf.DUMMYFUNCTION("""COMPUTED_VALUE"""),"Wendy and Lucy ")</f>
        <v>Wendy and Lucy </v>
      </c>
      <c r="S3734" s="12">
        <f t="shared" si="123"/>
        <v>12300107</v>
      </c>
    </row>
    <row r="3735" spans="1:19" x14ac:dyDescent="0.3">
      <c r="A3735" s="2" t="s">
        <v>67</v>
      </c>
      <c r="B3735" s="2">
        <v>125</v>
      </c>
      <c r="C3735" s="3">
        <v>77501</v>
      </c>
      <c r="D3735" s="3" t="s">
        <v>885</v>
      </c>
      <c r="E3735" s="2" t="s">
        <v>879</v>
      </c>
      <c r="F3735" s="2" t="s">
        <v>10</v>
      </c>
      <c r="G3735" s="2" t="s">
        <v>11</v>
      </c>
      <c r="H3735" s="2">
        <v>70000000</v>
      </c>
      <c r="I3735" s="2">
        <v>8</v>
      </c>
      <c r="J3735" s="3">
        <v>176997107</v>
      </c>
      <c r="K3735">
        <f t="shared" si="124"/>
        <v>1.3775047412552699E-3</v>
      </c>
      <c r="R3735" s="12" t="str">
        <f ca="1">IFERROR(__xludf.DUMMYFUNCTION("""COMPUTED_VALUE"""),"Ayurveda: Art of Being ")</f>
        <v>Ayurveda: Art of Being </v>
      </c>
      <c r="S3735" s="12">
        <f t="shared" si="123"/>
        <v>-3573736670</v>
      </c>
    </row>
    <row r="3736" spans="1:19" x14ac:dyDescent="0.3">
      <c r="A3736" s="2" t="s">
        <v>4670</v>
      </c>
      <c r="B3736" s="2">
        <v>90</v>
      </c>
      <c r="C3736" s="3">
        <v>37304950</v>
      </c>
      <c r="D3736" s="3" t="s">
        <v>6498</v>
      </c>
      <c r="E3736" s="2" t="s">
        <v>4671</v>
      </c>
      <c r="F3736" s="2" t="s">
        <v>10</v>
      </c>
      <c r="G3736" s="2" t="s">
        <v>11</v>
      </c>
      <c r="H3736" s="2">
        <v>5000000</v>
      </c>
      <c r="I3736" s="2">
        <v>5.3</v>
      </c>
      <c r="J3736" s="3">
        <v>177200000</v>
      </c>
      <c r="K3736">
        <f t="shared" si="124"/>
        <v>1.3775047412552699E-3</v>
      </c>
      <c r="R3736" s="12" t="str">
        <f ca="1">IFERROR(__xludf.DUMMYFUNCTION("""COMPUTED_VALUE"""),"Nothing But a Man ")</f>
        <v>Nothing But a Man </v>
      </c>
      <c r="S3736" s="12">
        <f t="shared" si="123"/>
        <v>681020</v>
      </c>
    </row>
    <row r="3737" spans="1:19" x14ac:dyDescent="0.3">
      <c r="A3737" s="2" t="s">
        <v>67</v>
      </c>
      <c r="B3737" s="2">
        <v>87</v>
      </c>
      <c r="C3737" s="3">
        <v>47329</v>
      </c>
      <c r="D3737" s="3" t="s">
        <v>5940</v>
      </c>
      <c r="E3737" s="2" t="s">
        <v>1847</v>
      </c>
      <c r="F3737" s="2" t="s">
        <v>10</v>
      </c>
      <c r="G3737" s="2" t="s">
        <v>11</v>
      </c>
      <c r="H3737" s="2">
        <v>39000000</v>
      </c>
      <c r="I3737" s="2">
        <v>7</v>
      </c>
      <c r="J3737" s="3">
        <v>177243721</v>
      </c>
      <c r="K3737">
        <f t="shared" si="124"/>
        <v>1.3775047412552699E-3</v>
      </c>
      <c r="R3737" s="12" t="str">
        <f ca="1">IFERROR(__xludf.DUMMYFUNCTION("""COMPUTED_VALUE"""),"First Love, Last Rites ")</f>
        <v>First Love, Last Rites </v>
      </c>
      <c r="S3737" s="12">
        <f t="shared" ref="S3737:S3800" si="125">C3715-H3715</f>
        <v>-79041681</v>
      </c>
    </row>
    <row r="3738" spans="1:19" x14ac:dyDescent="0.3">
      <c r="A3738" s="2" t="s">
        <v>1338</v>
      </c>
      <c r="B3738" s="2">
        <v>115</v>
      </c>
      <c r="C3738" s="3">
        <v>100675</v>
      </c>
      <c r="D3738" s="3" t="s">
        <v>6282</v>
      </c>
      <c r="E3738" s="2" t="s">
        <v>4905</v>
      </c>
      <c r="F3738" s="2" t="s">
        <v>10</v>
      </c>
      <c r="G3738" s="2" t="s">
        <v>11</v>
      </c>
      <c r="H3738" s="2">
        <v>3000000</v>
      </c>
      <c r="I3738" s="2">
        <v>6.6</v>
      </c>
      <c r="J3738" s="3">
        <v>177343675</v>
      </c>
      <c r="K3738">
        <f t="shared" si="124"/>
        <v>1.3775047412552699E-3</v>
      </c>
      <c r="R3738" s="12" t="str">
        <f ca="1">IFERROR(__xludf.DUMMYFUNCTION("""COMPUTED_VALUE"""),"Fighting Tommy Riley ")</f>
        <v>Fighting Tommy Riley </v>
      </c>
      <c r="S3738" s="12">
        <f t="shared" si="125"/>
        <v>-4653497</v>
      </c>
    </row>
    <row r="3739" spans="1:19" x14ac:dyDescent="0.3">
      <c r="A3739" s="2" t="s">
        <v>1358</v>
      </c>
      <c r="B3739" s="2">
        <v>110</v>
      </c>
      <c r="C3739" s="3">
        <v>4280577</v>
      </c>
      <c r="D3739" s="3" t="s">
        <v>6245</v>
      </c>
      <c r="E3739" s="2" t="s">
        <v>2492</v>
      </c>
      <c r="F3739" s="2" t="s">
        <v>10</v>
      </c>
      <c r="G3739" s="2" t="s">
        <v>11</v>
      </c>
      <c r="H3739" s="2">
        <v>26000000</v>
      </c>
      <c r="I3739" s="2">
        <v>6.4</v>
      </c>
      <c r="J3739" s="3">
        <v>177575142</v>
      </c>
      <c r="K3739">
        <f t="shared" si="124"/>
        <v>1.3775047412552699E-3</v>
      </c>
      <c r="R3739" s="12" t="str">
        <f ca="1">IFERROR(__xludf.DUMMYFUNCTION("""COMPUTED_VALUE"""),"Locker 13 ")</f>
        <v>Locker 13 </v>
      </c>
      <c r="S3739" s="12">
        <f t="shared" si="125"/>
        <v>-48688237</v>
      </c>
    </row>
    <row r="3740" spans="1:19" x14ac:dyDescent="0.3">
      <c r="A3740" s="2" t="s">
        <v>511</v>
      </c>
      <c r="B3740" s="2">
        <v>114</v>
      </c>
      <c r="C3740" s="2">
        <v>6565495</v>
      </c>
      <c r="D3740" s="3" t="s">
        <v>885</v>
      </c>
      <c r="E3740" s="2" t="s">
        <v>1580</v>
      </c>
      <c r="F3740" s="2" t="s">
        <v>513</v>
      </c>
      <c r="G3740" s="2" t="s">
        <v>233</v>
      </c>
      <c r="H3740" s="2">
        <v>45000000</v>
      </c>
      <c r="I3740" s="2">
        <v>7</v>
      </c>
      <c r="J3740" s="3">
        <v>178406268</v>
      </c>
      <c r="K3740">
        <f t="shared" si="124"/>
        <v>1.3775047412552699E-3</v>
      </c>
      <c r="R3740" s="12" t="str">
        <f ca="1">IFERROR(__xludf.DUMMYFUNCTION("""COMPUTED_VALUE"""),"Compliance ")</f>
        <v>Compliance </v>
      </c>
      <c r="S3740" s="12">
        <f t="shared" si="125"/>
        <v>-13931608</v>
      </c>
    </row>
    <row r="3741" spans="1:19" x14ac:dyDescent="0.3">
      <c r="A3741" s="2" t="s">
        <v>3803</v>
      </c>
      <c r="B3741" s="2">
        <v>133</v>
      </c>
      <c r="C3741" s="3">
        <v>4756</v>
      </c>
      <c r="D3741" s="3" t="s">
        <v>885</v>
      </c>
      <c r="E3741" s="2" t="s">
        <v>3804</v>
      </c>
      <c r="F3741" s="2" t="s">
        <v>10</v>
      </c>
      <c r="G3741" s="2" t="s">
        <v>11</v>
      </c>
      <c r="H3741" s="2">
        <v>12000000</v>
      </c>
      <c r="I3741" s="2">
        <v>7.8</v>
      </c>
      <c r="J3741" s="3">
        <v>179020854</v>
      </c>
      <c r="K3741">
        <f t="shared" si="124"/>
        <v>1.3775047412552699E-3</v>
      </c>
      <c r="R3741" s="12" t="str">
        <f ca="1">IFERROR(__xludf.DUMMYFUNCTION("""COMPUTED_VALUE"""),"Chasing Amy ")</f>
        <v>Chasing Amy </v>
      </c>
      <c r="S3741" s="12">
        <f t="shared" si="125"/>
        <v>-1604061</v>
      </c>
    </row>
    <row r="3742" spans="1:19" x14ac:dyDescent="0.3">
      <c r="A3742" s="2" t="s">
        <v>3766</v>
      </c>
      <c r="B3742" s="2">
        <v>80</v>
      </c>
      <c r="C3742" s="3">
        <v>19170001</v>
      </c>
      <c r="D3742" s="3" t="s">
        <v>6144</v>
      </c>
      <c r="E3742" s="2" t="s">
        <v>3767</v>
      </c>
      <c r="F3742" s="2" t="s">
        <v>751</v>
      </c>
      <c r="G3742" s="2" t="s">
        <v>504</v>
      </c>
      <c r="H3742" s="2">
        <v>9600000</v>
      </c>
      <c r="I3742" s="2">
        <v>7.9</v>
      </c>
      <c r="J3742" s="3">
        <v>179870271</v>
      </c>
      <c r="K3742">
        <f t="shared" si="124"/>
        <v>1.3775047412552699E-3</v>
      </c>
      <c r="R3742" s="12" t="str">
        <f ca="1">IFERROR(__xludf.DUMMYFUNCTION("""COMPUTED_VALUE"""),"Lovely &amp; Amazing ")</f>
        <v>Lovely &amp; Amazing </v>
      </c>
      <c r="S3742" s="12">
        <f t="shared" si="125"/>
        <v>-278006</v>
      </c>
    </row>
    <row r="3743" spans="1:19" x14ac:dyDescent="0.3">
      <c r="A3743" s="2" t="s">
        <v>728</v>
      </c>
      <c r="B3743" s="2">
        <v>142</v>
      </c>
      <c r="C3743" s="3">
        <v>48430</v>
      </c>
      <c r="D3743" s="3" t="s">
        <v>6489</v>
      </c>
      <c r="E3743" s="2" t="s">
        <v>3508</v>
      </c>
      <c r="F3743" s="2" t="s">
        <v>10</v>
      </c>
      <c r="G3743" s="2" t="s">
        <v>16</v>
      </c>
      <c r="H3743" s="2">
        <v>15000000</v>
      </c>
      <c r="I3743" s="2">
        <v>8</v>
      </c>
      <c r="J3743" s="3">
        <v>179883016</v>
      </c>
      <c r="K3743">
        <f t="shared" si="124"/>
        <v>1.3775047412552699E-3</v>
      </c>
      <c r="R3743" s="12" t="str">
        <f ca="1">IFERROR(__xludf.DUMMYFUNCTION("""COMPUTED_VALUE"""),"Better Luck Tomorrow ")</f>
        <v>Better Luck Tomorrow </v>
      </c>
      <c r="S3743" s="12">
        <f t="shared" si="125"/>
        <v>-39989304</v>
      </c>
    </row>
    <row r="3744" spans="1:19" x14ac:dyDescent="0.3">
      <c r="A3744" s="2" t="s">
        <v>5564</v>
      </c>
      <c r="B3744" s="2">
        <v>84</v>
      </c>
      <c r="C3744" s="3">
        <v>46495</v>
      </c>
      <c r="D3744" s="3" t="s">
        <v>6499</v>
      </c>
      <c r="E3744" s="2" t="s">
        <v>5565</v>
      </c>
      <c r="F3744" s="2" t="s">
        <v>5092</v>
      </c>
      <c r="G3744" s="2" t="s">
        <v>5093</v>
      </c>
      <c r="H3744" s="2">
        <v>450000</v>
      </c>
      <c r="I3744" s="2">
        <v>7.2</v>
      </c>
      <c r="J3744" s="3">
        <v>179982968</v>
      </c>
      <c r="K3744">
        <f t="shared" si="124"/>
        <v>1.3775047412552699E-3</v>
      </c>
      <c r="R3744" s="12" t="str">
        <f ca="1">IFERROR(__xludf.DUMMYFUNCTION("""COMPUTED_VALUE"""),"The Incredibly True Adventure of Two Girls in Love ")</f>
        <v>The Incredibly True Adventure of Two Girls in Love </v>
      </c>
      <c r="S3744" s="12">
        <f t="shared" si="125"/>
        <v>-6272353</v>
      </c>
    </row>
    <row r="3745" spans="1:19" x14ac:dyDescent="0.3">
      <c r="A3745" s="2" t="s">
        <v>1296</v>
      </c>
      <c r="B3745" s="2">
        <v>108</v>
      </c>
      <c r="C3745" s="3">
        <v>228524</v>
      </c>
      <c r="D3745" s="3" t="s">
        <v>6186</v>
      </c>
      <c r="E3745" s="2" t="s">
        <v>1297</v>
      </c>
      <c r="F3745" s="2" t="s">
        <v>10</v>
      </c>
      <c r="G3745" s="2" t="s">
        <v>11</v>
      </c>
      <c r="H3745" s="2">
        <v>52000000</v>
      </c>
      <c r="I3745" s="2">
        <v>6.3</v>
      </c>
      <c r="J3745" s="3">
        <v>180011740</v>
      </c>
      <c r="K3745">
        <f t="shared" si="124"/>
        <v>1.3775047412552699E-3</v>
      </c>
      <c r="R3745" s="12" t="str">
        <f ca="1">IFERROR(__xludf.DUMMYFUNCTION("""COMPUTED_VALUE"""),"Chuck &amp; Buck ")</f>
        <v>Chuck &amp; Buck </v>
      </c>
      <c r="S3745" s="12">
        <f t="shared" si="125"/>
        <v>-139462420</v>
      </c>
    </row>
    <row r="3746" spans="1:19" x14ac:dyDescent="0.3">
      <c r="A3746" s="2" t="s">
        <v>728</v>
      </c>
      <c r="B3746" s="2">
        <v>118</v>
      </c>
      <c r="C3746" s="3">
        <v>100659</v>
      </c>
      <c r="D3746" s="3" t="s">
        <v>5767</v>
      </c>
      <c r="E3746" s="2" t="s">
        <v>3125</v>
      </c>
      <c r="F3746" s="2" t="s">
        <v>10</v>
      </c>
      <c r="G3746" s="2" t="s">
        <v>11</v>
      </c>
      <c r="H3746" s="2">
        <v>18500000</v>
      </c>
      <c r="I3746" s="2">
        <v>7.7</v>
      </c>
      <c r="J3746" s="3">
        <v>180191634</v>
      </c>
      <c r="K3746">
        <f t="shared" si="124"/>
        <v>1.3775047412552699E-3</v>
      </c>
      <c r="R3746" s="12" t="str">
        <f ca="1">IFERROR(__xludf.DUMMYFUNCTION("""COMPUTED_VALUE"""),"American Desi ")</f>
        <v>American Desi </v>
      </c>
      <c r="S3746" s="12">
        <f t="shared" si="125"/>
        <v>-8498902</v>
      </c>
    </row>
    <row r="3747" spans="1:19" x14ac:dyDescent="0.3">
      <c r="A3747" s="2" t="s">
        <v>41</v>
      </c>
      <c r="B3747" s="2">
        <v>118</v>
      </c>
      <c r="C3747" s="3">
        <v>700000</v>
      </c>
      <c r="D3747" s="3" t="s">
        <v>5869</v>
      </c>
      <c r="E3747" s="2" t="s">
        <v>740</v>
      </c>
      <c r="F3747" s="2" t="s">
        <v>10</v>
      </c>
      <c r="G3747" s="2" t="s">
        <v>11</v>
      </c>
      <c r="H3747" s="2">
        <v>80000000</v>
      </c>
      <c r="I3747" s="2">
        <v>5.8</v>
      </c>
      <c r="J3747" s="3">
        <v>180965237</v>
      </c>
      <c r="K3747">
        <f t="shared" si="124"/>
        <v>1.3775047412552699E-3</v>
      </c>
      <c r="R3747" s="12" t="str">
        <f ca="1">IFERROR(__xludf.DUMMYFUNCTION("""COMPUTED_VALUE"""),"Cube ")</f>
        <v>Cube </v>
      </c>
      <c r="S3747" s="12">
        <f t="shared" si="125"/>
        <v>-2736635</v>
      </c>
    </row>
    <row r="3748" spans="1:19" x14ac:dyDescent="0.3">
      <c r="A3748" s="2" t="s">
        <v>104</v>
      </c>
      <c r="B3748" s="2">
        <v>163</v>
      </c>
      <c r="C3748" s="3">
        <v>52166</v>
      </c>
      <c r="D3748" s="3" t="s">
        <v>6266</v>
      </c>
      <c r="E3748" s="2" t="s">
        <v>801</v>
      </c>
      <c r="F3748" s="2" t="s">
        <v>10</v>
      </c>
      <c r="G3748" s="2" t="s">
        <v>504</v>
      </c>
      <c r="H3748" s="2">
        <v>70000000</v>
      </c>
      <c r="I3748" s="2">
        <v>7.6</v>
      </c>
      <c r="J3748" s="3">
        <v>181015141</v>
      </c>
      <c r="K3748">
        <f t="shared" si="124"/>
        <v>1.3775047412552699E-3</v>
      </c>
      <c r="R3748" s="12" t="str">
        <f ca="1">IFERROR(__xludf.DUMMYFUNCTION("""COMPUTED_VALUE"""),"Love and Other Catastrophes ")</f>
        <v>Love and Other Catastrophes </v>
      </c>
      <c r="S3748" s="12">
        <f t="shared" si="125"/>
        <v>-24472875</v>
      </c>
    </row>
    <row r="3749" spans="1:19" x14ac:dyDescent="0.3">
      <c r="A3749" s="2" t="s">
        <v>2830</v>
      </c>
      <c r="B3749" s="2">
        <v>96</v>
      </c>
      <c r="C3749" s="3">
        <v>375723</v>
      </c>
      <c r="D3749" s="3" t="s">
        <v>5910</v>
      </c>
      <c r="E3749" s="2" t="s">
        <v>2831</v>
      </c>
      <c r="F3749" s="2" t="s">
        <v>10</v>
      </c>
      <c r="G3749" s="2" t="s">
        <v>11</v>
      </c>
      <c r="H3749" s="2">
        <v>17000000</v>
      </c>
      <c r="I3749" s="2">
        <v>4.8</v>
      </c>
      <c r="J3749" s="3">
        <v>181166115</v>
      </c>
      <c r="K3749">
        <f t="shared" si="124"/>
        <v>1.3775047412552699E-3</v>
      </c>
      <c r="R3749" s="12" t="str">
        <f ca="1">IFERROR(__xludf.DUMMYFUNCTION("""COMPUTED_VALUE"""),"I Married a Strange Person! ")</f>
        <v>I Married a Strange Person! </v>
      </c>
      <c r="S3749" s="12">
        <f t="shared" si="125"/>
        <v>-10542591</v>
      </c>
    </row>
    <row r="3750" spans="1:19" x14ac:dyDescent="0.3">
      <c r="A3750" s="2" t="s">
        <v>4649</v>
      </c>
      <c r="B3750" s="2">
        <v>89</v>
      </c>
      <c r="C3750" s="3">
        <v>70100000</v>
      </c>
      <c r="D3750" s="3" t="s">
        <v>5849</v>
      </c>
      <c r="E3750" s="2" t="s">
        <v>4650</v>
      </c>
      <c r="F3750" s="2" t="s">
        <v>10</v>
      </c>
      <c r="G3750" s="2" t="s">
        <v>11</v>
      </c>
      <c r="H3750" s="2">
        <v>5000000</v>
      </c>
      <c r="I3750" s="2">
        <v>6.2</v>
      </c>
      <c r="J3750" s="3">
        <v>181360000</v>
      </c>
      <c r="K3750">
        <f t="shared" si="124"/>
        <v>1.3775047412552699E-3</v>
      </c>
      <c r="R3750" s="12" t="str">
        <f ca="1">IFERROR(__xludf.DUMMYFUNCTION("""COMPUTED_VALUE"""),"November ")</f>
        <v>November </v>
      </c>
      <c r="S3750" s="12">
        <f t="shared" si="125"/>
        <v>42885635</v>
      </c>
    </row>
    <row r="3751" spans="1:19" x14ac:dyDescent="0.3">
      <c r="A3751" s="2" t="s">
        <v>2133</v>
      </c>
      <c r="B3751" s="2">
        <v>119</v>
      </c>
      <c r="C3751" s="3">
        <v>7219578</v>
      </c>
      <c r="D3751" s="3" t="s">
        <v>6207</v>
      </c>
      <c r="E3751" s="2" t="s">
        <v>2134</v>
      </c>
      <c r="F3751" s="2" t="s">
        <v>10</v>
      </c>
      <c r="G3751" s="2" t="s">
        <v>11</v>
      </c>
      <c r="H3751" s="2">
        <v>32000000</v>
      </c>
      <c r="I3751" s="2">
        <v>6.3</v>
      </c>
      <c r="J3751" s="3">
        <v>181395380</v>
      </c>
      <c r="K3751">
        <f t="shared" si="124"/>
        <v>1.3775047412552699E-3</v>
      </c>
      <c r="R3751" s="12" t="str">
        <f ca="1">IFERROR(__xludf.DUMMYFUNCTION("""COMPUTED_VALUE"""),"Like Crazy ")</f>
        <v>Like Crazy </v>
      </c>
      <c r="S3751" s="12">
        <f t="shared" si="125"/>
        <v>-52463233</v>
      </c>
    </row>
    <row r="3752" spans="1:19" x14ac:dyDescent="0.3">
      <c r="A3752" s="2" t="s">
        <v>146</v>
      </c>
      <c r="B3752" s="2">
        <v>132</v>
      </c>
      <c r="C3752" s="3">
        <v>2221809</v>
      </c>
      <c r="D3752" s="3" t="s">
        <v>520</v>
      </c>
      <c r="E3752" s="2" t="s">
        <v>147</v>
      </c>
      <c r="F3752" s="2" t="s">
        <v>10</v>
      </c>
      <c r="G3752" s="2" t="s">
        <v>11</v>
      </c>
      <c r="H3752" s="2">
        <v>170000000</v>
      </c>
      <c r="I3752" s="2">
        <v>6.1</v>
      </c>
      <c r="J3752" s="3">
        <v>182204440</v>
      </c>
      <c r="K3752">
        <f t="shared" si="124"/>
        <v>1.3775047412552699E-3</v>
      </c>
      <c r="R3752" s="12" t="str">
        <f ca="1">IFERROR(__xludf.DUMMYFUNCTION("""COMPUTED_VALUE"""),"Sugar Town ")</f>
        <v>Sugar Town </v>
      </c>
      <c r="S3752" s="12">
        <f t="shared" si="125"/>
        <v>-177792025</v>
      </c>
    </row>
    <row r="3753" spans="1:19" x14ac:dyDescent="0.3">
      <c r="A3753" s="2" t="s">
        <v>234</v>
      </c>
      <c r="B3753" s="2">
        <v>119</v>
      </c>
      <c r="C3753" s="3">
        <v>127437</v>
      </c>
      <c r="D3753" s="3" t="s">
        <v>6245</v>
      </c>
      <c r="E3753" s="2" t="s">
        <v>235</v>
      </c>
      <c r="F3753" s="2" t="s">
        <v>10</v>
      </c>
      <c r="G3753" s="2" t="s">
        <v>11</v>
      </c>
      <c r="H3753" s="2">
        <v>150000000</v>
      </c>
      <c r="I3753" s="2">
        <v>5.8</v>
      </c>
      <c r="J3753" s="3">
        <v>182618434</v>
      </c>
      <c r="K3753">
        <f t="shared" si="124"/>
        <v>1.3775047412552699E-3</v>
      </c>
      <c r="R3753" s="12" t="str">
        <f ca="1">IFERROR(__xludf.DUMMYFUNCTION("""COMPUTED_VALUE"""),"The Canyons ")</f>
        <v>The Canyons </v>
      </c>
      <c r="S3753" s="12">
        <f t="shared" si="125"/>
        <v>25003149</v>
      </c>
    </row>
    <row r="3754" spans="1:19" x14ac:dyDescent="0.3">
      <c r="A3754" s="2" t="s">
        <v>917</v>
      </c>
      <c r="B3754" s="2">
        <v>114</v>
      </c>
      <c r="C3754" s="3">
        <v>2203641</v>
      </c>
      <c r="D3754" s="3" t="s">
        <v>6500</v>
      </c>
      <c r="E3754" s="2" t="s">
        <v>2761</v>
      </c>
      <c r="F3754" s="2" t="s">
        <v>10</v>
      </c>
      <c r="G3754" s="2" t="s">
        <v>11</v>
      </c>
      <c r="H3754" s="2">
        <v>25000000</v>
      </c>
      <c r="I3754" s="2">
        <v>6.8</v>
      </c>
      <c r="J3754" s="3">
        <v>182805123</v>
      </c>
      <c r="K3754">
        <f t="shared" si="124"/>
        <v>1.3775047412552699E-3</v>
      </c>
      <c r="R3754" s="12" t="str">
        <f ca="1">IFERROR(__xludf.DUMMYFUNCTION("""COMPUTED_VALUE"""),"The Sticky Fingers of Time ")</f>
        <v>The Sticky Fingers of Time </v>
      </c>
      <c r="S3754" s="12">
        <f t="shared" si="125"/>
        <v>-157100</v>
      </c>
    </row>
    <row r="3755" spans="1:19" x14ac:dyDescent="0.3">
      <c r="A3755" s="2" t="s">
        <v>714</v>
      </c>
      <c r="B3755" s="2">
        <v>172</v>
      </c>
      <c r="C3755" s="3">
        <v>1550000</v>
      </c>
      <c r="D3755" s="3" t="s">
        <v>6245</v>
      </c>
      <c r="E3755" s="2" t="s">
        <v>1290</v>
      </c>
      <c r="F3755" s="2" t="s">
        <v>10</v>
      </c>
      <c r="G3755" s="2" t="s">
        <v>11</v>
      </c>
      <c r="H3755" s="2">
        <v>55000000</v>
      </c>
      <c r="I3755" s="2">
        <v>5.9</v>
      </c>
      <c r="J3755" s="3">
        <v>183132370</v>
      </c>
      <c r="K3755">
        <f t="shared" si="124"/>
        <v>1.3775047412552699E-3</v>
      </c>
      <c r="R3755" s="12" t="str">
        <f ca="1">IFERROR(__xludf.DUMMYFUNCTION("""COMPUTED_VALUE"""),"Burn ")</f>
        <v>Burn </v>
      </c>
      <c r="S3755" s="12">
        <f t="shared" si="125"/>
        <v>-19620878</v>
      </c>
    </row>
    <row r="3756" spans="1:19" x14ac:dyDescent="0.3">
      <c r="A3756" s="2" t="s">
        <v>114</v>
      </c>
      <c r="B3756" s="2">
        <v>108</v>
      </c>
      <c r="C3756" s="3">
        <v>542860</v>
      </c>
      <c r="D3756" s="3" t="s">
        <v>6245</v>
      </c>
      <c r="E3756" s="2" t="s">
        <v>1663</v>
      </c>
      <c r="F3756" s="2" t="s">
        <v>10</v>
      </c>
      <c r="G3756" s="2" t="s">
        <v>11</v>
      </c>
      <c r="H3756" s="2">
        <v>40000000</v>
      </c>
      <c r="I3756" s="2">
        <v>7.8</v>
      </c>
      <c r="J3756" s="3">
        <v>183405771</v>
      </c>
      <c r="K3756">
        <f t="shared" si="124"/>
        <v>1.3775047412552699E-3</v>
      </c>
      <c r="R3756" s="12" t="str">
        <f ca="1">IFERROR(__xludf.DUMMYFUNCTION("""COMPUTED_VALUE"""),"Urbania ")</f>
        <v>Urbania </v>
      </c>
      <c r="S3756" s="12">
        <f t="shared" si="125"/>
        <v>32839525</v>
      </c>
    </row>
    <row r="3757" spans="1:19" x14ac:dyDescent="0.3">
      <c r="A3757" s="2" t="s">
        <v>2810</v>
      </c>
      <c r="B3757" s="2">
        <v>116</v>
      </c>
      <c r="C3757" s="3">
        <v>18947630</v>
      </c>
      <c r="D3757" s="3" t="s">
        <v>5940</v>
      </c>
      <c r="E3757" s="2" t="s">
        <v>2811</v>
      </c>
      <c r="F3757" s="2" t="s">
        <v>751</v>
      </c>
      <c r="G3757" s="2" t="s">
        <v>504</v>
      </c>
      <c r="H3757" s="2">
        <v>22000000</v>
      </c>
      <c r="I3757" s="2">
        <v>7.8</v>
      </c>
      <c r="J3757" s="3">
        <v>183436380</v>
      </c>
      <c r="K3757">
        <f t="shared" si="124"/>
        <v>1.3775047412552699E-3</v>
      </c>
      <c r="R3757" s="12" t="str">
        <f ca="1">IFERROR(__xludf.DUMMYFUNCTION("""COMPUTED_VALUE"""),"The Beast from 20,000 Fathoms ")</f>
        <v>The Beast from 20,000 Fathoms </v>
      </c>
      <c r="S3757" s="12">
        <f t="shared" si="125"/>
        <v>-69922499</v>
      </c>
    </row>
    <row r="3758" spans="1:19" x14ac:dyDescent="0.3">
      <c r="A3758" s="2" t="s">
        <v>5421</v>
      </c>
      <c r="B3758" s="2">
        <v>88</v>
      </c>
      <c r="C3758" s="3">
        <v>99462</v>
      </c>
      <c r="D3758" s="3" t="s">
        <v>6026</v>
      </c>
      <c r="E3758" s="2" t="s">
        <v>5422</v>
      </c>
      <c r="F3758" s="2" t="s">
        <v>10</v>
      </c>
      <c r="G3758" s="2" t="s">
        <v>11</v>
      </c>
      <c r="H3758" s="2">
        <v>850000</v>
      </c>
      <c r="I3758" s="2">
        <v>6</v>
      </c>
      <c r="J3758" s="3">
        <v>183635922</v>
      </c>
      <c r="K3758">
        <f t="shared" si="124"/>
        <v>1.3775047412552699E-3</v>
      </c>
      <c r="R3758" s="12" t="str">
        <f ca="1">IFERROR(__xludf.DUMMYFUNCTION("""COMPUTED_VALUE"""),"Swingers ")</f>
        <v>Swingers </v>
      </c>
      <c r="S3758" s="12">
        <f t="shared" si="125"/>
        <v>32304950</v>
      </c>
    </row>
    <row r="3759" spans="1:19" x14ac:dyDescent="0.3">
      <c r="A3759" s="2" t="s">
        <v>131</v>
      </c>
      <c r="B3759" s="2">
        <v>106</v>
      </c>
      <c r="C3759" s="3">
        <v>8373585</v>
      </c>
      <c r="D3759" s="3" t="s">
        <v>6163</v>
      </c>
      <c r="E3759" s="2" t="s">
        <v>174</v>
      </c>
      <c r="F3759" s="2" t="s">
        <v>10</v>
      </c>
      <c r="G3759" s="2" t="s">
        <v>11</v>
      </c>
      <c r="H3759" s="2">
        <v>38000000</v>
      </c>
      <c r="I3759" s="2">
        <v>6.7</v>
      </c>
      <c r="J3759" s="3">
        <v>183875760</v>
      </c>
      <c r="K3759">
        <f t="shared" si="124"/>
        <v>1.3775047412552699E-3</v>
      </c>
      <c r="R3759" s="12" t="str">
        <f ca="1">IFERROR(__xludf.DUMMYFUNCTION("""COMPUTED_VALUE"""),"A Fistful of Dollars ")</f>
        <v>A Fistful of Dollars </v>
      </c>
      <c r="S3759" s="12">
        <f t="shared" si="125"/>
        <v>-38952671</v>
      </c>
    </row>
    <row r="3760" spans="1:19" x14ac:dyDescent="0.3">
      <c r="A3760" s="2" t="s">
        <v>4174</v>
      </c>
      <c r="B3760" s="2">
        <v>110</v>
      </c>
      <c r="C3760" s="3">
        <v>279282</v>
      </c>
      <c r="D3760" s="3" t="s">
        <v>520</v>
      </c>
      <c r="E3760" s="2" t="s">
        <v>5289</v>
      </c>
      <c r="F3760" s="2" t="s">
        <v>10</v>
      </c>
      <c r="G3760" s="2" t="s">
        <v>16</v>
      </c>
      <c r="H3760" s="2">
        <v>1100000</v>
      </c>
      <c r="I3760" s="2">
        <v>7.3</v>
      </c>
      <c r="J3760" s="3">
        <v>184031112</v>
      </c>
      <c r="K3760">
        <f t="shared" si="124"/>
        <v>1.3775047412552699E-3</v>
      </c>
      <c r="R3760" s="12" t="str">
        <f ca="1">IFERROR(__xludf.DUMMYFUNCTION("""COMPUTED_VALUE"""),"Short Cut to Nirvana: Kumbh Mela ")</f>
        <v>Short Cut to Nirvana: Kumbh Mela </v>
      </c>
      <c r="S3760" s="12">
        <f t="shared" si="125"/>
        <v>-2899325</v>
      </c>
    </row>
    <row r="3761" spans="1:19" x14ac:dyDescent="0.3">
      <c r="A3761" s="2" t="s">
        <v>808</v>
      </c>
      <c r="B3761" s="2">
        <v>91</v>
      </c>
      <c r="C3761" s="3">
        <v>32055248</v>
      </c>
      <c r="D3761" s="3" t="s">
        <v>6357</v>
      </c>
      <c r="E3761" s="2" t="s">
        <v>809</v>
      </c>
      <c r="F3761" s="2" t="s">
        <v>10</v>
      </c>
      <c r="G3761" s="2" t="s">
        <v>11</v>
      </c>
      <c r="H3761" s="2">
        <v>75000000</v>
      </c>
      <c r="I3761" s="2">
        <v>6.6</v>
      </c>
      <c r="J3761" s="3">
        <v>184208848</v>
      </c>
      <c r="K3761">
        <f t="shared" si="124"/>
        <v>1.3775047412552699E-3</v>
      </c>
      <c r="R3761" s="12" t="str">
        <f ca="1">IFERROR(__xludf.DUMMYFUNCTION("""COMPUTED_VALUE"""),"The Grace Card ")</f>
        <v>The Grace Card </v>
      </c>
      <c r="S3761" s="12">
        <f t="shared" si="125"/>
        <v>-21719423</v>
      </c>
    </row>
    <row r="3762" spans="1:19" x14ac:dyDescent="0.3">
      <c r="A3762" s="2" t="s">
        <v>2368</v>
      </c>
      <c r="B3762" s="2">
        <v>94</v>
      </c>
      <c r="C3762" s="3">
        <v>121945720</v>
      </c>
      <c r="D3762" s="3" t="s">
        <v>6501</v>
      </c>
      <c r="E3762" s="2" t="s">
        <v>2369</v>
      </c>
      <c r="F3762" s="2" t="s">
        <v>10</v>
      </c>
      <c r="G3762" s="2" t="s">
        <v>11</v>
      </c>
      <c r="H3762" s="2">
        <v>29000000</v>
      </c>
      <c r="I3762" s="2">
        <v>7.1</v>
      </c>
      <c r="J3762" s="3">
        <v>184925485</v>
      </c>
      <c r="K3762">
        <f t="shared" si="124"/>
        <v>1.3775047412552699E-3</v>
      </c>
      <c r="R3762" s="12" t="str">
        <f ca="1">IFERROR(__xludf.DUMMYFUNCTION("""COMPUTED_VALUE"""),"Middle of Nowhere ")</f>
        <v>Middle of Nowhere </v>
      </c>
      <c r="S3762" s="12">
        <f t="shared" si="125"/>
        <v>-38434505</v>
      </c>
    </row>
    <row r="3763" spans="1:19" x14ac:dyDescent="0.3">
      <c r="A3763" s="2" t="s">
        <v>1170</v>
      </c>
      <c r="B3763" s="2">
        <v>105</v>
      </c>
      <c r="C3763" s="3">
        <v>178739</v>
      </c>
      <c r="D3763" s="3" t="s">
        <v>5892</v>
      </c>
      <c r="E3763" s="2" t="s">
        <v>1875</v>
      </c>
      <c r="F3763" s="2" t="s">
        <v>10</v>
      </c>
      <c r="G3763" s="2" t="s">
        <v>11</v>
      </c>
      <c r="H3763" s="2">
        <v>57000000</v>
      </c>
      <c r="I3763" s="2">
        <v>6.2</v>
      </c>
      <c r="J3763" s="3">
        <v>186336103</v>
      </c>
      <c r="K3763">
        <f t="shared" si="124"/>
        <v>1.3775047412552699E-3</v>
      </c>
      <c r="R3763" s="12" t="str">
        <f ca="1">IFERROR(__xludf.DUMMYFUNCTION("""COMPUTED_VALUE"""),"The Business of Fancydancing ")</f>
        <v>The Business of Fancydancing </v>
      </c>
      <c r="S3763" s="12">
        <f t="shared" si="125"/>
        <v>-11995244</v>
      </c>
    </row>
    <row r="3764" spans="1:19" x14ac:dyDescent="0.3">
      <c r="A3764" s="2" t="s">
        <v>2925</v>
      </c>
      <c r="B3764" s="2">
        <v>90</v>
      </c>
      <c r="C3764" s="3">
        <v>126387</v>
      </c>
      <c r="D3764" s="3" t="s">
        <v>6188</v>
      </c>
      <c r="E3764" s="2" t="s">
        <v>2926</v>
      </c>
      <c r="F3764" s="2" t="s">
        <v>10</v>
      </c>
      <c r="G3764" s="2" t="s">
        <v>11</v>
      </c>
      <c r="H3764" s="2">
        <v>19000000</v>
      </c>
      <c r="I3764" s="2">
        <v>6.3</v>
      </c>
      <c r="J3764" s="3">
        <v>186739919</v>
      </c>
      <c r="K3764">
        <f t="shared" si="124"/>
        <v>1.3775047412552699E-3</v>
      </c>
      <c r="R3764" s="12" t="str">
        <f ca="1">IFERROR(__xludf.DUMMYFUNCTION("""COMPUTED_VALUE"""),"Call + Response ")</f>
        <v>Call + Response </v>
      </c>
      <c r="S3764" s="12">
        <f t="shared" si="125"/>
        <v>9570001</v>
      </c>
    </row>
    <row r="3765" spans="1:19" x14ac:dyDescent="0.3">
      <c r="A3765" s="2" t="s">
        <v>304</v>
      </c>
      <c r="B3765" s="2">
        <v>115</v>
      </c>
      <c r="C3765" s="3">
        <v>119922</v>
      </c>
      <c r="D3765" s="3" t="s">
        <v>6502</v>
      </c>
      <c r="E3765" s="2" t="s">
        <v>503</v>
      </c>
      <c r="F3765" s="2" t="s">
        <v>10</v>
      </c>
      <c r="G3765" s="2" t="s">
        <v>504</v>
      </c>
      <c r="H3765" s="2">
        <v>100000000</v>
      </c>
      <c r="I3765" s="2">
        <v>6.9</v>
      </c>
      <c r="J3765" s="3">
        <v>186830669</v>
      </c>
      <c r="K3765">
        <f t="shared" si="124"/>
        <v>1.3775047412552699E-3</v>
      </c>
      <c r="R3765" s="12" t="str">
        <f ca="1">IFERROR(__xludf.DUMMYFUNCTION("""COMPUTED_VALUE"""),"The Trials of Darryl Hunt ")</f>
        <v>The Trials of Darryl Hunt </v>
      </c>
      <c r="S3765" s="12">
        <f t="shared" si="125"/>
        <v>-14951570</v>
      </c>
    </row>
    <row r="3766" spans="1:19" x14ac:dyDescent="0.3">
      <c r="A3766" s="2" t="s">
        <v>781</v>
      </c>
      <c r="B3766" s="2">
        <v>105</v>
      </c>
      <c r="C3766" s="3">
        <v>151389</v>
      </c>
      <c r="D3766" s="3" t="s">
        <v>520</v>
      </c>
      <c r="E3766" s="2" t="s">
        <v>938</v>
      </c>
      <c r="F3766" s="2" t="s">
        <v>10</v>
      </c>
      <c r="G3766" s="2" t="s">
        <v>11</v>
      </c>
      <c r="H3766" s="2">
        <v>69000000</v>
      </c>
      <c r="I3766" s="2">
        <v>5.9</v>
      </c>
      <c r="J3766" s="3">
        <v>187165546</v>
      </c>
      <c r="K3766">
        <f t="shared" si="124"/>
        <v>1.3775047412552699E-3</v>
      </c>
      <c r="R3766" s="12" t="str">
        <f ca="1">IFERROR(__xludf.DUMMYFUNCTION("""COMPUTED_VALUE"""),"Children of Heaven ")</f>
        <v>Children of Heaven </v>
      </c>
      <c r="S3766" s="12">
        <f t="shared" si="125"/>
        <v>-403505</v>
      </c>
    </row>
    <row r="3767" spans="1:19" x14ac:dyDescent="0.3">
      <c r="A3767" s="2" t="s">
        <v>128</v>
      </c>
      <c r="B3767" s="2">
        <v>139</v>
      </c>
      <c r="C3767" s="3">
        <v>220914</v>
      </c>
      <c r="D3767" s="3" t="s">
        <v>5940</v>
      </c>
      <c r="E3767" s="2" t="s">
        <v>2064</v>
      </c>
      <c r="F3767" s="2" t="s">
        <v>10</v>
      </c>
      <c r="G3767" s="2" t="s">
        <v>11</v>
      </c>
      <c r="H3767" s="2">
        <v>30000000</v>
      </c>
      <c r="I3767" s="2">
        <v>7.2</v>
      </c>
      <c r="J3767" s="3">
        <v>187670866</v>
      </c>
      <c r="K3767">
        <f t="shared" si="124"/>
        <v>1.3775047412552699E-3</v>
      </c>
      <c r="R3767" s="12" t="str">
        <f ca="1">IFERROR(__xludf.DUMMYFUNCTION("""COMPUTED_VALUE"""),"Weekend ")</f>
        <v>Weekend </v>
      </c>
      <c r="S3767" s="12">
        <f t="shared" si="125"/>
        <v>-51771476</v>
      </c>
    </row>
    <row r="3768" spans="1:19" x14ac:dyDescent="0.3">
      <c r="A3768" s="2" t="s">
        <v>2887</v>
      </c>
      <c r="B3768" s="2">
        <v>72</v>
      </c>
      <c r="C3768" s="3">
        <v>27024</v>
      </c>
      <c r="D3768" s="3" t="s">
        <v>5849</v>
      </c>
      <c r="E3768" s="2" t="s">
        <v>2888</v>
      </c>
      <c r="F3768" s="2" t="s">
        <v>10</v>
      </c>
      <c r="G3768" s="2" t="s">
        <v>11</v>
      </c>
      <c r="H3768" s="2">
        <v>20000000</v>
      </c>
      <c r="I3768" s="2">
        <v>5.8</v>
      </c>
      <c r="J3768" s="3">
        <v>187991439</v>
      </c>
      <c r="K3768">
        <f t="shared" si="124"/>
        <v>1.3775047412552699E-3</v>
      </c>
      <c r="R3768" s="12" t="str">
        <f ca="1">IFERROR(__xludf.DUMMYFUNCTION("""COMPUTED_VALUE"""),"She's Gotta Have It ")</f>
        <v>She's Gotta Have It </v>
      </c>
      <c r="S3768" s="12">
        <f t="shared" si="125"/>
        <v>-18399341</v>
      </c>
    </row>
    <row r="3769" spans="1:19" x14ac:dyDescent="0.3">
      <c r="A3769" s="2" t="s">
        <v>5549</v>
      </c>
      <c r="B3769" s="2">
        <v>96</v>
      </c>
      <c r="C3769" s="3">
        <v>24784</v>
      </c>
      <c r="D3769" s="3" t="s">
        <v>5849</v>
      </c>
      <c r="E3769" s="2" t="s">
        <v>5550</v>
      </c>
      <c r="F3769" s="2" t="s">
        <v>10</v>
      </c>
      <c r="G3769" s="2" t="s">
        <v>11</v>
      </c>
      <c r="H3769" s="3">
        <v>474544677</v>
      </c>
      <c r="I3769" s="2">
        <v>4.7</v>
      </c>
      <c r="J3769" s="3">
        <v>189412677</v>
      </c>
      <c r="K3769">
        <f t="shared" si="124"/>
        <v>1.3775047412552699E-3</v>
      </c>
      <c r="R3769" s="12" t="str">
        <f ca="1">IFERROR(__xludf.DUMMYFUNCTION("""COMPUTED_VALUE"""),"Another Earth ")</f>
        <v>Another Earth </v>
      </c>
      <c r="S3769" s="12">
        <f t="shared" si="125"/>
        <v>-79300000</v>
      </c>
    </row>
    <row r="3770" spans="1:19" x14ac:dyDescent="0.3">
      <c r="A3770" s="2" t="s">
        <v>958</v>
      </c>
      <c r="B3770" s="2">
        <v>105</v>
      </c>
      <c r="C3770" s="3">
        <v>71442</v>
      </c>
      <c r="D3770" s="3" t="s">
        <v>885</v>
      </c>
      <c r="E3770" s="2" t="s">
        <v>994</v>
      </c>
      <c r="F3770" s="2" t="s">
        <v>10</v>
      </c>
      <c r="G3770" s="2" t="s">
        <v>504</v>
      </c>
      <c r="H3770" s="2">
        <v>65000000</v>
      </c>
      <c r="I3770" s="2">
        <v>5</v>
      </c>
      <c r="J3770" s="3">
        <v>190418803</v>
      </c>
      <c r="K3770">
        <f t="shared" si="124"/>
        <v>1.3775047412552699E-3</v>
      </c>
      <c r="R3770" s="12" t="str">
        <f ca="1">IFERROR(__xludf.DUMMYFUNCTION("""COMPUTED_VALUE"""),"Sweet Sweetback's Baadasssss Song ")</f>
        <v>Sweet Sweetback's Baadasssss Song </v>
      </c>
      <c r="S3770" s="12">
        <f t="shared" si="125"/>
        <v>-69947834</v>
      </c>
    </row>
    <row r="3771" spans="1:19" x14ac:dyDescent="0.3">
      <c r="A3771" s="2" t="s">
        <v>3560</v>
      </c>
      <c r="B3771" s="2">
        <v>110</v>
      </c>
      <c r="C3771" s="3">
        <v>155984</v>
      </c>
      <c r="D3771" s="3" t="s">
        <v>5869</v>
      </c>
      <c r="E3771" s="2" t="s">
        <v>3561</v>
      </c>
      <c r="F3771" s="2" t="s">
        <v>3562</v>
      </c>
      <c r="G3771" s="2" t="s">
        <v>3563</v>
      </c>
      <c r="H3771" s="2">
        <v>300000000</v>
      </c>
      <c r="I3771" s="2">
        <v>6.2</v>
      </c>
      <c r="J3771" s="3">
        <v>190871240</v>
      </c>
      <c r="K3771">
        <f t="shared" si="124"/>
        <v>1.3775047412552699E-3</v>
      </c>
      <c r="R3771" s="12" t="str">
        <f ca="1">IFERROR(__xludf.DUMMYFUNCTION("""COMPUTED_VALUE"""),"Tadpole ")</f>
        <v>Tadpole </v>
      </c>
      <c r="S3771" s="12">
        <f t="shared" si="125"/>
        <v>-16624277</v>
      </c>
    </row>
    <row r="3772" spans="1:19" x14ac:dyDescent="0.3">
      <c r="A3772" s="2" t="s">
        <v>1204</v>
      </c>
      <c r="B3772" s="2">
        <v>90</v>
      </c>
      <c r="C3772" s="3">
        <v>13008928</v>
      </c>
      <c r="D3772" s="3" t="s">
        <v>6424</v>
      </c>
      <c r="E3772" s="2" t="s">
        <v>1768</v>
      </c>
      <c r="F3772" s="2" t="s">
        <v>10</v>
      </c>
      <c r="G3772" s="2" t="s">
        <v>11</v>
      </c>
      <c r="H3772" s="2">
        <v>40000000</v>
      </c>
      <c r="I3772" s="2">
        <v>5.3</v>
      </c>
      <c r="J3772" s="3">
        <v>191449475</v>
      </c>
      <c r="K3772">
        <f t="shared" si="124"/>
        <v>1.3775047412552699E-3</v>
      </c>
      <c r="R3772" s="12" t="str">
        <f ca="1">IFERROR(__xludf.DUMMYFUNCTION("""COMPUTED_VALUE"""),"Once ")</f>
        <v>Once </v>
      </c>
      <c r="S3772" s="12">
        <f t="shared" si="125"/>
        <v>65100000</v>
      </c>
    </row>
    <row r="3773" spans="1:19" x14ac:dyDescent="0.3">
      <c r="A3773" s="2" t="s">
        <v>1081</v>
      </c>
      <c r="B3773" s="2">
        <v>128</v>
      </c>
      <c r="C3773" s="3">
        <v>11278</v>
      </c>
      <c r="D3773" s="3" t="s">
        <v>520</v>
      </c>
      <c r="E3773" s="2" t="s">
        <v>1279</v>
      </c>
      <c r="F3773" s="2" t="s">
        <v>10</v>
      </c>
      <c r="G3773" s="2" t="s">
        <v>199</v>
      </c>
      <c r="H3773" s="2">
        <v>55000000</v>
      </c>
      <c r="I3773" s="2">
        <v>6.2</v>
      </c>
      <c r="J3773" s="3">
        <v>191450875</v>
      </c>
      <c r="K3773">
        <f t="shared" si="124"/>
        <v>1.3775047412552699E-3</v>
      </c>
      <c r="R3773" s="12" t="str">
        <f ca="1">IFERROR(__xludf.DUMMYFUNCTION("""COMPUTED_VALUE"""),"The Woman Chaser ")</f>
        <v>The Woman Chaser </v>
      </c>
      <c r="S3773" s="12">
        <f t="shared" si="125"/>
        <v>-24780422</v>
      </c>
    </row>
    <row r="3774" spans="1:19" x14ac:dyDescent="0.3">
      <c r="A3774" s="2" t="s">
        <v>67</v>
      </c>
      <c r="B3774" s="2">
        <v>119</v>
      </c>
      <c r="C3774" s="3">
        <v>5518918</v>
      </c>
      <c r="D3774" s="3" t="s">
        <v>6102</v>
      </c>
      <c r="E3774" s="2" t="s">
        <v>449</v>
      </c>
      <c r="F3774" s="2" t="s">
        <v>10</v>
      </c>
      <c r="G3774" s="2" t="s">
        <v>11</v>
      </c>
      <c r="H3774" s="2">
        <v>100000000</v>
      </c>
      <c r="I3774" s="2">
        <v>5.7</v>
      </c>
      <c r="J3774" s="3">
        <v>191616238</v>
      </c>
      <c r="K3774">
        <f t="shared" si="124"/>
        <v>1.3775047412552699E-3</v>
      </c>
      <c r="R3774" s="12" t="str">
        <f ca="1">IFERROR(__xludf.DUMMYFUNCTION("""COMPUTED_VALUE"""),"The Horse Boy ")</f>
        <v>The Horse Boy </v>
      </c>
      <c r="S3774" s="12">
        <f t="shared" si="125"/>
        <v>-167778191</v>
      </c>
    </row>
    <row r="3775" spans="1:19" x14ac:dyDescent="0.3">
      <c r="A3775" s="2" t="s">
        <v>1113</v>
      </c>
      <c r="B3775" s="2">
        <v>93</v>
      </c>
      <c r="C3775" s="3">
        <v>16377274</v>
      </c>
      <c r="D3775" s="3" t="s">
        <v>5940</v>
      </c>
      <c r="E3775" s="2" t="s">
        <v>1478</v>
      </c>
      <c r="F3775" s="2" t="s">
        <v>10</v>
      </c>
      <c r="G3775" s="2" t="s">
        <v>11</v>
      </c>
      <c r="H3775" s="2">
        <v>48000000</v>
      </c>
      <c r="I3775" s="2">
        <v>6</v>
      </c>
      <c r="J3775" s="3">
        <v>191796233</v>
      </c>
      <c r="K3775">
        <f t="shared" si="124"/>
        <v>1.3775047412552699E-3</v>
      </c>
      <c r="R3775" s="12" t="str">
        <f ca="1">IFERROR(__xludf.DUMMYFUNCTION("""COMPUTED_VALUE"""),"Antarctic Edge: 70° South ")</f>
        <v>Antarctic Edge: 70° South </v>
      </c>
      <c r="S3775" s="12">
        <f t="shared" si="125"/>
        <v>-149872563</v>
      </c>
    </row>
    <row r="3776" spans="1:19" x14ac:dyDescent="0.3">
      <c r="A3776" s="2" t="s">
        <v>1701</v>
      </c>
      <c r="B3776" s="2">
        <v>109</v>
      </c>
      <c r="C3776" s="3">
        <v>1150403</v>
      </c>
      <c r="D3776" s="3" t="s">
        <v>5940</v>
      </c>
      <c r="E3776" s="2" t="s">
        <v>2426</v>
      </c>
      <c r="F3776" s="2" t="s">
        <v>10</v>
      </c>
      <c r="G3776" s="2" t="s">
        <v>11</v>
      </c>
      <c r="H3776" s="2">
        <v>30000000</v>
      </c>
      <c r="I3776" s="2">
        <v>7.4</v>
      </c>
      <c r="J3776" s="3">
        <v>193136719</v>
      </c>
      <c r="K3776">
        <f t="shared" si="124"/>
        <v>1.3775047412552699E-3</v>
      </c>
      <c r="R3776" s="12" t="str">
        <f ca="1">IFERROR(__xludf.DUMMYFUNCTION("""COMPUTED_VALUE"""),"Top Spin ")</f>
        <v>Top Spin </v>
      </c>
      <c r="S3776" s="12">
        <f t="shared" si="125"/>
        <v>-22796359</v>
      </c>
    </row>
    <row r="3777" spans="1:19" x14ac:dyDescent="0.3">
      <c r="A3777" s="2" t="s">
        <v>628</v>
      </c>
      <c r="B3777" s="2">
        <v>73</v>
      </c>
      <c r="C3777" s="3">
        <v>56007</v>
      </c>
      <c r="D3777" s="3" t="s">
        <v>5849</v>
      </c>
      <c r="E3777" s="2" t="s">
        <v>755</v>
      </c>
      <c r="F3777" s="2" t="s">
        <v>10</v>
      </c>
      <c r="G3777" s="2" t="s">
        <v>11</v>
      </c>
      <c r="H3777" s="2">
        <v>45000000</v>
      </c>
      <c r="I3777" s="2">
        <v>8.5</v>
      </c>
      <c r="J3777" s="3">
        <v>195000874</v>
      </c>
      <c r="K3777">
        <f t="shared" si="124"/>
        <v>1.3775047412552699E-3</v>
      </c>
      <c r="R3777" s="12" t="str">
        <f ca="1">IFERROR(__xludf.DUMMYFUNCTION("""COMPUTED_VALUE"""),"Roger &amp; Me ")</f>
        <v>Roger &amp; Me </v>
      </c>
      <c r="S3777" s="12">
        <f t="shared" si="125"/>
        <v>-53450000</v>
      </c>
    </row>
    <row r="3778" spans="1:19" x14ac:dyDescent="0.3">
      <c r="A3778" s="2" t="s">
        <v>2945</v>
      </c>
      <c r="B3778" s="2">
        <v>103</v>
      </c>
      <c r="C3778" s="3">
        <v>1185783</v>
      </c>
      <c r="D3778" s="3" t="s">
        <v>5719</v>
      </c>
      <c r="E3778" s="2" t="s">
        <v>3138</v>
      </c>
      <c r="F3778" s="2" t="s">
        <v>10</v>
      </c>
      <c r="G3778" s="2" t="s">
        <v>11</v>
      </c>
      <c r="H3778" s="2">
        <v>17000000</v>
      </c>
      <c r="I3778" s="2">
        <v>6.3</v>
      </c>
      <c r="J3778" s="3">
        <v>195329763</v>
      </c>
      <c r="K3778">
        <f t="shared" ref="K3778:K3841" si="126">CORREL(H$2:H$3941,J$2:J$3941)</f>
        <v>1.3775047412552699E-3</v>
      </c>
      <c r="R3778" s="12" t="str">
        <f ca="1">IFERROR(__xludf.DUMMYFUNCTION("""COMPUTED_VALUE"""),"Your Sister's Sister ")</f>
        <v>Your Sister's Sister </v>
      </c>
      <c r="S3778" s="12">
        <f t="shared" si="125"/>
        <v>-39457140</v>
      </c>
    </row>
    <row r="3779" spans="1:19" x14ac:dyDescent="0.3">
      <c r="A3779" s="2" t="s">
        <v>404</v>
      </c>
      <c r="B3779" s="2">
        <v>100</v>
      </c>
      <c r="C3779" s="3">
        <v>406035</v>
      </c>
      <c r="D3779" s="3" t="s">
        <v>6503</v>
      </c>
      <c r="E3779" s="2" t="s">
        <v>5244</v>
      </c>
      <c r="F3779" s="2" t="s">
        <v>10</v>
      </c>
      <c r="G3779" s="2" t="s">
        <v>11</v>
      </c>
      <c r="H3779" s="2">
        <v>1200000</v>
      </c>
      <c r="I3779" s="2">
        <v>7.2</v>
      </c>
      <c r="J3779" s="3">
        <v>196573705</v>
      </c>
      <c r="K3779">
        <f t="shared" si="126"/>
        <v>1.3775047412552699E-3</v>
      </c>
      <c r="R3779" s="12" t="str">
        <f ca="1">IFERROR(__xludf.DUMMYFUNCTION("""COMPUTED_VALUE"""),"Facing the Giants ")</f>
        <v>Facing the Giants </v>
      </c>
      <c r="S3779" s="12">
        <f t="shared" si="125"/>
        <v>-3052370</v>
      </c>
    </row>
    <row r="3780" spans="1:19" x14ac:dyDescent="0.3">
      <c r="A3780" s="2" t="s">
        <v>1014</v>
      </c>
      <c r="B3780" s="2">
        <v>109</v>
      </c>
      <c r="C3780" s="3">
        <v>6830957</v>
      </c>
      <c r="D3780" s="3" t="s">
        <v>6207</v>
      </c>
      <c r="E3780" s="2" t="s">
        <v>2871</v>
      </c>
      <c r="F3780" s="2" t="s">
        <v>10</v>
      </c>
      <c r="G3780" s="2" t="s">
        <v>11</v>
      </c>
      <c r="H3780" s="2">
        <v>37000000</v>
      </c>
      <c r="I3780" s="2">
        <v>5.4</v>
      </c>
      <c r="J3780" s="3">
        <v>197171806</v>
      </c>
      <c r="K3780">
        <f t="shared" si="126"/>
        <v>1.3775047412552699E-3</v>
      </c>
      <c r="R3780" s="12" t="str">
        <f ca="1">IFERROR(__xludf.DUMMYFUNCTION("""COMPUTED_VALUE"""),"The Gallows ")</f>
        <v>The Gallows </v>
      </c>
      <c r="S3780" s="12">
        <f t="shared" si="125"/>
        <v>-750538</v>
      </c>
    </row>
    <row r="3781" spans="1:19" x14ac:dyDescent="0.3">
      <c r="A3781" s="2" t="s">
        <v>236</v>
      </c>
      <c r="B3781" s="2">
        <v>91</v>
      </c>
      <c r="C3781" s="3">
        <v>535249</v>
      </c>
      <c r="D3781" s="3" t="s">
        <v>885</v>
      </c>
      <c r="E3781" s="2" t="s">
        <v>237</v>
      </c>
      <c r="F3781" s="2" t="s">
        <v>10</v>
      </c>
      <c r="G3781" s="2" t="s">
        <v>11</v>
      </c>
      <c r="H3781" s="2">
        <v>150000000</v>
      </c>
      <c r="I3781" s="2">
        <v>6.2</v>
      </c>
      <c r="J3781" s="3">
        <v>197992827</v>
      </c>
      <c r="K3781">
        <f t="shared" si="126"/>
        <v>1.3775047412552699E-3</v>
      </c>
      <c r="R3781" s="12" t="str">
        <f ca="1">IFERROR(__xludf.DUMMYFUNCTION("""COMPUTED_VALUE"""),"Hollywood Shuffle ")</f>
        <v>Hollywood Shuffle </v>
      </c>
      <c r="S3781" s="12">
        <f t="shared" si="125"/>
        <v>-29626415</v>
      </c>
    </row>
    <row r="3782" spans="1:19" x14ac:dyDescent="0.3">
      <c r="A3782" s="2" t="s">
        <v>1308</v>
      </c>
      <c r="B3782" s="2">
        <v>84</v>
      </c>
      <c r="C3782" s="3">
        <v>19348</v>
      </c>
      <c r="D3782" s="3" t="s">
        <v>6209</v>
      </c>
      <c r="E3782" s="2" t="s">
        <v>3554</v>
      </c>
      <c r="F3782" s="2" t="s">
        <v>751</v>
      </c>
      <c r="G3782" s="2" t="s">
        <v>504</v>
      </c>
      <c r="H3782" s="2">
        <v>12000000</v>
      </c>
      <c r="I3782" s="2">
        <v>7.2</v>
      </c>
      <c r="J3782" s="3">
        <v>198332128</v>
      </c>
      <c r="K3782">
        <f t="shared" si="126"/>
        <v>1.3775047412552699E-3</v>
      </c>
      <c r="R3782" s="12" t="str">
        <f ca="1">IFERROR(__xludf.DUMMYFUNCTION("""COMPUTED_VALUE"""),"The Lost Skeleton of Cadavra ")</f>
        <v>The Lost Skeleton of Cadavra </v>
      </c>
      <c r="S3782" s="12">
        <f t="shared" si="125"/>
        <v>-820718</v>
      </c>
    </row>
    <row r="3783" spans="1:19" x14ac:dyDescent="0.3">
      <c r="A3783" s="2" t="s">
        <v>4814</v>
      </c>
      <c r="B3783" s="2">
        <v>99</v>
      </c>
      <c r="C3783" s="3">
        <v>38108</v>
      </c>
      <c r="D3783" s="3" t="s">
        <v>5950</v>
      </c>
      <c r="E3783" s="2" t="s">
        <v>4815</v>
      </c>
      <c r="F3783" s="2" t="s">
        <v>10</v>
      </c>
      <c r="G3783" s="2" t="s">
        <v>16</v>
      </c>
      <c r="H3783" s="2">
        <v>3000000</v>
      </c>
      <c r="I3783" s="2">
        <v>6.6</v>
      </c>
      <c r="J3783" s="3">
        <v>198539855</v>
      </c>
      <c r="K3783">
        <f t="shared" si="126"/>
        <v>1.3775047412552699E-3</v>
      </c>
      <c r="R3783" s="12" t="str">
        <f ca="1">IFERROR(__xludf.DUMMYFUNCTION("""COMPUTED_VALUE"""),"Cheap Thrills ")</f>
        <v>Cheap Thrills </v>
      </c>
      <c r="S3783" s="12">
        <f t="shared" si="125"/>
        <v>-42944752</v>
      </c>
    </row>
    <row r="3784" spans="1:19" x14ac:dyDescent="0.3">
      <c r="A3784" s="2" t="s">
        <v>3433</v>
      </c>
      <c r="B3784" s="2">
        <v>126</v>
      </c>
      <c r="C3784" s="3">
        <v>90567722</v>
      </c>
      <c r="D3784" s="3" t="s">
        <v>5350</v>
      </c>
      <c r="E3784" s="2" t="s">
        <v>3434</v>
      </c>
      <c r="F3784" s="2" t="s">
        <v>10</v>
      </c>
      <c r="G3784" s="2" t="s">
        <v>11</v>
      </c>
      <c r="H3784" s="2">
        <v>15000000</v>
      </c>
      <c r="I3784" s="2">
        <v>7.6</v>
      </c>
      <c r="J3784" s="3">
        <v>198655278</v>
      </c>
      <c r="K3784">
        <f t="shared" si="126"/>
        <v>1.3775047412552699E-3</v>
      </c>
      <c r="R3784" s="12" t="str">
        <f ca="1">IFERROR(__xludf.DUMMYFUNCTION("""COMPUTED_VALUE"""),"Pi ")</f>
        <v>Pi </v>
      </c>
      <c r="S3784" s="12">
        <f t="shared" si="125"/>
        <v>92945720</v>
      </c>
    </row>
    <row r="3785" spans="1:19" x14ac:dyDescent="0.3">
      <c r="A3785" s="2" t="s">
        <v>4126</v>
      </c>
      <c r="B3785" s="2">
        <v>86</v>
      </c>
      <c r="C3785" s="3">
        <v>2964</v>
      </c>
      <c r="D3785" s="3" t="s">
        <v>6128</v>
      </c>
      <c r="E3785" s="2" t="s">
        <v>4127</v>
      </c>
      <c r="F3785" s="2" t="s">
        <v>10</v>
      </c>
      <c r="G3785" s="2" t="s">
        <v>16</v>
      </c>
      <c r="H3785" s="2">
        <v>10000000</v>
      </c>
      <c r="I3785" s="2">
        <v>6.2</v>
      </c>
      <c r="J3785" s="3">
        <v>200069408</v>
      </c>
      <c r="K3785">
        <f t="shared" si="126"/>
        <v>1.3775047412552699E-3</v>
      </c>
      <c r="R3785" s="12" t="str">
        <f ca="1">IFERROR(__xludf.DUMMYFUNCTION("""COMPUTED_VALUE"""),"20 Dates ")</f>
        <v>20 Dates </v>
      </c>
      <c r="S3785" s="12">
        <f t="shared" si="125"/>
        <v>-56821261</v>
      </c>
    </row>
    <row r="3786" spans="1:19" x14ac:dyDescent="0.3">
      <c r="A3786" s="2" t="s">
        <v>2880</v>
      </c>
      <c r="B3786" s="2">
        <v>110</v>
      </c>
      <c r="C3786" s="3">
        <v>721</v>
      </c>
      <c r="D3786" s="3" t="s">
        <v>5940</v>
      </c>
      <c r="E3786" s="2" t="s">
        <v>2881</v>
      </c>
      <c r="F3786" s="2" t="s">
        <v>10</v>
      </c>
      <c r="G3786" s="2" t="s">
        <v>16</v>
      </c>
      <c r="H3786" s="2">
        <v>20000000</v>
      </c>
      <c r="I3786" s="2">
        <v>7.6</v>
      </c>
      <c r="J3786" s="3">
        <v>200074175</v>
      </c>
      <c r="K3786">
        <f t="shared" si="126"/>
        <v>1.3775047412552699E-3</v>
      </c>
      <c r="R3786" s="12" t="str">
        <f ca="1">IFERROR(__xludf.DUMMYFUNCTION("""COMPUTED_VALUE"""),"Super Size Me ")</f>
        <v>Super Size Me </v>
      </c>
      <c r="S3786" s="12">
        <f t="shared" si="125"/>
        <v>-18873613</v>
      </c>
    </row>
    <row r="3787" spans="1:19" x14ac:dyDescent="0.3">
      <c r="A3787" s="2" t="s">
        <v>1026</v>
      </c>
      <c r="B3787" s="2">
        <v>91</v>
      </c>
      <c r="C3787" s="3">
        <v>2245</v>
      </c>
      <c r="D3787" s="3" t="s">
        <v>6245</v>
      </c>
      <c r="E3787" s="2" t="s">
        <v>3816</v>
      </c>
      <c r="F3787" s="2" t="s">
        <v>10</v>
      </c>
      <c r="G3787" s="2" t="s">
        <v>11</v>
      </c>
      <c r="H3787" s="2">
        <v>12000000</v>
      </c>
      <c r="I3787" s="2">
        <v>5.3</v>
      </c>
      <c r="J3787" s="3">
        <v>200807262</v>
      </c>
      <c r="K3787">
        <f t="shared" si="126"/>
        <v>1.3775047412552699E-3</v>
      </c>
      <c r="R3787" s="12" t="str">
        <f ca="1">IFERROR(__xludf.DUMMYFUNCTION("""COMPUTED_VALUE"""),"The FP ")</f>
        <v>The FP </v>
      </c>
      <c r="S3787" s="12">
        <f t="shared" si="125"/>
        <v>-99880078</v>
      </c>
    </row>
    <row r="3788" spans="1:19" x14ac:dyDescent="0.3">
      <c r="A3788" s="2" t="s">
        <v>5649</v>
      </c>
      <c r="B3788" s="2">
        <v>92</v>
      </c>
      <c r="C3788" s="3">
        <v>353743</v>
      </c>
      <c r="D3788" s="3" t="s">
        <v>5751</v>
      </c>
      <c r="E3788" s="2" t="s">
        <v>5650</v>
      </c>
      <c r="F3788" s="2" t="s">
        <v>10</v>
      </c>
      <c r="G3788" s="2" t="s">
        <v>11</v>
      </c>
      <c r="H3788" s="3">
        <v>474544677</v>
      </c>
      <c r="I3788" s="2">
        <v>7</v>
      </c>
      <c r="J3788" s="3">
        <v>201148159</v>
      </c>
      <c r="K3788">
        <f t="shared" si="126"/>
        <v>1.3775047412552699E-3</v>
      </c>
      <c r="R3788" s="12" t="str">
        <f ca="1">IFERROR(__xludf.DUMMYFUNCTION("""COMPUTED_VALUE"""),"Happy Christmas ")</f>
        <v>Happy Christmas </v>
      </c>
      <c r="S3788" s="12">
        <f t="shared" si="125"/>
        <v>-68848611</v>
      </c>
    </row>
    <row r="3789" spans="1:19" x14ac:dyDescent="0.3">
      <c r="A3789" s="2" t="s">
        <v>3670</v>
      </c>
      <c r="B3789" s="2">
        <v>95</v>
      </c>
      <c r="C3789" s="3">
        <v>70527</v>
      </c>
      <c r="D3789" s="3" t="s">
        <v>5752</v>
      </c>
      <c r="E3789" s="2" t="s">
        <v>4557</v>
      </c>
      <c r="F3789" s="2" t="s">
        <v>10</v>
      </c>
      <c r="G3789" s="2" t="s">
        <v>11</v>
      </c>
      <c r="H3789" s="2">
        <v>5600000</v>
      </c>
      <c r="I3789" s="2">
        <v>2.1</v>
      </c>
      <c r="J3789" s="3">
        <v>201573391</v>
      </c>
      <c r="K3789">
        <f t="shared" si="126"/>
        <v>1.3775047412552699E-3</v>
      </c>
      <c r="R3789" s="12" t="str">
        <f ca="1">IFERROR(__xludf.DUMMYFUNCTION("""COMPUTED_VALUE"""),"The Brothers McMullen ")</f>
        <v>The Brothers McMullen </v>
      </c>
      <c r="S3789" s="12">
        <f t="shared" si="125"/>
        <v>-29779086</v>
      </c>
    </row>
    <row r="3790" spans="1:19" x14ac:dyDescent="0.3">
      <c r="A3790" s="2" t="s">
        <v>1372</v>
      </c>
      <c r="B3790" s="2">
        <v>128</v>
      </c>
      <c r="C3790" s="3">
        <v>322157</v>
      </c>
      <c r="D3790" s="3" t="s">
        <v>5753</v>
      </c>
      <c r="E3790" s="2" t="s">
        <v>1373</v>
      </c>
      <c r="F3790" s="2" t="s">
        <v>10</v>
      </c>
      <c r="G3790" s="2" t="s">
        <v>11</v>
      </c>
      <c r="H3790" s="2">
        <v>50000000</v>
      </c>
      <c r="I3790" s="2">
        <v>7</v>
      </c>
      <c r="J3790" s="3">
        <v>202007640</v>
      </c>
      <c r="K3790">
        <f t="shared" si="126"/>
        <v>1.3775047412552699E-3</v>
      </c>
      <c r="R3790" s="12" t="str">
        <f ca="1">IFERROR(__xludf.DUMMYFUNCTION("""COMPUTED_VALUE"""),"Tiny Furniture ")</f>
        <v>Tiny Furniture </v>
      </c>
      <c r="S3790" s="12">
        <f t="shared" si="125"/>
        <v>-19972976</v>
      </c>
    </row>
    <row r="3791" spans="1:19" x14ac:dyDescent="0.3">
      <c r="A3791" s="2" t="s">
        <v>1870</v>
      </c>
      <c r="B3791" s="2">
        <v>131</v>
      </c>
      <c r="C3791" s="3">
        <v>12561</v>
      </c>
      <c r="D3791" s="3" t="s">
        <v>5754</v>
      </c>
      <c r="E3791" s="2" t="s">
        <v>2222</v>
      </c>
      <c r="F3791" s="2" t="s">
        <v>10</v>
      </c>
      <c r="G3791" s="2" t="s">
        <v>11</v>
      </c>
      <c r="H3791" s="2">
        <v>55000000</v>
      </c>
      <c r="I3791" s="2">
        <v>6.1</v>
      </c>
      <c r="J3791" s="3">
        <v>202351611</v>
      </c>
      <c r="K3791">
        <f t="shared" si="126"/>
        <v>1.3775047412552699E-3</v>
      </c>
      <c r="R3791" s="12" t="str">
        <f ca="1">IFERROR(__xludf.DUMMYFUNCTION("""COMPUTED_VALUE"""),"George Washington ")</f>
        <v>George Washington </v>
      </c>
      <c r="S3791" s="12">
        <f t="shared" si="125"/>
        <v>-474519893</v>
      </c>
    </row>
    <row r="3792" spans="1:19" x14ac:dyDescent="0.3">
      <c r="A3792" s="2" t="s">
        <v>67</v>
      </c>
      <c r="B3792" s="2">
        <v>92</v>
      </c>
      <c r="C3792" s="3">
        <v>10508</v>
      </c>
      <c r="D3792" s="3" t="s">
        <v>5755</v>
      </c>
      <c r="E3792" s="2" t="s">
        <v>3397</v>
      </c>
      <c r="F3792" s="2" t="s">
        <v>10</v>
      </c>
      <c r="G3792" s="2" t="s">
        <v>11</v>
      </c>
      <c r="H3792" s="2">
        <v>15000000</v>
      </c>
      <c r="I3792" s="2">
        <v>7.5</v>
      </c>
      <c r="J3792" s="3">
        <v>202853933</v>
      </c>
      <c r="K3792">
        <f t="shared" si="126"/>
        <v>1.3775047412552699E-3</v>
      </c>
      <c r="R3792" s="12" t="str">
        <f ca="1">IFERROR(__xludf.DUMMYFUNCTION("""COMPUTED_VALUE"""),"Smiling Fish &amp; Goat on Fire ")</f>
        <v>Smiling Fish &amp; Goat on Fire </v>
      </c>
      <c r="S3792" s="12">
        <f t="shared" si="125"/>
        <v>-64928558</v>
      </c>
    </row>
    <row r="3793" spans="1:19" x14ac:dyDescent="0.3">
      <c r="A3793" s="2" t="s">
        <v>762</v>
      </c>
      <c r="B3793" s="2">
        <v>130</v>
      </c>
      <c r="C3793" s="3">
        <v>45089048</v>
      </c>
      <c r="D3793" s="3" t="s">
        <v>5756</v>
      </c>
      <c r="E3793" s="2" t="s">
        <v>3319</v>
      </c>
      <c r="F3793" s="2" t="s">
        <v>10</v>
      </c>
      <c r="G3793" s="2" t="s">
        <v>11</v>
      </c>
      <c r="H3793" s="2">
        <v>16000000</v>
      </c>
      <c r="I3793" s="2">
        <v>6.4</v>
      </c>
      <c r="J3793" s="3">
        <v>204565000</v>
      </c>
      <c r="K3793">
        <f t="shared" si="126"/>
        <v>1.3775047412552699E-3</v>
      </c>
      <c r="R3793" s="12" t="str">
        <f ca="1">IFERROR(__xludf.DUMMYFUNCTION("""COMPUTED_VALUE"""),"The Legend of God's Gun ")</f>
        <v>The Legend of God's Gun </v>
      </c>
      <c r="S3793" s="12">
        <f t="shared" si="125"/>
        <v>-299844016</v>
      </c>
    </row>
    <row r="3794" spans="1:19" x14ac:dyDescent="0.3">
      <c r="A3794" s="2" t="s">
        <v>306</v>
      </c>
      <c r="B3794" s="2">
        <v>108</v>
      </c>
      <c r="C3794" s="3">
        <v>229311</v>
      </c>
      <c r="D3794" s="3" t="s">
        <v>5757</v>
      </c>
      <c r="E3794" s="2" t="s">
        <v>764</v>
      </c>
      <c r="F3794" s="2" t="s">
        <v>10</v>
      </c>
      <c r="G3794" s="2" t="s">
        <v>504</v>
      </c>
      <c r="H3794" s="2">
        <v>81200000</v>
      </c>
      <c r="I3794" s="2">
        <v>7.8</v>
      </c>
      <c r="J3794" s="3">
        <v>204843350</v>
      </c>
      <c r="K3794">
        <f t="shared" si="126"/>
        <v>1.3775047412552699E-3</v>
      </c>
      <c r="R3794" s="12" t="str">
        <f ca="1">IFERROR(__xludf.DUMMYFUNCTION("""COMPUTED_VALUE"""),"Clerks ")</f>
        <v>Clerks </v>
      </c>
      <c r="S3794" s="12">
        <f t="shared" si="125"/>
        <v>-26991072</v>
      </c>
    </row>
    <row r="3795" spans="1:19" x14ac:dyDescent="0.3">
      <c r="A3795" s="2" t="s">
        <v>250</v>
      </c>
      <c r="B3795" s="2">
        <v>104</v>
      </c>
      <c r="C3795" s="3">
        <v>46451</v>
      </c>
      <c r="D3795" s="3" t="s">
        <v>5755</v>
      </c>
      <c r="E3795" s="2" t="s">
        <v>1229</v>
      </c>
      <c r="F3795" s="2" t="s">
        <v>10</v>
      </c>
      <c r="G3795" s="2" t="s">
        <v>11</v>
      </c>
      <c r="H3795" s="2">
        <v>55000000</v>
      </c>
      <c r="I3795" s="2">
        <v>6.6</v>
      </c>
      <c r="J3795" s="3">
        <v>205343774</v>
      </c>
      <c r="K3795">
        <f t="shared" si="126"/>
        <v>1.3775047412552699E-3</v>
      </c>
      <c r="R3795" s="12" t="str">
        <f ca="1">IFERROR(__xludf.DUMMYFUNCTION("""COMPUTED_VALUE"""),"Pink Narcissus ")</f>
        <v>Pink Narcissus </v>
      </c>
      <c r="S3795" s="12">
        <f t="shared" si="125"/>
        <v>-54988722</v>
      </c>
    </row>
    <row r="3796" spans="1:19" x14ac:dyDescent="0.3">
      <c r="A3796" s="2" t="s">
        <v>220</v>
      </c>
      <c r="B3796" s="2">
        <v>144</v>
      </c>
      <c r="C3796" s="3">
        <v>13350177</v>
      </c>
      <c r="D3796" s="3" t="s">
        <v>5758</v>
      </c>
      <c r="E3796" s="2" t="s">
        <v>602</v>
      </c>
      <c r="F3796" s="2" t="s">
        <v>10</v>
      </c>
      <c r="G3796" s="2" t="s">
        <v>11</v>
      </c>
      <c r="H3796" s="2">
        <v>88000000</v>
      </c>
      <c r="I3796" s="2">
        <v>8</v>
      </c>
      <c r="J3796" s="3">
        <v>205399422</v>
      </c>
      <c r="K3796">
        <f t="shared" si="126"/>
        <v>1.3775047412552699E-3</v>
      </c>
      <c r="R3796" s="12" t="str">
        <f ca="1">IFERROR(__xludf.DUMMYFUNCTION("""COMPUTED_VALUE"""),"In the Company of Men ")</f>
        <v>In the Company of Men </v>
      </c>
      <c r="S3796" s="12">
        <f t="shared" si="125"/>
        <v>-94481082</v>
      </c>
    </row>
    <row r="3797" spans="1:19" x14ac:dyDescent="0.3">
      <c r="A3797" s="2" t="s">
        <v>14</v>
      </c>
      <c r="B3797" s="2">
        <v>122</v>
      </c>
      <c r="C3797" s="3">
        <v>49413</v>
      </c>
      <c r="D3797" s="3" t="s">
        <v>5755</v>
      </c>
      <c r="E3797" s="2" t="s">
        <v>3382</v>
      </c>
      <c r="F3797" s="2" t="s">
        <v>10</v>
      </c>
      <c r="G3797" s="2" t="s">
        <v>11</v>
      </c>
      <c r="H3797" s="2">
        <v>15000000</v>
      </c>
      <c r="I3797" s="2">
        <v>8.4</v>
      </c>
      <c r="J3797" s="3">
        <v>206360018</v>
      </c>
      <c r="K3797">
        <f t="shared" si="126"/>
        <v>1.3775047412552699E-3</v>
      </c>
      <c r="R3797" s="12" t="str">
        <f ca="1">IFERROR(__xludf.DUMMYFUNCTION("""COMPUTED_VALUE"""),"Slacker ")</f>
        <v>Slacker </v>
      </c>
      <c r="S3797" s="12">
        <f t="shared" si="125"/>
        <v>-31622726</v>
      </c>
    </row>
    <row r="3798" spans="1:19" x14ac:dyDescent="0.3">
      <c r="A3798" s="2" t="s">
        <v>1045</v>
      </c>
      <c r="B3798" s="2">
        <v>103</v>
      </c>
      <c r="C3798" s="3">
        <v>45250</v>
      </c>
      <c r="D3798" s="3" t="s">
        <v>5755</v>
      </c>
      <c r="E3798" s="2" t="s">
        <v>1179</v>
      </c>
      <c r="F3798" s="2" t="s">
        <v>10</v>
      </c>
      <c r="G3798" s="2" t="s">
        <v>11</v>
      </c>
      <c r="H3798" s="2">
        <v>58000000</v>
      </c>
      <c r="I3798" s="2">
        <v>4.7</v>
      </c>
      <c r="J3798" s="3">
        <v>206435493</v>
      </c>
      <c r="K3798">
        <f t="shared" si="126"/>
        <v>1.3775047412552699E-3</v>
      </c>
      <c r="R3798" s="12" t="str">
        <f ca="1">IFERROR(__xludf.DUMMYFUNCTION("""COMPUTED_VALUE"""),"The Puffy Chair ")</f>
        <v>The Puffy Chair </v>
      </c>
      <c r="S3798" s="12">
        <f t="shared" si="125"/>
        <v>-28849597</v>
      </c>
    </row>
    <row r="3799" spans="1:19" x14ac:dyDescent="0.3">
      <c r="A3799" s="2" t="s">
        <v>371</v>
      </c>
      <c r="B3799" s="2">
        <v>117</v>
      </c>
      <c r="C3799" s="3">
        <v>42880</v>
      </c>
      <c r="D3799" s="3" t="s">
        <v>5759</v>
      </c>
      <c r="E3799" s="2" t="s">
        <v>372</v>
      </c>
      <c r="F3799" s="2" t="s">
        <v>10</v>
      </c>
      <c r="G3799" s="2" t="s">
        <v>11</v>
      </c>
      <c r="H3799" s="2">
        <v>100000000</v>
      </c>
      <c r="I3799" s="2">
        <v>6.2</v>
      </c>
      <c r="J3799" s="3">
        <v>206456431</v>
      </c>
      <c r="K3799">
        <f t="shared" si="126"/>
        <v>1.3775047412552699E-3</v>
      </c>
      <c r="R3799" s="12" t="str">
        <f ca="1">IFERROR(__xludf.DUMMYFUNCTION("""COMPUTED_VALUE"""),"Breaking Upwards ")</f>
        <v>Breaking Upwards </v>
      </c>
      <c r="S3799" s="12">
        <f t="shared" si="125"/>
        <v>-44943993</v>
      </c>
    </row>
    <row r="3800" spans="1:19" x14ac:dyDescent="0.3">
      <c r="A3800" s="2" t="s">
        <v>842</v>
      </c>
      <c r="B3800" s="2">
        <v>139</v>
      </c>
      <c r="C3800" s="3">
        <v>23091</v>
      </c>
      <c r="D3800" s="3" t="s">
        <v>5752</v>
      </c>
      <c r="E3800" s="2" t="s">
        <v>1718</v>
      </c>
      <c r="F3800" s="2" t="s">
        <v>1719</v>
      </c>
      <c r="G3800" s="2" t="s">
        <v>11</v>
      </c>
      <c r="H3800" s="2">
        <v>40000000</v>
      </c>
      <c r="I3800" s="2">
        <v>7.8</v>
      </c>
      <c r="J3800" s="3">
        <v>208543795</v>
      </c>
      <c r="K3800">
        <f t="shared" si="126"/>
        <v>1.3775047412552699E-3</v>
      </c>
      <c r="R3800" s="12" t="str">
        <f ca="1">IFERROR(__xludf.DUMMYFUNCTION("""COMPUTED_VALUE"""),"Pink Flamingos ")</f>
        <v>Pink Flamingos </v>
      </c>
      <c r="S3800" s="12">
        <f t="shared" si="125"/>
        <v>-15814217</v>
      </c>
    </row>
    <row r="3801" spans="1:19" x14ac:dyDescent="0.3">
      <c r="A3801" s="2" t="s">
        <v>4006</v>
      </c>
      <c r="B3801" s="2">
        <v>116</v>
      </c>
      <c r="C3801" s="3">
        <v>434417</v>
      </c>
      <c r="D3801" s="3" t="s">
        <v>5760</v>
      </c>
      <c r="E3801" s="2" t="s">
        <v>4007</v>
      </c>
      <c r="F3801" s="2" t="s">
        <v>10</v>
      </c>
      <c r="G3801" s="2" t="s">
        <v>11</v>
      </c>
      <c r="H3801" s="2">
        <v>17000000</v>
      </c>
      <c r="I3801" s="2">
        <v>5.7</v>
      </c>
      <c r="J3801" s="3">
        <v>209019489</v>
      </c>
      <c r="K3801">
        <f t="shared" si="126"/>
        <v>1.3775047412552699E-3</v>
      </c>
      <c r="R3801" s="12" t="str">
        <f ca="1">IFERROR(__xludf.DUMMYFUNCTION("""COMPUTED_VALUE"""),"Clean ")</f>
        <v>Clean </v>
      </c>
      <c r="S3801" s="12">
        <f t="shared" ref="S3801:S3808" si="127">C3779-H3779</f>
        <v>-793965</v>
      </c>
    </row>
    <row r="3802" spans="1:19" x14ac:dyDescent="0.3">
      <c r="A3802" s="2" t="s">
        <v>4771</v>
      </c>
      <c r="B3802" s="2">
        <v>111</v>
      </c>
      <c r="C3802" s="3">
        <v>73548</v>
      </c>
      <c r="D3802" s="3" t="s">
        <v>5751</v>
      </c>
      <c r="E3802" s="2" t="s">
        <v>4772</v>
      </c>
      <c r="F3802" s="2" t="s">
        <v>10</v>
      </c>
      <c r="G3802" s="2" t="s">
        <v>11</v>
      </c>
      <c r="H3802" s="2">
        <v>3600000</v>
      </c>
      <c r="I3802" s="2">
        <v>7.6</v>
      </c>
      <c r="J3802" s="3">
        <v>209364921</v>
      </c>
      <c r="K3802">
        <f t="shared" si="126"/>
        <v>1.3775047412552699E-3</v>
      </c>
      <c r="R3802" s="12" t="str">
        <f ca="1">IFERROR(__xludf.DUMMYFUNCTION("""COMPUTED_VALUE"""),"The Circle ")</f>
        <v>The Circle </v>
      </c>
      <c r="S3802" s="12">
        <f t="shared" si="127"/>
        <v>-30169043</v>
      </c>
    </row>
    <row r="3803" spans="1:19" x14ac:dyDescent="0.3">
      <c r="A3803" s="2" t="s">
        <v>104</v>
      </c>
      <c r="B3803" s="2">
        <v>116</v>
      </c>
      <c r="C3803" s="3">
        <v>119841</v>
      </c>
      <c r="D3803" s="3" t="s">
        <v>5761</v>
      </c>
      <c r="E3803" s="2" t="s">
        <v>313</v>
      </c>
      <c r="F3803" s="2" t="s">
        <v>10</v>
      </c>
      <c r="G3803" s="2" t="s">
        <v>11</v>
      </c>
      <c r="H3803" s="2">
        <v>132000000</v>
      </c>
      <c r="I3803" s="2">
        <v>6.5</v>
      </c>
      <c r="J3803" s="3">
        <v>209805005</v>
      </c>
      <c r="K3803">
        <f t="shared" si="126"/>
        <v>1.3775047412552699E-3</v>
      </c>
      <c r="R3803" s="12" t="str">
        <f ca="1">IFERROR(__xludf.DUMMYFUNCTION("""COMPUTED_VALUE"""),"The Cure ")</f>
        <v>The Cure </v>
      </c>
      <c r="S3803" s="12">
        <f t="shared" si="127"/>
        <v>-149464751</v>
      </c>
    </row>
    <row r="3804" spans="1:19" x14ac:dyDescent="0.3">
      <c r="A3804" s="2" t="s">
        <v>348</v>
      </c>
      <c r="B3804" s="2">
        <v>119</v>
      </c>
      <c r="C3804" s="3">
        <v>2882062</v>
      </c>
      <c r="D3804" s="3" t="s">
        <v>5755</v>
      </c>
      <c r="E3804" s="2" t="s">
        <v>2822</v>
      </c>
      <c r="F3804" s="2" t="s">
        <v>10</v>
      </c>
      <c r="G3804" s="2" t="s">
        <v>11</v>
      </c>
      <c r="H3804" s="2">
        <v>25000000</v>
      </c>
      <c r="I3804" s="2">
        <v>7.3</v>
      </c>
      <c r="J3804" s="3">
        <v>210592590</v>
      </c>
      <c r="K3804">
        <f t="shared" si="126"/>
        <v>1.3775047412552699E-3</v>
      </c>
      <c r="R3804" s="12" t="str">
        <f ca="1">IFERROR(__xludf.DUMMYFUNCTION("""COMPUTED_VALUE"""),"Primer ")</f>
        <v>Primer </v>
      </c>
      <c r="S3804" s="12">
        <f t="shared" si="127"/>
        <v>-11980652</v>
      </c>
    </row>
    <row r="3805" spans="1:19" x14ac:dyDescent="0.3">
      <c r="A3805" s="2" t="s">
        <v>1812</v>
      </c>
      <c r="B3805" s="2">
        <v>97</v>
      </c>
      <c r="C3805" s="3">
        <v>32154410</v>
      </c>
      <c r="D3805" s="3" t="s">
        <v>5752</v>
      </c>
      <c r="E3805" s="2" t="s">
        <v>5085</v>
      </c>
      <c r="F3805" s="2" t="s">
        <v>10</v>
      </c>
      <c r="G3805" s="2" t="s">
        <v>11</v>
      </c>
      <c r="H3805" s="2">
        <v>2000000</v>
      </c>
      <c r="I3805" s="2">
        <v>5.3</v>
      </c>
      <c r="J3805" s="3">
        <v>210609762</v>
      </c>
      <c r="K3805">
        <f t="shared" si="126"/>
        <v>1.3775047412552699E-3</v>
      </c>
      <c r="R3805" s="12" t="str">
        <f ca="1">IFERROR(__xludf.DUMMYFUNCTION("""COMPUTED_VALUE"""),"Cavite ")</f>
        <v>Cavite </v>
      </c>
      <c r="S3805" s="12">
        <f t="shared" si="127"/>
        <v>-2961892</v>
      </c>
    </row>
    <row r="3806" spans="1:19" x14ac:dyDescent="0.3">
      <c r="A3806" s="2" t="s">
        <v>701</v>
      </c>
      <c r="B3806" s="2">
        <v>104</v>
      </c>
      <c r="C3806" s="3">
        <v>2800000</v>
      </c>
      <c r="D3806" s="3" t="s">
        <v>5762</v>
      </c>
      <c r="E3806" s="2" t="s">
        <v>702</v>
      </c>
      <c r="F3806" s="2" t="s">
        <v>10</v>
      </c>
      <c r="G3806" s="2" t="s">
        <v>11</v>
      </c>
      <c r="H3806" s="2">
        <v>80000000</v>
      </c>
      <c r="I3806" s="2">
        <v>5.5</v>
      </c>
      <c r="J3806" s="3">
        <v>213079163</v>
      </c>
      <c r="K3806">
        <f t="shared" si="126"/>
        <v>1.3775047412552699E-3</v>
      </c>
      <c r="R3806" s="12" t="str">
        <f ca="1">IFERROR(__xludf.DUMMYFUNCTION("""COMPUTED_VALUE"""),"El Mariachi ")</f>
        <v>El Mariachi </v>
      </c>
      <c r="S3806" s="12">
        <f t="shared" si="127"/>
        <v>75567722</v>
      </c>
    </row>
    <row r="3807" spans="1:19" x14ac:dyDescent="0.3">
      <c r="A3807" s="2" t="s">
        <v>1492</v>
      </c>
      <c r="B3807" s="2">
        <v>94</v>
      </c>
      <c r="C3807" s="3">
        <v>118666</v>
      </c>
      <c r="D3807" s="3" t="s">
        <v>5763</v>
      </c>
      <c r="E3807" s="2" t="s">
        <v>3396</v>
      </c>
      <c r="F3807" s="2" t="s">
        <v>10</v>
      </c>
      <c r="G3807" s="2" t="s">
        <v>16</v>
      </c>
      <c r="H3807" s="2">
        <v>9800000</v>
      </c>
      <c r="I3807" s="2">
        <v>7.3</v>
      </c>
      <c r="J3807" s="3">
        <v>214948780</v>
      </c>
      <c r="K3807">
        <f t="shared" si="126"/>
        <v>1.3775047412552699E-3</v>
      </c>
      <c r="R3807" s="12" t="str">
        <f ca="1">IFERROR(__xludf.DUMMYFUNCTION("""COMPUTED_VALUE"""),"Newlyweds ")</f>
        <v>Newlyweds </v>
      </c>
      <c r="S3807" s="12">
        <f t="shared" si="127"/>
        <v>-9997036</v>
      </c>
    </row>
    <row r="3808" spans="1:19" x14ac:dyDescent="0.3">
      <c r="A3808" s="2" t="s">
        <v>488</v>
      </c>
      <c r="B3808" s="2">
        <v>87</v>
      </c>
      <c r="C3808" s="3">
        <v>100503</v>
      </c>
      <c r="D3808" s="3" t="s">
        <v>5752</v>
      </c>
      <c r="E3808" s="2" t="s">
        <v>489</v>
      </c>
      <c r="F3808" s="2" t="s">
        <v>10</v>
      </c>
      <c r="G3808" s="2" t="s">
        <v>11</v>
      </c>
      <c r="H3808" s="2">
        <v>100000000</v>
      </c>
      <c r="I3808" s="2">
        <v>3.3</v>
      </c>
      <c r="J3808" s="3">
        <v>215395021</v>
      </c>
      <c r="K3808">
        <f t="shared" si="126"/>
        <v>1.3775047412552699E-3</v>
      </c>
      <c r="R3808" s="12" t="str">
        <f ca="1">IFERROR(__xludf.DUMMYFUNCTION("""COMPUTED_VALUE"""),"My Date with Drew ")</f>
        <v>My Date with Drew </v>
      </c>
      <c r="S3808" s="12">
        <f t="shared" si="127"/>
        <v>-19999279</v>
      </c>
    </row>
    <row r="3809" spans="1:11" x14ac:dyDescent="0.3">
      <c r="A3809" s="2" t="s">
        <v>1276</v>
      </c>
      <c r="B3809" s="2">
        <v>116</v>
      </c>
      <c r="C3809" s="3">
        <v>127144</v>
      </c>
      <c r="D3809" s="3" t="s">
        <v>5764</v>
      </c>
      <c r="E3809" s="2" t="s">
        <v>1277</v>
      </c>
      <c r="F3809" s="2" t="s">
        <v>10</v>
      </c>
      <c r="G3809" s="2" t="s">
        <v>11</v>
      </c>
      <c r="H3809" s="2">
        <v>54000000</v>
      </c>
      <c r="I3809" s="2">
        <v>6.8</v>
      </c>
      <c r="J3809" s="3">
        <v>215397307</v>
      </c>
      <c r="K3809">
        <f t="shared" si="126"/>
        <v>1.3775047412552699E-3</v>
      </c>
    </row>
    <row r="3810" spans="1:11" x14ac:dyDescent="0.3">
      <c r="A3810" s="2" t="s">
        <v>4598</v>
      </c>
      <c r="B3810" s="2">
        <v>89</v>
      </c>
      <c r="C3810" s="3">
        <v>2199853</v>
      </c>
      <c r="D3810" s="3" t="s">
        <v>5763</v>
      </c>
      <c r="E3810" s="2" t="s">
        <v>4599</v>
      </c>
      <c r="F3810" s="2" t="s">
        <v>10</v>
      </c>
      <c r="G3810" s="2" t="s">
        <v>11</v>
      </c>
      <c r="H3810" s="2">
        <v>5000000</v>
      </c>
      <c r="I3810" s="2">
        <v>4.4000000000000004</v>
      </c>
      <c r="J3810" s="3">
        <v>216119491</v>
      </c>
      <c r="K3810">
        <f t="shared" si="126"/>
        <v>1.3775047412552699E-3</v>
      </c>
    </row>
    <row r="3811" spans="1:11" x14ac:dyDescent="0.3">
      <c r="A3811" s="2" t="s">
        <v>114</v>
      </c>
      <c r="B3811" s="2">
        <v>143</v>
      </c>
      <c r="C3811" s="3">
        <v>65804</v>
      </c>
      <c r="D3811" s="3" t="s">
        <v>5765</v>
      </c>
      <c r="E3811" s="2" t="s">
        <v>608</v>
      </c>
      <c r="F3811" s="2" t="s">
        <v>10</v>
      </c>
      <c r="G3811" s="2" t="s">
        <v>11</v>
      </c>
      <c r="H3811" s="2">
        <v>90000000</v>
      </c>
      <c r="I3811" s="2">
        <v>7.7</v>
      </c>
      <c r="J3811" s="3">
        <v>216366733</v>
      </c>
      <c r="K3811">
        <f t="shared" si="126"/>
        <v>1.3775047412552699E-3</v>
      </c>
    </row>
    <row r="3812" spans="1:11" x14ac:dyDescent="0.3">
      <c r="A3812" s="2" t="s">
        <v>2100</v>
      </c>
      <c r="B3812" s="2">
        <v>134</v>
      </c>
      <c r="C3812" s="3">
        <v>4239767</v>
      </c>
      <c r="D3812" s="3" t="s">
        <v>5766</v>
      </c>
      <c r="E3812" s="2" t="s">
        <v>2101</v>
      </c>
      <c r="F3812" s="2" t="s">
        <v>10</v>
      </c>
      <c r="G3812" s="2" t="s">
        <v>11</v>
      </c>
      <c r="H3812" s="2">
        <v>32500000</v>
      </c>
      <c r="I3812" s="2">
        <v>8.4</v>
      </c>
      <c r="J3812" s="3">
        <v>217326336</v>
      </c>
      <c r="K3812">
        <f t="shared" si="126"/>
        <v>1.3775047412552699E-3</v>
      </c>
    </row>
    <row r="3813" spans="1:11" x14ac:dyDescent="0.3">
      <c r="A3813" s="2" t="s">
        <v>1894</v>
      </c>
      <c r="B3813" s="2">
        <v>94</v>
      </c>
      <c r="C3813" s="3">
        <v>19151864</v>
      </c>
      <c r="D3813" s="3" t="s">
        <v>5767</v>
      </c>
      <c r="E3813" s="2" t="s">
        <v>3143</v>
      </c>
      <c r="F3813" s="2" t="s">
        <v>10</v>
      </c>
      <c r="G3813" s="2" t="s">
        <v>11</v>
      </c>
      <c r="H3813" s="2">
        <v>18000000</v>
      </c>
      <c r="I3813" s="2">
        <v>6.1</v>
      </c>
      <c r="J3813" s="3">
        <v>217350219</v>
      </c>
      <c r="K3813">
        <f t="shared" si="126"/>
        <v>1.3775047412552699E-3</v>
      </c>
    </row>
    <row r="3814" spans="1:11" x14ac:dyDescent="0.3">
      <c r="A3814" s="2" t="s">
        <v>2968</v>
      </c>
      <c r="B3814" s="2">
        <v>124</v>
      </c>
      <c r="C3814" s="3">
        <v>26435</v>
      </c>
      <c r="D3814" s="3" t="s">
        <v>5755</v>
      </c>
      <c r="E3814" s="2" t="s">
        <v>2969</v>
      </c>
      <c r="F3814" s="2" t="s">
        <v>10</v>
      </c>
      <c r="G3814" s="2" t="s">
        <v>11</v>
      </c>
      <c r="H3814" s="2">
        <v>20000000</v>
      </c>
      <c r="I3814" s="2">
        <v>7.5</v>
      </c>
      <c r="J3814" s="3">
        <v>217387997</v>
      </c>
      <c r="K3814">
        <f t="shared" si="126"/>
        <v>1.3775047412552699E-3</v>
      </c>
    </row>
    <row r="3815" spans="1:11" x14ac:dyDescent="0.3">
      <c r="A3815" s="2" t="s">
        <v>1276</v>
      </c>
      <c r="B3815" s="2">
        <v>125</v>
      </c>
      <c r="C3815" s="3">
        <v>117190</v>
      </c>
      <c r="D3815" s="3" t="s">
        <v>5768</v>
      </c>
      <c r="E3815" s="2" t="s">
        <v>1851</v>
      </c>
      <c r="F3815" s="2" t="s">
        <v>10</v>
      </c>
      <c r="G3815" s="2" t="s">
        <v>16</v>
      </c>
      <c r="H3815" s="2">
        <v>39000000</v>
      </c>
      <c r="I3815" s="2">
        <v>4.9000000000000004</v>
      </c>
      <c r="J3815" s="3">
        <v>217536138</v>
      </c>
      <c r="K3815">
        <f t="shared" si="126"/>
        <v>1.3775047412552699E-3</v>
      </c>
    </row>
    <row r="3816" spans="1:11" x14ac:dyDescent="0.3">
      <c r="A3816" s="2" t="s">
        <v>2529</v>
      </c>
      <c r="B3816" s="2">
        <v>95</v>
      </c>
      <c r="C3816" s="3">
        <v>26000610</v>
      </c>
      <c r="D3816" s="3" t="s">
        <v>5768</v>
      </c>
      <c r="E3816" s="2" t="s">
        <v>2530</v>
      </c>
      <c r="F3816" s="2" t="s">
        <v>10</v>
      </c>
      <c r="G3816" s="2" t="s">
        <v>11</v>
      </c>
      <c r="H3816" s="2">
        <v>45000000</v>
      </c>
      <c r="I3816" s="2">
        <v>4.5999999999999996</v>
      </c>
      <c r="J3816" s="3">
        <v>217631306</v>
      </c>
      <c r="K3816">
        <f t="shared" si="126"/>
        <v>1.3775047412552699E-3</v>
      </c>
    </row>
    <row r="3817" spans="1:11" x14ac:dyDescent="0.3">
      <c r="A3817" s="2" t="s">
        <v>1372</v>
      </c>
      <c r="B3817" s="2">
        <v>128</v>
      </c>
      <c r="C3817" s="3">
        <v>5725</v>
      </c>
      <c r="D3817" s="3" t="s">
        <v>5753</v>
      </c>
      <c r="E3817" s="2" t="s">
        <v>1373</v>
      </c>
      <c r="F3817" s="2" t="s">
        <v>10</v>
      </c>
      <c r="G3817" s="2" t="s">
        <v>11</v>
      </c>
      <c r="H3817" s="2">
        <v>50000000</v>
      </c>
      <c r="I3817" s="2">
        <v>7</v>
      </c>
      <c r="J3817" s="3">
        <v>218051260</v>
      </c>
      <c r="K3817">
        <f t="shared" si="126"/>
        <v>1.3775047412552699E-3</v>
      </c>
    </row>
    <row r="3818" spans="1:11" x14ac:dyDescent="0.3">
      <c r="A3818" s="2" t="s">
        <v>2203</v>
      </c>
      <c r="B3818" s="2">
        <v>91</v>
      </c>
      <c r="C3818" s="3">
        <v>5409517</v>
      </c>
      <c r="D3818" s="3" t="s">
        <v>5769</v>
      </c>
      <c r="E3818" s="2" t="s">
        <v>2204</v>
      </c>
      <c r="F3818" s="2" t="s">
        <v>10</v>
      </c>
      <c r="G3818" s="2" t="s">
        <v>98</v>
      </c>
      <c r="H3818" s="2">
        <v>30000000</v>
      </c>
      <c r="I3818" s="2">
        <v>6.8</v>
      </c>
      <c r="J3818" s="3">
        <v>218628680</v>
      </c>
      <c r="K3818">
        <f t="shared" si="126"/>
        <v>1.3775047412552699E-3</v>
      </c>
    </row>
    <row r="3819" spans="1:11" x14ac:dyDescent="0.3">
      <c r="A3819" s="2" t="s">
        <v>1165</v>
      </c>
      <c r="B3819" s="2">
        <v>121</v>
      </c>
      <c r="C3819" s="3">
        <v>21500000</v>
      </c>
      <c r="D3819" s="3" t="s">
        <v>5755</v>
      </c>
      <c r="E3819" s="2" t="s">
        <v>3805</v>
      </c>
      <c r="F3819" s="2" t="s">
        <v>10</v>
      </c>
      <c r="G3819" s="2" t="s">
        <v>11</v>
      </c>
      <c r="H3819" s="2">
        <v>12000000</v>
      </c>
      <c r="I3819" s="2">
        <v>7.4</v>
      </c>
      <c r="J3819" s="3">
        <v>219200000</v>
      </c>
      <c r="K3819">
        <f t="shared" si="126"/>
        <v>1.3775047412552699E-3</v>
      </c>
    </row>
    <row r="3820" spans="1:11" x14ac:dyDescent="0.3">
      <c r="A3820" s="2" t="s">
        <v>1054</v>
      </c>
      <c r="B3820" s="2">
        <v>140</v>
      </c>
      <c r="C3820" s="3">
        <v>1729969</v>
      </c>
      <c r="D3820" s="3" t="s">
        <v>5765</v>
      </c>
      <c r="E3820" s="2" t="s">
        <v>1055</v>
      </c>
      <c r="F3820" s="2" t="s">
        <v>10</v>
      </c>
      <c r="G3820" s="2" t="s">
        <v>11</v>
      </c>
      <c r="H3820" s="2">
        <v>60000000</v>
      </c>
      <c r="I3820" s="2">
        <v>5.7</v>
      </c>
      <c r="J3820" s="3">
        <v>219613391</v>
      </c>
      <c r="K3820">
        <f t="shared" si="126"/>
        <v>1.3775047412552699E-3</v>
      </c>
    </row>
    <row r="3821" spans="1:11" x14ac:dyDescent="0.3">
      <c r="A3821" s="2" t="s">
        <v>630</v>
      </c>
      <c r="B3821" s="2">
        <v>115</v>
      </c>
      <c r="C3821" s="3">
        <v>23947</v>
      </c>
      <c r="D3821" s="3" t="s">
        <v>5770</v>
      </c>
      <c r="E3821" s="2" t="s">
        <v>3634</v>
      </c>
      <c r="F3821" s="2" t="s">
        <v>10</v>
      </c>
      <c r="G3821" s="2" t="s">
        <v>11</v>
      </c>
      <c r="H3821" s="2">
        <v>15000000</v>
      </c>
      <c r="I3821" s="2">
        <v>7</v>
      </c>
      <c r="J3821" s="3">
        <v>222487711</v>
      </c>
      <c r="K3821">
        <f t="shared" si="126"/>
        <v>1.3775047412552699E-3</v>
      </c>
    </row>
    <row r="3822" spans="1:11" x14ac:dyDescent="0.3">
      <c r="A3822" s="2" t="s">
        <v>1308</v>
      </c>
      <c r="B3822" s="2">
        <v>93</v>
      </c>
      <c r="C3822" s="3">
        <v>15447</v>
      </c>
      <c r="D3822" s="3" t="s">
        <v>5771</v>
      </c>
      <c r="E3822" s="2" t="s">
        <v>2510</v>
      </c>
      <c r="F3822" s="2" t="s">
        <v>10</v>
      </c>
      <c r="G3822" s="2" t="s">
        <v>504</v>
      </c>
      <c r="H3822" s="2">
        <v>25000000</v>
      </c>
      <c r="I3822" s="2">
        <v>7.9</v>
      </c>
      <c r="J3822" s="3">
        <v>223806889</v>
      </c>
      <c r="K3822">
        <f t="shared" si="126"/>
        <v>1.3775047412552699E-3</v>
      </c>
    </row>
    <row r="3823" spans="1:11" x14ac:dyDescent="0.3">
      <c r="A3823" s="2" t="s">
        <v>4065</v>
      </c>
      <c r="B3823" s="2">
        <v>96</v>
      </c>
      <c r="C3823" s="3">
        <v>399793</v>
      </c>
      <c r="D3823" s="3" t="s">
        <v>5755</v>
      </c>
      <c r="E3823" s="2" t="s">
        <v>4066</v>
      </c>
      <c r="F3823" s="2" t="s">
        <v>10</v>
      </c>
      <c r="G3823" s="2" t="s">
        <v>11</v>
      </c>
      <c r="H3823" s="2">
        <v>10000000</v>
      </c>
      <c r="I3823" s="2">
        <v>5.6</v>
      </c>
      <c r="J3823" s="3">
        <v>226138454</v>
      </c>
      <c r="K3823">
        <f t="shared" si="126"/>
        <v>1.3775047412552699E-3</v>
      </c>
    </row>
    <row r="3824" spans="1:11" x14ac:dyDescent="0.3">
      <c r="A3824" s="2" t="s">
        <v>5464</v>
      </c>
      <c r="B3824" s="2">
        <v>90</v>
      </c>
      <c r="C3824" s="3">
        <v>100412</v>
      </c>
      <c r="D3824" s="3" t="s">
        <v>5755</v>
      </c>
      <c r="E3824" s="2" t="s">
        <v>5465</v>
      </c>
      <c r="F3824" s="2" t="s">
        <v>10</v>
      </c>
      <c r="G3824" s="2" t="s">
        <v>11</v>
      </c>
      <c r="H3824" s="2">
        <v>600000</v>
      </c>
      <c r="I3824" s="2">
        <v>6.6</v>
      </c>
      <c r="J3824" s="3">
        <v>227137090</v>
      </c>
      <c r="K3824">
        <f t="shared" si="126"/>
        <v>1.3775047412552699E-3</v>
      </c>
    </row>
    <row r="3825" spans="1:11" x14ac:dyDescent="0.3">
      <c r="A3825" s="2" t="s">
        <v>3698</v>
      </c>
      <c r="B3825" s="2">
        <v>108</v>
      </c>
      <c r="C3825" s="3">
        <v>41229</v>
      </c>
      <c r="D3825" s="3" t="s">
        <v>5765</v>
      </c>
      <c r="E3825" s="2" t="s">
        <v>5721</v>
      </c>
      <c r="F3825" s="2" t="s">
        <v>10</v>
      </c>
      <c r="G3825" s="2" t="s">
        <v>11</v>
      </c>
      <c r="H3825" s="3">
        <v>474544677</v>
      </c>
      <c r="I3825" s="2">
        <v>6.1</v>
      </c>
      <c r="J3825" s="3">
        <v>227946274</v>
      </c>
      <c r="K3825">
        <f t="shared" si="126"/>
        <v>1.3775047412552699E-3</v>
      </c>
    </row>
    <row r="3826" spans="1:11" x14ac:dyDescent="0.3">
      <c r="A3826" s="2" t="s">
        <v>557</v>
      </c>
      <c r="B3826" s="2">
        <v>112</v>
      </c>
      <c r="C3826" s="3">
        <v>1641788</v>
      </c>
      <c r="D3826" s="3" t="s">
        <v>5751</v>
      </c>
      <c r="E3826" s="2" t="s">
        <v>1329</v>
      </c>
      <c r="F3826" s="2" t="s">
        <v>10</v>
      </c>
      <c r="G3826" s="2" t="s">
        <v>11</v>
      </c>
      <c r="H3826" s="2">
        <v>50000000</v>
      </c>
      <c r="I3826" s="2">
        <v>7.1</v>
      </c>
      <c r="J3826" s="3">
        <v>227965690</v>
      </c>
      <c r="K3826">
        <f t="shared" si="126"/>
        <v>1.3775047412552699E-3</v>
      </c>
    </row>
    <row r="3827" spans="1:11" x14ac:dyDescent="0.3">
      <c r="A3827" s="2" t="s">
        <v>256</v>
      </c>
      <c r="B3827" s="2">
        <v>90</v>
      </c>
      <c r="C3827" s="3">
        <v>214202</v>
      </c>
      <c r="D3827" s="3" t="s">
        <v>5755</v>
      </c>
      <c r="E3827" s="2" t="s">
        <v>2618</v>
      </c>
      <c r="F3827" s="2" t="s">
        <v>10</v>
      </c>
      <c r="G3827" s="2" t="s">
        <v>11</v>
      </c>
      <c r="H3827" s="2">
        <v>26000000</v>
      </c>
      <c r="I3827" s="2">
        <v>5.0999999999999996</v>
      </c>
      <c r="J3827" s="3">
        <v>228430993</v>
      </c>
      <c r="K3827">
        <f t="shared" si="126"/>
        <v>1.3775047412552699E-3</v>
      </c>
    </row>
    <row r="3828" spans="1:11" x14ac:dyDescent="0.3">
      <c r="A3828" s="2" t="s">
        <v>1568</v>
      </c>
      <c r="B3828" s="2">
        <v>124</v>
      </c>
      <c r="C3828" s="3">
        <v>12836</v>
      </c>
      <c r="D3828" s="3" t="s">
        <v>5772</v>
      </c>
      <c r="E3828" s="2" t="s">
        <v>1569</v>
      </c>
      <c r="F3828" s="2" t="s">
        <v>10</v>
      </c>
      <c r="G3828" s="2" t="s">
        <v>11</v>
      </c>
      <c r="H3828" s="2">
        <v>45000000</v>
      </c>
      <c r="I3828" s="2">
        <v>6.8</v>
      </c>
      <c r="J3828" s="3">
        <v>228756232</v>
      </c>
      <c r="K3828">
        <f t="shared" si="126"/>
        <v>1.3775047412552699E-3</v>
      </c>
    </row>
    <row r="3829" spans="1:11" x14ac:dyDescent="0.3">
      <c r="A3829" s="2" t="s">
        <v>67</v>
      </c>
      <c r="B3829" s="2">
        <v>105</v>
      </c>
      <c r="C3829" s="3">
        <v>1141829</v>
      </c>
      <c r="D3829" s="3" t="s">
        <v>5755</v>
      </c>
      <c r="E3829" s="2" t="s">
        <v>2879</v>
      </c>
      <c r="F3829" s="2" t="s">
        <v>10</v>
      </c>
      <c r="G3829" s="2" t="s">
        <v>11</v>
      </c>
      <c r="H3829" s="2">
        <v>20000000</v>
      </c>
      <c r="I3829" s="2">
        <v>7.9</v>
      </c>
      <c r="J3829" s="3">
        <v>229074524</v>
      </c>
      <c r="K3829">
        <f t="shared" si="126"/>
        <v>1.3775047412552699E-3</v>
      </c>
    </row>
    <row r="3830" spans="1:11" x14ac:dyDescent="0.3">
      <c r="A3830" s="2" t="s">
        <v>250</v>
      </c>
      <c r="B3830" s="2">
        <v>84</v>
      </c>
      <c r="C3830" s="3">
        <v>532988</v>
      </c>
      <c r="D3830" s="3" t="s">
        <v>5771</v>
      </c>
      <c r="E3830" s="2" t="s">
        <v>435</v>
      </c>
      <c r="F3830" s="2" t="s">
        <v>10</v>
      </c>
      <c r="G3830" s="2" t="s">
        <v>199</v>
      </c>
      <c r="H3830" s="2">
        <v>133000000</v>
      </c>
      <c r="I3830" s="2">
        <v>5.9</v>
      </c>
      <c r="J3830" s="3">
        <v>233630478</v>
      </c>
      <c r="K3830">
        <f t="shared" si="126"/>
        <v>1.3775047412552699E-3</v>
      </c>
    </row>
    <row r="3831" spans="1:11" x14ac:dyDescent="0.3">
      <c r="A3831" s="2" t="s">
        <v>2875</v>
      </c>
      <c r="B3831" s="2">
        <v>101</v>
      </c>
      <c r="C3831" s="3">
        <v>12667</v>
      </c>
      <c r="D3831" s="3" t="s">
        <v>5755</v>
      </c>
      <c r="E3831" s="2" t="s">
        <v>4453</v>
      </c>
      <c r="F3831" s="2" t="s">
        <v>10</v>
      </c>
      <c r="G3831" s="2" t="s">
        <v>16</v>
      </c>
      <c r="H3831" s="2">
        <v>6500000</v>
      </c>
      <c r="I3831" s="2">
        <v>7.3</v>
      </c>
      <c r="J3831" s="3">
        <v>233914986</v>
      </c>
      <c r="K3831">
        <f t="shared" si="126"/>
        <v>1.3775047412552699E-3</v>
      </c>
    </row>
    <row r="3832" spans="1:11" x14ac:dyDescent="0.3">
      <c r="A3832" s="2" t="s">
        <v>21</v>
      </c>
      <c r="B3832" s="2">
        <v>107</v>
      </c>
      <c r="C3832" s="3">
        <v>101055</v>
      </c>
      <c r="D3832" s="3" t="s">
        <v>5773</v>
      </c>
      <c r="E3832" s="2" t="s">
        <v>2129</v>
      </c>
      <c r="F3832" s="2" t="s">
        <v>10</v>
      </c>
      <c r="G3832" s="2" t="s">
        <v>771</v>
      </c>
      <c r="H3832" s="2">
        <v>32000000</v>
      </c>
      <c r="I3832" s="2">
        <v>6.4</v>
      </c>
      <c r="J3832" s="3">
        <v>234277056</v>
      </c>
      <c r="K3832">
        <f t="shared" si="126"/>
        <v>1.3775047412552699E-3</v>
      </c>
    </row>
    <row r="3833" spans="1:11" x14ac:dyDescent="0.3">
      <c r="A3833" s="2" t="s">
        <v>2827</v>
      </c>
      <c r="B3833" s="2">
        <v>92</v>
      </c>
      <c r="C3833" s="3">
        <v>8231</v>
      </c>
      <c r="D3833" s="3" t="s">
        <v>5774</v>
      </c>
      <c r="E3833" s="2" t="s">
        <v>5325</v>
      </c>
      <c r="F3833" s="2" t="s">
        <v>10</v>
      </c>
      <c r="G3833" s="2" t="s">
        <v>11</v>
      </c>
      <c r="H3833" s="2">
        <v>1000000</v>
      </c>
      <c r="I3833" s="2">
        <v>6.2</v>
      </c>
      <c r="J3833" s="3">
        <v>234360014</v>
      </c>
      <c r="K3833">
        <f t="shared" si="126"/>
        <v>1.3775047412552699E-3</v>
      </c>
    </row>
    <row r="3834" spans="1:11" x14ac:dyDescent="0.3">
      <c r="A3834" s="2" t="s">
        <v>1587</v>
      </c>
      <c r="B3834" s="2">
        <v>97</v>
      </c>
      <c r="C3834" s="3">
        <v>37188667</v>
      </c>
      <c r="D3834" s="3" t="s">
        <v>5770</v>
      </c>
      <c r="E3834" s="2" t="s">
        <v>3520</v>
      </c>
      <c r="F3834" s="2" t="s">
        <v>10</v>
      </c>
      <c r="G3834" s="2" t="s">
        <v>16</v>
      </c>
      <c r="H3834" s="2">
        <v>15000000</v>
      </c>
      <c r="I3834" s="2">
        <v>6.9</v>
      </c>
      <c r="J3834" s="3">
        <v>234760500</v>
      </c>
      <c r="K3834">
        <f t="shared" si="126"/>
        <v>1.3775047412552699E-3</v>
      </c>
    </row>
    <row r="3835" spans="1:11" x14ac:dyDescent="0.3">
      <c r="A3835" s="2" t="s">
        <v>3140</v>
      </c>
      <c r="B3835" s="2">
        <v>98</v>
      </c>
      <c r="C3835" s="3">
        <v>10018</v>
      </c>
      <c r="D3835" s="3" t="s">
        <v>5755</v>
      </c>
      <c r="E3835" s="2" t="s">
        <v>3141</v>
      </c>
      <c r="F3835" s="2" t="s">
        <v>10</v>
      </c>
      <c r="G3835" s="2" t="s">
        <v>11</v>
      </c>
      <c r="H3835" s="2">
        <v>18000000</v>
      </c>
      <c r="I3835" s="2">
        <v>7.1</v>
      </c>
      <c r="J3835" s="3">
        <v>234903076</v>
      </c>
      <c r="K3835">
        <f t="shared" si="126"/>
        <v>1.3775047412552699E-3</v>
      </c>
    </row>
    <row r="3836" spans="1:11" x14ac:dyDescent="0.3">
      <c r="A3836" s="2" t="s">
        <v>2334</v>
      </c>
      <c r="B3836" s="2">
        <v>251</v>
      </c>
      <c r="C3836" s="3">
        <v>14873</v>
      </c>
      <c r="D3836" s="3" t="s">
        <v>5763</v>
      </c>
      <c r="E3836" s="2" t="s">
        <v>2335</v>
      </c>
      <c r="F3836" s="2" t="s">
        <v>10</v>
      </c>
      <c r="G3836" s="2" t="s">
        <v>2336</v>
      </c>
      <c r="H3836" s="2">
        <v>30000000</v>
      </c>
      <c r="I3836" s="2">
        <v>8.4</v>
      </c>
      <c r="J3836" s="3">
        <v>237282182</v>
      </c>
      <c r="K3836">
        <f t="shared" si="126"/>
        <v>1.3775047412552699E-3</v>
      </c>
    </row>
    <row r="3837" spans="1:11" x14ac:dyDescent="0.3">
      <c r="A3837" s="2" t="s">
        <v>1026</v>
      </c>
      <c r="B3837" s="2">
        <v>95</v>
      </c>
      <c r="C3837" s="3">
        <v>23616</v>
      </c>
      <c r="D3837" s="3" t="s">
        <v>5767</v>
      </c>
      <c r="E3837" s="2" t="s">
        <v>1027</v>
      </c>
      <c r="F3837" s="2" t="s">
        <v>10</v>
      </c>
      <c r="G3837" s="2" t="s">
        <v>11</v>
      </c>
      <c r="H3837" s="2">
        <v>63000000</v>
      </c>
      <c r="I3837" s="2">
        <v>5.5</v>
      </c>
      <c r="J3837" s="3">
        <v>238371987</v>
      </c>
      <c r="K3837">
        <f t="shared" si="126"/>
        <v>1.3775047412552699E-3</v>
      </c>
    </row>
    <row r="3838" spans="1:11" x14ac:dyDescent="0.3">
      <c r="A3838" s="2" t="s">
        <v>3385</v>
      </c>
      <c r="B3838" s="2">
        <v>102</v>
      </c>
      <c r="C3838" s="3">
        <v>4584</v>
      </c>
      <c r="D3838" s="3" t="s">
        <v>5769</v>
      </c>
      <c r="E3838" s="2" t="s">
        <v>3386</v>
      </c>
      <c r="F3838" s="2" t="s">
        <v>10</v>
      </c>
      <c r="G3838" s="2" t="s">
        <v>11</v>
      </c>
      <c r="H3838" s="2">
        <v>15500000</v>
      </c>
      <c r="I3838" s="2">
        <v>6.8</v>
      </c>
      <c r="J3838" s="3">
        <v>241063875</v>
      </c>
      <c r="K3838">
        <f t="shared" si="126"/>
        <v>1.3775047412552699E-3</v>
      </c>
    </row>
    <row r="3839" spans="1:11" x14ac:dyDescent="0.3">
      <c r="A3839" s="2" t="s">
        <v>3056</v>
      </c>
      <c r="B3839" s="2">
        <v>135</v>
      </c>
      <c r="C3839" s="3">
        <v>23000</v>
      </c>
      <c r="D3839" s="3" t="s">
        <v>5755</v>
      </c>
      <c r="E3839" s="2" t="s">
        <v>3057</v>
      </c>
      <c r="F3839" s="2" t="s">
        <v>10</v>
      </c>
      <c r="G3839" s="2" t="s">
        <v>11</v>
      </c>
      <c r="H3839" s="2">
        <v>20000000</v>
      </c>
      <c r="I3839" s="2">
        <v>7</v>
      </c>
      <c r="J3839" s="3">
        <v>241407328</v>
      </c>
      <c r="K3839">
        <f t="shared" si="126"/>
        <v>1.3775047412552699E-3</v>
      </c>
    </row>
    <row r="3840" spans="1:11" x14ac:dyDescent="0.3">
      <c r="A3840" s="2" t="s">
        <v>590</v>
      </c>
      <c r="B3840" s="2">
        <v>119</v>
      </c>
      <c r="C3840" s="3">
        <v>78009155</v>
      </c>
      <c r="D3840" s="3" t="s">
        <v>5755</v>
      </c>
      <c r="E3840" s="2" t="s">
        <v>2523</v>
      </c>
      <c r="F3840" s="2" t="s">
        <v>10</v>
      </c>
      <c r="G3840" s="2" t="s">
        <v>11</v>
      </c>
      <c r="H3840" s="2">
        <v>25000000</v>
      </c>
      <c r="I3840" s="2">
        <v>7.9</v>
      </c>
      <c r="J3840" s="3">
        <v>241437427</v>
      </c>
      <c r="K3840">
        <f t="shared" si="126"/>
        <v>1.3775047412552699E-3</v>
      </c>
    </row>
    <row r="3841" spans="1:11" x14ac:dyDescent="0.3">
      <c r="A3841" s="2" t="s">
        <v>2624</v>
      </c>
      <c r="B3841" s="2">
        <v>160</v>
      </c>
      <c r="C3841" s="3">
        <v>532190</v>
      </c>
      <c r="D3841" s="3" t="s">
        <v>5752</v>
      </c>
      <c r="E3841" s="2" t="s">
        <v>3286</v>
      </c>
      <c r="F3841" s="2" t="s">
        <v>10</v>
      </c>
      <c r="G3841" s="2" t="s">
        <v>504</v>
      </c>
      <c r="H3841" s="2">
        <v>17000000</v>
      </c>
      <c r="I3841" s="2">
        <v>5.5</v>
      </c>
      <c r="J3841" s="3">
        <v>241688385</v>
      </c>
      <c r="K3841">
        <f t="shared" si="126"/>
        <v>1.3775047412552699E-3</v>
      </c>
    </row>
    <row r="3842" spans="1:11" x14ac:dyDescent="0.3">
      <c r="A3842" s="2" t="s">
        <v>429</v>
      </c>
      <c r="B3842" s="2">
        <v>140</v>
      </c>
      <c r="C3842" s="3">
        <v>27441122</v>
      </c>
      <c r="D3842" s="3" t="s">
        <v>5771</v>
      </c>
      <c r="E3842" s="2" t="s">
        <v>451</v>
      </c>
      <c r="F3842" s="2" t="s">
        <v>10</v>
      </c>
      <c r="G3842" s="2" t="s">
        <v>11</v>
      </c>
      <c r="H3842" s="2">
        <v>100000000</v>
      </c>
      <c r="I3842" s="2">
        <v>7</v>
      </c>
      <c r="J3842" s="3">
        <v>242374454</v>
      </c>
      <c r="K3842">
        <f t="shared" ref="K3842:K3905" si="128">CORREL(H$2:H$3941,J$2:J$3941)</f>
        <v>1.3775047412552699E-3</v>
      </c>
    </row>
    <row r="3843" spans="1:11" x14ac:dyDescent="0.3">
      <c r="A3843" s="2" t="s">
        <v>2624</v>
      </c>
      <c r="B3843" s="2">
        <v>133</v>
      </c>
      <c r="C3843" s="3">
        <v>686383</v>
      </c>
      <c r="D3843" s="3" t="s">
        <v>5768</v>
      </c>
      <c r="E3843" s="2" t="s">
        <v>4739</v>
      </c>
      <c r="F3843" s="2" t="s">
        <v>10</v>
      </c>
      <c r="G3843" s="2" t="s">
        <v>11</v>
      </c>
      <c r="H3843" s="2">
        <v>4500000</v>
      </c>
      <c r="I3843" s="2">
        <v>8.1</v>
      </c>
      <c r="J3843" s="3">
        <v>242589580</v>
      </c>
      <c r="K3843">
        <f t="shared" si="128"/>
        <v>1.3775047412552699E-3</v>
      </c>
    </row>
    <row r="3844" spans="1:11" x14ac:dyDescent="0.3">
      <c r="A3844" s="2" t="s">
        <v>104</v>
      </c>
      <c r="B3844" s="2">
        <v>141</v>
      </c>
      <c r="C3844" s="3">
        <v>1647780</v>
      </c>
      <c r="D3844" s="3" t="s">
        <v>5775</v>
      </c>
      <c r="E3844" s="2" t="s">
        <v>1293</v>
      </c>
      <c r="F3844" s="2" t="s">
        <v>10</v>
      </c>
      <c r="G3844" s="2" t="s">
        <v>11</v>
      </c>
      <c r="H3844" s="2">
        <v>52000000</v>
      </c>
      <c r="I3844" s="2">
        <v>8</v>
      </c>
      <c r="J3844" s="3">
        <v>244052771</v>
      </c>
      <c r="K3844">
        <f t="shared" si="128"/>
        <v>1.3775047412552699E-3</v>
      </c>
    </row>
    <row r="3845" spans="1:11" x14ac:dyDescent="0.3">
      <c r="A3845" s="2" t="s">
        <v>666</v>
      </c>
      <c r="B3845" s="2">
        <v>102</v>
      </c>
      <c r="C3845" s="3">
        <v>9910</v>
      </c>
      <c r="D3845" s="3" t="s">
        <v>5776</v>
      </c>
      <c r="E3845" s="2" t="s">
        <v>667</v>
      </c>
      <c r="F3845" s="2" t="s">
        <v>10</v>
      </c>
      <c r="G3845" s="2" t="s">
        <v>11</v>
      </c>
      <c r="H3845" s="2">
        <v>80000000</v>
      </c>
      <c r="I3845" s="2">
        <v>6.5</v>
      </c>
      <c r="J3845" s="3">
        <v>245428137</v>
      </c>
      <c r="K3845">
        <f t="shared" si="128"/>
        <v>1.3775047412552699E-3</v>
      </c>
    </row>
    <row r="3846" spans="1:11" x14ac:dyDescent="0.3">
      <c r="A3846" s="2" t="s">
        <v>1453</v>
      </c>
      <c r="B3846" s="2">
        <v>126</v>
      </c>
      <c r="C3846" s="3">
        <v>398420</v>
      </c>
      <c r="D3846" s="3" t="s">
        <v>5755</v>
      </c>
      <c r="E3846" s="2" t="s">
        <v>2230</v>
      </c>
      <c r="F3846" s="2" t="s">
        <v>10</v>
      </c>
      <c r="G3846" s="2" t="s">
        <v>11</v>
      </c>
      <c r="H3846" s="2">
        <v>30000000</v>
      </c>
      <c r="I3846" s="2">
        <v>7.1</v>
      </c>
      <c r="J3846" s="3">
        <v>245823397</v>
      </c>
      <c r="K3846">
        <f t="shared" si="128"/>
        <v>1.3775047412552699E-3</v>
      </c>
    </row>
    <row r="3847" spans="1:11" x14ac:dyDescent="0.3">
      <c r="A3847" s="2" t="s">
        <v>128</v>
      </c>
      <c r="B3847" s="2">
        <v>138</v>
      </c>
      <c r="C3847" s="3">
        <v>106869</v>
      </c>
      <c r="D3847" s="3" t="s">
        <v>5777</v>
      </c>
      <c r="E3847" s="2" t="s">
        <v>679</v>
      </c>
      <c r="F3847" s="2" t="s">
        <v>10</v>
      </c>
      <c r="G3847" s="2" t="s">
        <v>11</v>
      </c>
      <c r="H3847" s="2">
        <v>80000000</v>
      </c>
      <c r="I3847" s="2">
        <v>8.1</v>
      </c>
      <c r="J3847" s="3">
        <v>249358727</v>
      </c>
      <c r="K3847">
        <f t="shared" si="128"/>
        <v>1.3775047412552699E-3</v>
      </c>
    </row>
    <row r="3848" spans="1:11" x14ac:dyDescent="0.3">
      <c r="A3848" s="2" t="s">
        <v>5160</v>
      </c>
      <c r="B3848" s="2">
        <v>105</v>
      </c>
      <c r="C3848" s="3">
        <v>396035</v>
      </c>
      <c r="D3848" s="3" t="s">
        <v>5755</v>
      </c>
      <c r="E3848" s="2" t="s">
        <v>5161</v>
      </c>
      <c r="F3848" s="2" t="s">
        <v>10</v>
      </c>
      <c r="G3848" s="2" t="s">
        <v>11</v>
      </c>
      <c r="H3848" s="2">
        <v>2000000</v>
      </c>
      <c r="I3848" s="2">
        <v>6.3</v>
      </c>
      <c r="J3848" s="3">
        <v>250147615</v>
      </c>
      <c r="K3848">
        <f t="shared" si="128"/>
        <v>1.3775047412552699E-3</v>
      </c>
    </row>
    <row r="3849" spans="1:11" x14ac:dyDescent="0.3">
      <c r="A3849" s="2" t="s">
        <v>104</v>
      </c>
      <c r="B3849" s="2">
        <v>107</v>
      </c>
      <c r="C3849" s="3">
        <v>173066</v>
      </c>
      <c r="D3849" s="3" t="s">
        <v>5766</v>
      </c>
      <c r="E3849" s="2" t="s">
        <v>320</v>
      </c>
      <c r="F3849" s="2" t="s">
        <v>10</v>
      </c>
      <c r="G3849" s="2" t="s">
        <v>11</v>
      </c>
      <c r="H3849" s="2">
        <v>135000000</v>
      </c>
      <c r="I3849" s="2">
        <v>7.4</v>
      </c>
      <c r="J3849" s="3">
        <v>250863268</v>
      </c>
      <c r="K3849">
        <f t="shared" si="128"/>
        <v>1.3775047412552699E-3</v>
      </c>
    </row>
    <row r="3850" spans="1:11" x14ac:dyDescent="0.3">
      <c r="A3850" s="2" t="s">
        <v>3745</v>
      </c>
      <c r="B3850" s="2">
        <v>94</v>
      </c>
      <c r="C3850" s="3">
        <v>13362308</v>
      </c>
      <c r="D3850" s="3" t="s">
        <v>5765</v>
      </c>
      <c r="E3850" s="2" t="s">
        <v>3746</v>
      </c>
      <c r="F3850" s="2" t="s">
        <v>10</v>
      </c>
      <c r="G3850" s="2" t="s">
        <v>16</v>
      </c>
      <c r="H3850" s="2">
        <v>12500000</v>
      </c>
      <c r="I3850" s="2">
        <v>7.8</v>
      </c>
      <c r="J3850" s="3">
        <v>251188924</v>
      </c>
      <c r="K3850">
        <f t="shared" si="128"/>
        <v>1.3775047412552699E-3</v>
      </c>
    </row>
    <row r="3851" spans="1:11" x14ac:dyDescent="0.3">
      <c r="A3851" s="2" t="s">
        <v>3932</v>
      </c>
      <c r="B3851" s="2">
        <v>95</v>
      </c>
      <c r="C3851" s="3">
        <v>2073984</v>
      </c>
      <c r="D3851" s="3" t="s">
        <v>5755</v>
      </c>
      <c r="E3851" s="2" t="s">
        <v>3933</v>
      </c>
      <c r="F3851" s="2" t="s">
        <v>10</v>
      </c>
      <c r="G3851" s="2" t="s">
        <v>11</v>
      </c>
      <c r="H3851" s="2" t="s">
        <v>5741</v>
      </c>
      <c r="I3851" s="2">
        <v>6.2</v>
      </c>
      <c r="J3851" s="3">
        <v>251501645</v>
      </c>
      <c r="K3851">
        <f t="shared" si="128"/>
        <v>1.3775047412552699E-3</v>
      </c>
    </row>
    <row r="3852" spans="1:11" x14ac:dyDescent="0.3">
      <c r="A3852" s="2" t="s">
        <v>404</v>
      </c>
      <c r="B3852" s="2">
        <v>89</v>
      </c>
      <c r="C3852" s="3">
        <v>712294</v>
      </c>
      <c r="D3852" s="3" t="s">
        <v>5778</v>
      </c>
      <c r="E3852" s="2" t="s">
        <v>4083</v>
      </c>
      <c r="F3852" s="2" t="s">
        <v>10</v>
      </c>
      <c r="G3852" s="2" t="s">
        <v>11</v>
      </c>
      <c r="H3852" s="2">
        <v>9000000</v>
      </c>
      <c r="I3852" s="2">
        <v>7.1</v>
      </c>
      <c r="J3852" s="3">
        <v>254455986</v>
      </c>
      <c r="K3852">
        <f t="shared" si="128"/>
        <v>1.3775047412552699E-3</v>
      </c>
    </row>
    <row r="3853" spans="1:11" x14ac:dyDescent="0.3">
      <c r="A3853" s="2" t="s">
        <v>4056</v>
      </c>
      <c r="B3853" s="2">
        <v>101</v>
      </c>
      <c r="C3853" s="3">
        <v>4914</v>
      </c>
      <c r="D3853" s="3" t="s">
        <v>5779</v>
      </c>
      <c r="E3853" s="2" t="s">
        <v>4057</v>
      </c>
      <c r="F3853" s="2" t="s">
        <v>10</v>
      </c>
      <c r="G3853" s="2" t="s">
        <v>11</v>
      </c>
      <c r="H3853" s="2">
        <v>7500000</v>
      </c>
      <c r="I3853" s="2">
        <v>8.6</v>
      </c>
      <c r="J3853" s="3">
        <v>255108370</v>
      </c>
      <c r="K3853">
        <f t="shared" si="128"/>
        <v>1.3775047412552699E-3</v>
      </c>
    </row>
    <row r="3854" spans="1:11" x14ac:dyDescent="0.3">
      <c r="A3854" s="2" t="s">
        <v>1806</v>
      </c>
      <c r="B3854" s="2">
        <v>106</v>
      </c>
      <c r="C3854" s="2">
        <v>13376506</v>
      </c>
      <c r="D3854" s="3" t="s">
        <v>5780</v>
      </c>
      <c r="E3854" s="2" t="s">
        <v>1807</v>
      </c>
      <c r="F3854" s="2" t="s">
        <v>10</v>
      </c>
      <c r="G3854" s="2" t="s">
        <v>11</v>
      </c>
      <c r="H3854" s="2">
        <v>40000000</v>
      </c>
      <c r="I3854" s="2">
        <v>6.3</v>
      </c>
      <c r="J3854" s="3">
        <v>255950375</v>
      </c>
      <c r="K3854">
        <f t="shared" si="128"/>
        <v>1.3775047412552699E-3</v>
      </c>
    </row>
    <row r="3855" spans="1:11" x14ac:dyDescent="0.3">
      <c r="A3855" s="2" t="s">
        <v>67</v>
      </c>
      <c r="B3855" s="2">
        <v>108</v>
      </c>
      <c r="C3855" s="3">
        <v>41709</v>
      </c>
      <c r="D3855" s="3" t="s">
        <v>5755</v>
      </c>
      <c r="E3855" s="2" t="s">
        <v>68</v>
      </c>
      <c r="F3855" s="2" t="s">
        <v>10</v>
      </c>
      <c r="G3855" s="2" t="s">
        <v>11</v>
      </c>
      <c r="H3855" s="2">
        <v>200000000</v>
      </c>
      <c r="I3855" s="2">
        <v>6.5</v>
      </c>
      <c r="J3855" s="3">
        <v>256386216</v>
      </c>
      <c r="K3855">
        <f t="shared" si="128"/>
        <v>1.3775047412552699E-3</v>
      </c>
    </row>
    <row r="3856" spans="1:11" x14ac:dyDescent="0.3">
      <c r="A3856" s="2" t="s">
        <v>4031</v>
      </c>
      <c r="B3856" s="2">
        <v>76</v>
      </c>
      <c r="C3856" s="3">
        <v>76382</v>
      </c>
      <c r="D3856" s="3" t="s">
        <v>5781</v>
      </c>
      <c r="E3856" s="2" t="s">
        <v>4032</v>
      </c>
      <c r="F3856" s="2" t="s">
        <v>10</v>
      </c>
      <c r="G3856" s="2" t="s">
        <v>11</v>
      </c>
      <c r="H3856" s="2">
        <v>3000000</v>
      </c>
      <c r="I3856" s="2">
        <v>5.9</v>
      </c>
      <c r="J3856" s="3">
        <v>257704099</v>
      </c>
      <c r="K3856">
        <f t="shared" si="128"/>
        <v>1.3775047412552699E-3</v>
      </c>
    </row>
    <row r="3857" spans="1:11" x14ac:dyDescent="0.3">
      <c r="A3857" s="2" t="s">
        <v>5402</v>
      </c>
      <c r="B3857" s="2">
        <v>90</v>
      </c>
      <c r="C3857" s="3">
        <v>3347439</v>
      </c>
      <c r="D3857" s="3" t="s">
        <v>5782</v>
      </c>
      <c r="E3857" s="2" t="s">
        <v>5403</v>
      </c>
      <c r="F3857" s="2" t="s">
        <v>10</v>
      </c>
      <c r="G3857" s="2" t="s">
        <v>11</v>
      </c>
      <c r="H3857" s="2">
        <v>989000</v>
      </c>
      <c r="I3857" s="2">
        <v>4.8</v>
      </c>
      <c r="J3857" s="3">
        <v>257756197</v>
      </c>
      <c r="K3857">
        <f t="shared" si="128"/>
        <v>1.3775047412552699E-3</v>
      </c>
    </row>
    <row r="3858" spans="1:11" x14ac:dyDescent="0.3">
      <c r="A3858" s="2" t="s">
        <v>2900</v>
      </c>
      <c r="B3858" s="2">
        <v>89</v>
      </c>
      <c r="C3858" s="3">
        <v>5199</v>
      </c>
      <c r="D3858" s="3" t="s">
        <v>5783</v>
      </c>
      <c r="E3858" s="2" t="s">
        <v>5477</v>
      </c>
      <c r="F3858" s="2" t="s">
        <v>10</v>
      </c>
      <c r="G3858" s="2" t="s">
        <v>11</v>
      </c>
      <c r="H3858" s="2">
        <v>500000</v>
      </c>
      <c r="I3858" s="2">
        <v>7.7</v>
      </c>
      <c r="J3858" s="3">
        <v>258355354</v>
      </c>
      <c r="K3858">
        <f t="shared" si="128"/>
        <v>1.3775047412552699E-3</v>
      </c>
    </row>
    <row r="3859" spans="1:11" x14ac:dyDescent="0.3">
      <c r="A3859" s="2" t="s">
        <v>2451</v>
      </c>
      <c r="B3859" s="2">
        <v>107</v>
      </c>
      <c r="C3859" s="3">
        <v>23106</v>
      </c>
      <c r="D3859" s="3" t="s">
        <v>5784</v>
      </c>
      <c r="E3859" s="2" t="s">
        <v>2677</v>
      </c>
      <c r="F3859" s="2" t="s">
        <v>10</v>
      </c>
      <c r="G3859" s="2" t="s">
        <v>16</v>
      </c>
      <c r="H3859" s="2">
        <v>25000000</v>
      </c>
      <c r="I3859" s="2">
        <v>6.8</v>
      </c>
      <c r="J3859" s="3">
        <v>259746958</v>
      </c>
      <c r="K3859">
        <f t="shared" si="128"/>
        <v>1.3775047412552699E-3</v>
      </c>
    </row>
    <row r="3860" spans="1:11" x14ac:dyDescent="0.3">
      <c r="A3860" s="2" t="s">
        <v>350</v>
      </c>
      <c r="B3860" s="2">
        <v>149</v>
      </c>
      <c r="C3860" s="3">
        <v>45162741</v>
      </c>
      <c r="D3860" s="3" t="s">
        <v>5785</v>
      </c>
      <c r="E3860" s="2" t="s">
        <v>1668</v>
      </c>
      <c r="F3860" s="2" t="s">
        <v>10</v>
      </c>
      <c r="G3860" s="2" t="s">
        <v>11</v>
      </c>
      <c r="H3860" s="2">
        <v>40000000</v>
      </c>
      <c r="I3860" s="2">
        <v>7.4</v>
      </c>
      <c r="J3860" s="3">
        <v>260000000</v>
      </c>
      <c r="K3860">
        <f t="shared" si="128"/>
        <v>1.3775047412552699E-3</v>
      </c>
    </row>
    <row r="3861" spans="1:11" x14ac:dyDescent="0.3">
      <c r="A3861" s="2" t="s">
        <v>1308</v>
      </c>
      <c r="B3861" s="2">
        <v>92</v>
      </c>
      <c r="C3861" s="3">
        <v>126247</v>
      </c>
      <c r="D3861" s="3" t="s">
        <v>5755</v>
      </c>
      <c r="E3861" s="2" t="s">
        <v>1309</v>
      </c>
      <c r="F3861" s="2" t="s">
        <v>10</v>
      </c>
      <c r="G3861" s="2" t="s">
        <v>504</v>
      </c>
      <c r="H3861" s="2">
        <v>52000000</v>
      </c>
      <c r="I3861" s="2">
        <v>6.5</v>
      </c>
      <c r="J3861" s="3">
        <v>260031035</v>
      </c>
      <c r="K3861">
        <f t="shared" si="128"/>
        <v>1.3775047412552699E-3</v>
      </c>
    </row>
    <row r="3862" spans="1:11" x14ac:dyDescent="0.3">
      <c r="A3862" s="2" t="s">
        <v>5270</v>
      </c>
      <c r="B3862" s="2">
        <v>94</v>
      </c>
      <c r="C3862" s="3">
        <v>382946</v>
      </c>
      <c r="D3862" s="3" t="s">
        <v>5768</v>
      </c>
      <c r="E3862" s="2" t="s">
        <v>5271</v>
      </c>
      <c r="F3862" s="2" t="s">
        <v>10</v>
      </c>
      <c r="G3862" s="2" t="s">
        <v>11</v>
      </c>
      <c r="H3862" s="2">
        <v>3000000</v>
      </c>
      <c r="I3862" s="2">
        <v>6.8</v>
      </c>
      <c r="J3862" s="3">
        <v>261437578</v>
      </c>
      <c r="K3862">
        <f t="shared" si="128"/>
        <v>1.3775047412552699E-3</v>
      </c>
    </row>
    <row r="3863" spans="1:11" x14ac:dyDescent="0.3">
      <c r="A3863" s="2" t="s">
        <v>462</v>
      </c>
      <c r="B3863" s="2">
        <v>137</v>
      </c>
      <c r="C3863" s="3">
        <v>225377</v>
      </c>
      <c r="D3863" s="3" t="s">
        <v>5768</v>
      </c>
      <c r="E3863" s="2" t="s">
        <v>1222</v>
      </c>
      <c r="F3863" s="2" t="s">
        <v>10</v>
      </c>
      <c r="G3863" s="2" t="s">
        <v>11</v>
      </c>
      <c r="H3863" s="2">
        <v>30000000</v>
      </c>
      <c r="I3863" s="2">
        <v>8</v>
      </c>
      <c r="J3863" s="3">
        <v>261970615</v>
      </c>
      <c r="K3863">
        <f t="shared" si="128"/>
        <v>1.3775047412552699E-3</v>
      </c>
    </row>
    <row r="3864" spans="1:11" x14ac:dyDescent="0.3">
      <c r="A3864" s="2" t="s">
        <v>1883</v>
      </c>
      <c r="B3864" s="2">
        <v>82</v>
      </c>
      <c r="C3864" s="3">
        <v>4958</v>
      </c>
      <c r="D3864" s="3" t="s">
        <v>5786</v>
      </c>
      <c r="E3864" s="2" t="s">
        <v>2443</v>
      </c>
      <c r="F3864" s="2" t="s">
        <v>10</v>
      </c>
      <c r="G3864" s="2" t="s">
        <v>11</v>
      </c>
      <c r="H3864" s="2">
        <v>27000000</v>
      </c>
      <c r="I3864" s="2">
        <v>5.6</v>
      </c>
      <c r="J3864" s="3">
        <v>262030663</v>
      </c>
      <c r="K3864">
        <f t="shared" si="128"/>
        <v>1.3775047412552699E-3</v>
      </c>
    </row>
    <row r="3865" spans="1:11" x14ac:dyDescent="0.3">
      <c r="A3865" s="2" t="s">
        <v>209</v>
      </c>
      <c r="B3865" s="2">
        <v>93</v>
      </c>
      <c r="C3865" s="3">
        <v>5354039</v>
      </c>
      <c r="D3865" s="3" t="s">
        <v>5787</v>
      </c>
      <c r="E3865" s="2" t="s">
        <v>700</v>
      </c>
      <c r="F3865" s="2" t="s">
        <v>10</v>
      </c>
      <c r="G3865" s="2" t="s">
        <v>11</v>
      </c>
      <c r="H3865" s="2">
        <v>65000000</v>
      </c>
      <c r="I3865" s="2">
        <v>5.6</v>
      </c>
      <c r="J3865" s="3">
        <v>267652016</v>
      </c>
      <c r="K3865">
        <f t="shared" si="128"/>
        <v>1.3775047412552699E-3</v>
      </c>
    </row>
    <row r="3866" spans="1:11" x14ac:dyDescent="0.3">
      <c r="A3866" s="2" t="s">
        <v>3679</v>
      </c>
      <c r="B3866" s="2">
        <v>93</v>
      </c>
      <c r="C3866" s="3">
        <v>8691</v>
      </c>
      <c r="D3866" s="3" t="s">
        <v>5755</v>
      </c>
      <c r="E3866" s="2" t="s">
        <v>4825</v>
      </c>
      <c r="F3866" s="2" t="s">
        <v>10</v>
      </c>
      <c r="G3866" s="2" t="s">
        <v>16</v>
      </c>
      <c r="H3866" s="2">
        <v>2500000</v>
      </c>
      <c r="I3866" s="2">
        <v>5.9</v>
      </c>
      <c r="J3866" s="3">
        <v>268488329</v>
      </c>
      <c r="K3866">
        <f t="shared" si="128"/>
        <v>1.3775047412552699E-3</v>
      </c>
    </row>
    <row r="3867" spans="1:11" x14ac:dyDescent="0.3">
      <c r="A3867" s="2" t="s">
        <v>104</v>
      </c>
      <c r="B3867" s="2">
        <v>117</v>
      </c>
      <c r="C3867" s="3">
        <v>163245</v>
      </c>
      <c r="D3867" s="3" t="s">
        <v>5788</v>
      </c>
      <c r="E3867" s="2" t="s">
        <v>297</v>
      </c>
      <c r="F3867" s="2" t="s">
        <v>10</v>
      </c>
      <c r="G3867" s="2" t="s">
        <v>16</v>
      </c>
      <c r="H3867" s="2">
        <v>140000000</v>
      </c>
      <c r="I3867" s="2">
        <v>6.8</v>
      </c>
      <c r="J3867" s="3">
        <v>274084951</v>
      </c>
      <c r="K3867">
        <f t="shared" si="128"/>
        <v>1.3775047412552699E-3</v>
      </c>
    </row>
    <row r="3868" spans="1:11" x14ac:dyDescent="0.3">
      <c r="A3868" s="2" t="s">
        <v>5029</v>
      </c>
      <c r="B3868" s="2">
        <v>106</v>
      </c>
      <c r="C3868" s="3">
        <v>13303319</v>
      </c>
      <c r="D3868" s="3" t="s">
        <v>5789</v>
      </c>
      <c r="E3868" s="2" t="s">
        <v>5030</v>
      </c>
      <c r="F3868" s="2" t="s">
        <v>10</v>
      </c>
      <c r="G3868" s="2" t="s">
        <v>16</v>
      </c>
      <c r="H3868" s="2">
        <v>14000000</v>
      </c>
      <c r="I3868" s="2">
        <v>6.2</v>
      </c>
      <c r="J3868" s="3">
        <v>277313371</v>
      </c>
      <c r="K3868">
        <f t="shared" si="128"/>
        <v>1.3775047412552699E-3</v>
      </c>
    </row>
    <row r="3869" spans="1:11" x14ac:dyDescent="0.3">
      <c r="A3869" s="2" t="s">
        <v>701</v>
      </c>
      <c r="B3869" s="2">
        <v>110</v>
      </c>
      <c r="C3869" s="3">
        <v>2892582</v>
      </c>
      <c r="D3869" s="3" t="s">
        <v>5790</v>
      </c>
      <c r="E3869" s="2" t="s">
        <v>4914</v>
      </c>
      <c r="F3869" s="2" t="s">
        <v>10</v>
      </c>
      <c r="G3869" s="2" t="s">
        <v>11</v>
      </c>
      <c r="H3869" s="2">
        <v>3000000</v>
      </c>
      <c r="I3869" s="2">
        <v>6.8</v>
      </c>
      <c r="J3869" s="3">
        <v>279167575</v>
      </c>
      <c r="K3869">
        <f t="shared" si="128"/>
        <v>1.3775047412552699E-3</v>
      </c>
    </row>
    <row r="3870" spans="1:11" x14ac:dyDescent="0.3">
      <c r="A3870" s="2" t="s">
        <v>5349</v>
      </c>
      <c r="B3870" s="2">
        <v>160</v>
      </c>
      <c r="C3870" s="2">
        <v>49000</v>
      </c>
      <c r="D3870" s="3" t="s">
        <v>5788</v>
      </c>
      <c r="E3870" s="2" t="s">
        <v>5351</v>
      </c>
      <c r="F3870" s="2" t="s">
        <v>3944</v>
      </c>
      <c r="G3870" s="2" t="s">
        <v>1845</v>
      </c>
      <c r="H3870" s="2">
        <v>1500000</v>
      </c>
      <c r="I3870" s="2">
        <v>4.8</v>
      </c>
      <c r="J3870" s="3">
        <v>281492479</v>
      </c>
      <c r="K3870">
        <f t="shared" si="128"/>
        <v>1.3775047412552699E-3</v>
      </c>
    </row>
    <row r="3871" spans="1:11" x14ac:dyDescent="0.3">
      <c r="A3871" s="2" t="s">
        <v>1979</v>
      </c>
      <c r="B3871" s="2">
        <v>120</v>
      </c>
      <c r="C3871" s="3">
        <v>31937</v>
      </c>
      <c r="D3871" s="3" t="s">
        <v>5755</v>
      </c>
      <c r="E3871" s="2" t="s">
        <v>1980</v>
      </c>
      <c r="F3871" s="2" t="s">
        <v>10</v>
      </c>
      <c r="G3871" s="2" t="s">
        <v>11</v>
      </c>
      <c r="H3871" s="2">
        <v>10700000</v>
      </c>
      <c r="I3871" s="2">
        <v>7.4</v>
      </c>
      <c r="J3871" s="3">
        <v>281666058</v>
      </c>
      <c r="K3871">
        <f t="shared" si="128"/>
        <v>1.3775047412552699E-3</v>
      </c>
    </row>
    <row r="3872" spans="1:11" x14ac:dyDescent="0.3">
      <c r="A3872" s="2" t="s">
        <v>50</v>
      </c>
      <c r="B3872" s="2">
        <v>176</v>
      </c>
      <c r="C3872" s="3">
        <v>37295394</v>
      </c>
      <c r="D3872" s="3" t="s">
        <v>5771</v>
      </c>
      <c r="E3872" s="2" t="s">
        <v>452</v>
      </c>
      <c r="F3872" s="2" t="s">
        <v>10</v>
      </c>
      <c r="G3872" s="2" t="s">
        <v>11</v>
      </c>
      <c r="H3872" s="2">
        <v>100000000</v>
      </c>
      <c r="I3872" s="2">
        <v>7.8</v>
      </c>
      <c r="J3872" s="3">
        <v>285761243</v>
      </c>
      <c r="K3872">
        <f t="shared" si="128"/>
        <v>1.3775047412552699E-3</v>
      </c>
    </row>
    <row r="3873" spans="1:11" x14ac:dyDescent="0.3">
      <c r="A3873" s="2" t="s">
        <v>726</v>
      </c>
      <c r="B3873" s="2">
        <v>96</v>
      </c>
      <c r="C3873" s="3">
        <v>145540</v>
      </c>
      <c r="D3873" s="3" t="s">
        <v>5791</v>
      </c>
      <c r="E3873" s="2" t="s">
        <v>1325</v>
      </c>
      <c r="F3873" s="2" t="s">
        <v>10</v>
      </c>
      <c r="G3873" s="2" t="s">
        <v>11</v>
      </c>
      <c r="H3873" s="2">
        <v>50000000</v>
      </c>
      <c r="I3873" s="2">
        <v>5.8</v>
      </c>
      <c r="J3873" s="3">
        <v>289907418</v>
      </c>
      <c r="K3873">
        <f t="shared" si="128"/>
        <v>1.3775047412552699E-3</v>
      </c>
    </row>
    <row r="3874" spans="1:11" x14ac:dyDescent="0.3">
      <c r="A3874" s="2" t="s">
        <v>454</v>
      </c>
      <c r="B3874" s="2">
        <v>127</v>
      </c>
      <c r="C3874" s="3">
        <v>40557</v>
      </c>
      <c r="D3874" s="3" t="s">
        <v>5792</v>
      </c>
      <c r="E3874" s="2" t="s">
        <v>1450</v>
      </c>
      <c r="F3874" s="2" t="s">
        <v>10</v>
      </c>
      <c r="G3874" s="2" t="s">
        <v>504</v>
      </c>
      <c r="H3874" s="2">
        <v>50000000</v>
      </c>
      <c r="I3874" s="2">
        <v>6</v>
      </c>
      <c r="J3874" s="3">
        <v>289994397</v>
      </c>
      <c r="K3874">
        <f t="shared" si="128"/>
        <v>1.3775047412552699E-3</v>
      </c>
    </row>
    <row r="3875" spans="1:11" x14ac:dyDescent="0.3">
      <c r="A3875" s="2" t="s">
        <v>112</v>
      </c>
      <c r="B3875" s="2">
        <v>131</v>
      </c>
      <c r="C3875" s="3">
        <v>25530884</v>
      </c>
      <c r="D3875" s="3" t="s">
        <v>5793</v>
      </c>
      <c r="E3875" s="2" t="s">
        <v>243</v>
      </c>
      <c r="F3875" s="2" t="s">
        <v>10</v>
      </c>
      <c r="G3875" s="2" t="s">
        <v>11</v>
      </c>
      <c r="H3875" s="2">
        <v>150000000</v>
      </c>
      <c r="I3875" s="2">
        <v>6.4</v>
      </c>
      <c r="J3875" s="3">
        <v>290158751</v>
      </c>
      <c r="K3875">
        <f t="shared" si="128"/>
        <v>1.3775047412552699E-3</v>
      </c>
    </row>
    <row r="3876" spans="1:11" x14ac:dyDescent="0.3">
      <c r="A3876" s="2" t="s">
        <v>1570</v>
      </c>
      <c r="B3876" s="2">
        <v>134</v>
      </c>
      <c r="C3876" s="3">
        <v>3830</v>
      </c>
      <c r="D3876" s="3" t="s">
        <v>5794</v>
      </c>
      <c r="E3876" s="2" t="s">
        <v>1571</v>
      </c>
      <c r="F3876" s="2" t="s">
        <v>10</v>
      </c>
      <c r="G3876" s="2" t="s">
        <v>11</v>
      </c>
      <c r="H3876" s="2">
        <v>45000000</v>
      </c>
      <c r="I3876" s="2">
        <v>6.4</v>
      </c>
      <c r="J3876" s="3">
        <v>291021565</v>
      </c>
      <c r="K3876">
        <f t="shared" si="128"/>
        <v>1.3775047412552699E-3</v>
      </c>
    </row>
    <row r="3877" spans="1:11" x14ac:dyDescent="0.3">
      <c r="A3877" s="2" t="s">
        <v>485</v>
      </c>
      <c r="B3877" s="2">
        <v>118</v>
      </c>
      <c r="C3877" s="3">
        <v>18195</v>
      </c>
      <c r="D3877" s="3" t="s">
        <v>5755</v>
      </c>
      <c r="E3877" s="2" t="s">
        <v>1424</v>
      </c>
      <c r="F3877" s="2" t="s">
        <v>10</v>
      </c>
      <c r="G3877" s="2" t="s">
        <v>11</v>
      </c>
      <c r="H3877" s="2">
        <v>50000000</v>
      </c>
      <c r="I3877" s="2">
        <v>6.5</v>
      </c>
      <c r="J3877" s="3">
        <v>291709845</v>
      </c>
      <c r="K3877">
        <f t="shared" si="128"/>
        <v>1.3775047412552699E-3</v>
      </c>
    </row>
    <row r="3878" spans="1:11" x14ac:dyDescent="0.3">
      <c r="A3878" s="2" t="s">
        <v>2900</v>
      </c>
      <c r="B3878" s="2">
        <v>128</v>
      </c>
      <c r="C3878" s="3">
        <v>40542</v>
      </c>
      <c r="D3878" s="3" t="s">
        <v>5794</v>
      </c>
      <c r="E3878" s="2" t="s">
        <v>2901</v>
      </c>
      <c r="F3878" s="2" t="s">
        <v>10</v>
      </c>
      <c r="G3878" s="2" t="s">
        <v>11</v>
      </c>
      <c r="H3878" s="2">
        <v>20000000</v>
      </c>
      <c r="I3878" s="2">
        <v>8.1</v>
      </c>
      <c r="J3878" s="3">
        <v>292000866</v>
      </c>
      <c r="K3878">
        <f t="shared" si="128"/>
        <v>1.3775047412552699E-3</v>
      </c>
    </row>
    <row r="3879" spans="1:11" x14ac:dyDescent="0.3">
      <c r="A3879" s="2" t="s">
        <v>728</v>
      </c>
      <c r="B3879" s="2">
        <v>123</v>
      </c>
      <c r="C3879" s="3">
        <v>96734</v>
      </c>
      <c r="D3879" s="3" t="s">
        <v>5795</v>
      </c>
      <c r="E3879" s="2" t="s">
        <v>2330</v>
      </c>
      <c r="F3879" s="2" t="s">
        <v>10</v>
      </c>
      <c r="G3879" s="2" t="s">
        <v>16</v>
      </c>
      <c r="H3879" s="2">
        <v>40000000</v>
      </c>
      <c r="I3879" s="2">
        <v>6.8</v>
      </c>
      <c r="J3879" s="3">
        <v>292298923</v>
      </c>
      <c r="K3879">
        <f t="shared" si="128"/>
        <v>1.3775047412552699E-3</v>
      </c>
    </row>
    <row r="3880" spans="1:11" x14ac:dyDescent="0.3">
      <c r="A3880" s="2" t="s">
        <v>736</v>
      </c>
      <c r="B3880" s="2">
        <v>119</v>
      </c>
      <c r="C3880" s="3">
        <v>27445</v>
      </c>
      <c r="D3880" s="3" t="s">
        <v>5755</v>
      </c>
      <c r="E3880" s="2" t="s">
        <v>737</v>
      </c>
      <c r="F3880" s="2" t="s">
        <v>10</v>
      </c>
      <c r="G3880" s="2" t="s">
        <v>11</v>
      </c>
      <c r="H3880" s="2">
        <v>44000000</v>
      </c>
      <c r="I3880" s="2">
        <v>2.4</v>
      </c>
      <c r="J3880" s="3">
        <v>292568851</v>
      </c>
      <c r="K3880">
        <f t="shared" si="128"/>
        <v>1.3775047412552699E-3</v>
      </c>
    </row>
    <row r="3881" spans="1:11" x14ac:dyDescent="0.3">
      <c r="A3881" s="2" t="s">
        <v>3162</v>
      </c>
      <c r="B3881" s="2">
        <v>103</v>
      </c>
      <c r="C3881" s="3">
        <v>18469</v>
      </c>
      <c r="D3881" s="3" t="s">
        <v>5796</v>
      </c>
      <c r="E3881" s="2" t="s">
        <v>3509</v>
      </c>
      <c r="F3881" s="2" t="s">
        <v>10</v>
      </c>
      <c r="G3881" s="2" t="s">
        <v>11</v>
      </c>
      <c r="H3881" s="2">
        <v>15000000</v>
      </c>
      <c r="I3881" s="2">
        <v>5.9</v>
      </c>
      <c r="J3881" s="3">
        <v>292979556</v>
      </c>
      <c r="K3881">
        <f t="shared" si="128"/>
        <v>1.3775047412552699E-3</v>
      </c>
    </row>
    <row r="3882" spans="1:11" x14ac:dyDescent="0.3">
      <c r="A3882" s="2" t="s">
        <v>181</v>
      </c>
      <c r="B3882" s="2">
        <v>123</v>
      </c>
      <c r="C3882" s="3">
        <v>9286314</v>
      </c>
      <c r="D3882" s="3" t="s">
        <v>5768</v>
      </c>
      <c r="E3882" s="2" t="s">
        <v>2106</v>
      </c>
      <c r="F3882" s="2" t="s">
        <v>10</v>
      </c>
      <c r="G3882" s="2" t="s">
        <v>11</v>
      </c>
      <c r="H3882" s="2">
        <v>32000000</v>
      </c>
      <c r="I3882" s="2">
        <v>6.4</v>
      </c>
      <c r="J3882" s="3">
        <v>293501675</v>
      </c>
      <c r="K3882">
        <f t="shared" si="128"/>
        <v>1.3775047412552699E-3</v>
      </c>
    </row>
    <row r="3883" spans="1:11" x14ac:dyDescent="0.3">
      <c r="A3883" s="2" t="s">
        <v>3990</v>
      </c>
      <c r="B3883" s="2">
        <v>88</v>
      </c>
      <c r="C3883" s="3">
        <v>5348317</v>
      </c>
      <c r="D3883" s="3" t="s">
        <v>5763</v>
      </c>
      <c r="E3883" s="2" t="s">
        <v>5430</v>
      </c>
      <c r="F3883" s="2" t="s">
        <v>10</v>
      </c>
      <c r="G3883" s="2" t="s">
        <v>504</v>
      </c>
      <c r="H3883" s="2">
        <v>800000</v>
      </c>
      <c r="I3883" s="2">
        <v>7.2</v>
      </c>
      <c r="J3883" s="3">
        <v>296623634</v>
      </c>
      <c r="K3883">
        <f t="shared" si="128"/>
        <v>1.3775047412552699E-3</v>
      </c>
    </row>
    <row r="3884" spans="1:11" x14ac:dyDescent="0.3">
      <c r="A3884" s="2" t="s">
        <v>1445</v>
      </c>
      <c r="B3884" s="2">
        <v>100</v>
      </c>
      <c r="C3884" s="3">
        <v>2060953</v>
      </c>
      <c r="D3884" s="3" t="s">
        <v>5773</v>
      </c>
      <c r="E3884" s="2" t="s">
        <v>4920</v>
      </c>
      <c r="F3884" s="2" t="s">
        <v>10</v>
      </c>
      <c r="G3884" s="2" t="s">
        <v>11</v>
      </c>
      <c r="H3884" s="2">
        <v>3000000</v>
      </c>
      <c r="I3884" s="2">
        <v>5.3</v>
      </c>
      <c r="J3884" s="3">
        <v>300523113</v>
      </c>
      <c r="K3884">
        <f t="shared" si="128"/>
        <v>1.3775047412552699E-3</v>
      </c>
    </row>
    <row r="3885" spans="1:11" x14ac:dyDescent="0.3">
      <c r="A3885" s="2" t="s">
        <v>328</v>
      </c>
      <c r="B3885" s="2">
        <v>95</v>
      </c>
      <c r="C3885" s="3">
        <v>2468</v>
      </c>
      <c r="D3885" s="3" t="s">
        <v>5797</v>
      </c>
      <c r="E3885" s="2" t="s">
        <v>329</v>
      </c>
      <c r="F3885" s="2" t="s">
        <v>10</v>
      </c>
      <c r="G3885" s="2" t="s">
        <v>11</v>
      </c>
      <c r="H3885" s="2">
        <v>130000000</v>
      </c>
      <c r="I3885" s="2">
        <v>7.3</v>
      </c>
      <c r="J3885" s="3">
        <v>301956980</v>
      </c>
      <c r="K3885">
        <f t="shared" si="128"/>
        <v>1.3775047412552699E-3</v>
      </c>
    </row>
    <row r="3886" spans="1:11" x14ac:dyDescent="0.3">
      <c r="A3886" s="2" t="s">
        <v>4771</v>
      </c>
      <c r="B3886" s="2">
        <v>106</v>
      </c>
      <c r="C3886" s="3">
        <v>28870</v>
      </c>
      <c r="D3886" s="3" t="s">
        <v>5755</v>
      </c>
      <c r="E3886" s="2" t="s">
        <v>4812</v>
      </c>
      <c r="F3886" s="2" t="s">
        <v>10</v>
      </c>
      <c r="G3886" s="2" t="s">
        <v>11</v>
      </c>
      <c r="H3886" s="2">
        <v>4000000</v>
      </c>
      <c r="I3886" s="2">
        <v>5.4</v>
      </c>
      <c r="J3886" s="3">
        <v>303001229</v>
      </c>
      <c r="K3886">
        <f t="shared" si="128"/>
        <v>1.3775047412552699E-3</v>
      </c>
    </row>
    <row r="3887" spans="1:11" x14ac:dyDescent="0.3">
      <c r="A3887" s="2" t="s">
        <v>209</v>
      </c>
      <c r="B3887" s="2">
        <v>88</v>
      </c>
      <c r="C3887" s="3">
        <v>7680</v>
      </c>
      <c r="D3887" s="3" t="s">
        <v>5798</v>
      </c>
      <c r="E3887" s="2" t="s">
        <v>3404</v>
      </c>
      <c r="F3887" s="2" t="s">
        <v>10</v>
      </c>
      <c r="G3887" s="2" t="s">
        <v>11</v>
      </c>
      <c r="H3887" s="2">
        <v>15000000</v>
      </c>
      <c r="I3887" s="2">
        <v>5.4</v>
      </c>
      <c r="J3887" s="3">
        <v>304360277</v>
      </c>
      <c r="K3887">
        <f t="shared" si="128"/>
        <v>1.3775047412552699E-3</v>
      </c>
    </row>
    <row r="3888" spans="1:11" x14ac:dyDescent="0.3">
      <c r="A3888" s="2" t="s">
        <v>1492</v>
      </c>
      <c r="B3888" s="2">
        <v>97</v>
      </c>
      <c r="C3888" s="3">
        <v>115504</v>
      </c>
      <c r="D3888" s="3" t="s">
        <v>5761</v>
      </c>
      <c r="E3888" s="2" t="s">
        <v>4050</v>
      </c>
      <c r="F3888" s="2" t="s">
        <v>10</v>
      </c>
      <c r="G3888" s="2" t="s">
        <v>16</v>
      </c>
      <c r="H3888" s="2">
        <v>10000000</v>
      </c>
      <c r="I3888" s="2">
        <v>7.4</v>
      </c>
      <c r="J3888" s="3">
        <v>305388685</v>
      </c>
      <c r="K3888">
        <f t="shared" si="128"/>
        <v>1.3775047412552699E-3</v>
      </c>
    </row>
    <row r="3889" spans="1:11" x14ac:dyDescent="0.3">
      <c r="A3889" s="2" t="s">
        <v>4652</v>
      </c>
      <c r="B3889" s="2">
        <v>107</v>
      </c>
      <c r="C3889" s="3">
        <v>1134049</v>
      </c>
      <c r="D3889" s="3" t="s">
        <v>5799</v>
      </c>
      <c r="E3889" s="2" t="s">
        <v>4653</v>
      </c>
      <c r="F3889" s="2" t="s">
        <v>10</v>
      </c>
      <c r="G3889" s="2" t="s">
        <v>11</v>
      </c>
      <c r="H3889" s="2">
        <v>5000000</v>
      </c>
      <c r="I3889" s="2">
        <v>6.3</v>
      </c>
      <c r="J3889" s="3">
        <v>306124059</v>
      </c>
      <c r="K3889">
        <f t="shared" si="128"/>
        <v>1.3775047412552699E-3</v>
      </c>
    </row>
    <row r="3890" spans="1:11" x14ac:dyDescent="0.3">
      <c r="A3890" s="2" t="s">
        <v>87</v>
      </c>
      <c r="B3890" s="2">
        <v>118</v>
      </c>
      <c r="C3890" s="3">
        <v>15500000</v>
      </c>
      <c r="D3890" s="3" t="s">
        <v>5765</v>
      </c>
      <c r="E3890" s="2" t="s">
        <v>88</v>
      </c>
      <c r="F3890" s="2" t="s">
        <v>10</v>
      </c>
      <c r="G3890" s="2" t="s">
        <v>11</v>
      </c>
      <c r="H3890" s="2">
        <v>200000000</v>
      </c>
      <c r="I3890" s="2">
        <v>6.6</v>
      </c>
      <c r="J3890" s="3">
        <v>309125409</v>
      </c>
      <c r="K3890">
        <f t="shared" si="128"/>
        <v>1.3775047412552699E-3</v>
      </c>
    </row>
    <row r="3891" spans="1:11" x14ac:dyDescent="0.3">
      <c r="A3891" s="2" t="s">
        <v>3658</v>
      </c>
      <c r="B3891" s="2">
        <v>102</v>
      </c>
      <c r="C3891" s="3">
        <v>703</v>
      </c>
      <c r="D3891" s="3" t="s">
        <v>5771</v>
      </c>
      <c r="E3891" s="2" t="s">
        <v>3659</v>
      </c>
      <c r="F3891" s="2" t="s">
        <v>10</v>
      </c>
      <c r="G3891" s="2" t="s">
        <v>11</v>
      </c>
      <c r="H3891" s="2">
        <v>13000000</v>
      </c>
      <c r="I3891" s="2">
        <v>7.3</v>
      </c>
      <c r="J3891" s="3">
        <v>309404152</v>
      </c>
      <c r="K3891">
        <f t="shared" si="128"/>
        <v>1.3775047412552699E-3</v>
      </c>
    </row>
    <row r="3892" spans="1:11" x14ac:dyDescent="0.3">
      <c r="A3892" s="2" t="s">
        <v>4514</v>
      </c>
      <c r="B3892" s="2">
        <v>104</v>
      </c>
      <c r="C3892" s="3">
        <v>145109</v>
      </c>
      <c r="D3892" s="3" t="s">
        <v>5752</v>
      </c>
      <c r="E3892" s="2" t="s">
        <v>4515</v>
      </c>
      <c r="F3892" s="2" t="s">
        <v>10</v>
      </c>
      <c r="G3892" s="2" t="s">
        <v>11</v>
      </c>
      <c r="H3892" s="2">
        <v>6000000</v>
      </c>
      <c r="I3892" s="2">
        <v>7.4</v>
      </c>
      <c r="J3892" s="3">
        <v>310675583</v>
      </c>
      <c r="K3892">
        <f t="shared" si="128"/>
        <v>1.3775047412552699E-3</v>
      </c>
    </row>
    <row r="3893" spans="1:11" x14ac:dyDescent="0.3">
      <c r="A3893" s="2" t="s">
        <v>4615</v>
      </c>
      <c r="B3893" s="2">
        <v>104</v>
      </c>
      <c r="C3893" s="3">
        <v>22723</v>
      </c>
      <c r="D3893" s="3" t="s">
        <v>5755</v>
      </c>
      <c r="E3893" s="2" t="s">
        <v>4616</v>
      </c>
      <c r="F3893" s="2" t="s">
        <v>10</v>
      </c>
      <c r="G3893" s="2" t="s">
        <v>11</v>
      </c>
      <c r="H3893" s="2">
        <v>5000000</v>
      </c>
      <c r="I3893" s="2">
        <v>6.5</v>
      </c>
      <c r="J3893" s="3">
        <v>312057433</v>
      </c>
      <c r="K3893">
        <f t="shared" si="128"/>
        <v>1.3775047412552699E-3</v>
      </c>
    </row>
    <row r="3894" spans="1:11" x14ac:dyDescent="0.3">
      <c r="A3894" s="2" t="s">
        <v>2724</v>
      </c>
      <c r="B3894" s="2">
        <v>80</v>
      </c>
      <c r="C3894" s="3">
        <v>197148</v>
      </c>
      <c r="D3894" s="3" t="s">
        <v>5765</v>
      </c>
      <c r="E3894" s="2" t="s">
        <v>2725</v>
      </c>
      <c r="F3894" s="2" t="s">
        <v>10</v>
      </c>
      <c r="G3894" s="2" t="s">
        <v>16</v>
      </c>
      <c r="H3894" s="2">
        <v>28000000</v>
      </c>
      <c r="I3894" s="2">
        <v>7.2</v>
      </c>
      <c r="J3894" s="3">
        <v>313837577</v>
      </c>
      <c r="K3894">
        <f t="shared" si="128"/>
        <v>1.3775047412552699E-3</v>
      </c>
    </row>
    <row r="3895" spans="1:11" x14ac:dyDescent="0.3">
      <c r="A3895" s="2" t="s">
        <v>304</v>
      </c>
      <c r="B3895" s="2">
        <v>134</v>
      </c>
      <c r="C3895" s="3">
        <v>14616</v>
      </c>
      <c r="D3895" s="3" t="s">
        <v>5800</v>
      </c>
      <c r="E3895" s="2" t="s">
        <v>1208</v>
      </c>
      <c r="F3895" s="2" t="s">
        <v>10</v>
      </c>
      <c r="G3895" s="2" t="s">
        <v>11</v>
      </c>
      <c r="H3895" s="2">
        <v>55000000</v>
      </c>
      <c r="I3895" s="2">
        <v>7.9</v>
      </c>
      <c r="J3895" s="3">
        <v>317011114</v>
      </c>
      <c r="K3895">
        <f t="shared" si="128"/>
        <v>1.3775047412552699E-3</v>
      </c>
    </row>
    <row r="3896" spans="1:11" x14ac:dyDescent="0.3">
      <c r="A3896" s="2" t="s">
        <v>485</v>
      </c>
      <c r="B3896" s="2">
        <v>81</v>
      </c>
      <c r="C3896" s="3">
        <v>111300</v>
      </c>
      <c r="D3896" s="3" t="s">
        <v>5755</v>
      </c>
      <c r="E3896" s="2" t="s">
        <v>5156</v>
      </c>
      <c r="F3896" s="2" t="s">
        <v>3090</v>
      </c>
      <c r="G3896" s="2" t="s">
        <v>199</v>
      </c>
      <c r="H3896" s="2">
        <v>3500000</v>
      </c>
      <c r="I3896" s="2">
        <v>7.8</v>
      </c>
      <c r="J3896" s="3">
        <v>317557891</v>
      </c>
      <c r="K3896">
        <f t="shared" si="128"/>
        <v>1.3775047412552699E-3</v>
      </c>
    </row>
    <row r="3897" spans="1:11" x14ac:dyDescent="0.3">
      <c r="A3897" s="2" t="s">
        <v>104</v>
      </c>
      <c r="B3897" s="2">
        <v>185</v>
      </c>
      <c r="C3897" s="3">
        <v>19539</v>
      </c>
      <c r="D3897" s="3" t="s">
        <v>5801</v>
      </c>
      <c r="E3897" s="2" t="s">
        <v>2514</v>
      </c>
      <c r="F3897" s="2" t="s">
        <v>10</v>
      </c>
      <c r="G3897" s="2" t="s">
        <v>11</v>
      </c>
      <c r="H3897" s="2">
        <v>22000000</v>
      </c>
      <c r="I3897" s="2">
        <v>8.9</v>
      </c>
      <c r="J3897" s="3">
        <v>318298180</v>
      </c>
      <c r="K3897">
        <f t="shared" si="128"/>
        <v>1.3775047412552699E-3</v>
      </c>
    </row>
    <row r="3898" spans="1:11" x14ac:dyDescent="0.3">
      <c r="A3898" s="2" t="s">
        <v>581</v>
      </c>
      <c r="B3898" s="2">
        <v>154</v>
      </c>
      <c r="C3898" s="3">
        <v>39659</v>
      </c>
      <c r="D3898" s="3" t="s">
        <v>5758</v>
      </c>
      <c r="E3898" s="2" t="s">
        <v>1610</v>
      </c>
      <c r="F3898" s="2" t="s">
        <v>10</v>
      </c>
      <c r="G3898" s="2" t="s">
        <v>11</v>
      </c>
      <c r="H3898" s="2">
        <v>42000000</v>
      </c>
      <c r="I3898" s="2">
        <v>6.8</v>
      </c>
      <c r="J3898" s="3">
        <v>318759914</v>
      </c>
      <c r="K3898">
        <f t="shared" si="128"/>
        <v>1.3775047412552699E-3</v>
      </c>
    </row>
    <row r="3899" spans="1:11" x14ac:dyDescent="0.3">
      <c r="A3899" s="2" t="s">
        <v>114</v>
      </c>
      <c r="B3899" s="2">
        <v>150</v>
      </c>
      <c r="C3899" s="3">
        <v>36497</v>
      </c>
      <c r="D3899" s="3" t="s">
        <v>5758</v>
      </c>
      <c r="E3899" s="2" t="s">
        <v>579</v>
      </c>
      <c r="F3899" s="2" t="s">
        <v>10</v>
      </c>
      <c r="G3899" s="2" t="s">
        <v>11</v>
      </c>
      <c r="H3899" s="2">
        <v>90000000</v>
      </c>
      <c r="I3899" s="2">
        <v>7.4</v>
      </c>
      <c r="J3899" s="3">
        <v>320706665</v>
      </c>
      <c r="K3899">
        <f t="shared" si="128"/>
        <v>1.3775047412552699E-3</v>
      </c>
    </row>
    <row r="3900" spans="1:11" x14ac:dyDescent="0.3">
      <c r="A3900" s="2" t="s">
        <v>358</v>
      </c>
      <c r="B3900" s="2">
        <v>99</v>
      </c>
      <c r="C3900" s="3">
        <v>1111615</v>
      </c>
      <c r="D3900" s="3" t="s">
        <v>5802</v>
      </c>
      <c r="E3900" s="2" t="s">
        <v>2525</v>
      </c>
      <c r="F3900" s="2" t="s">
        <v>10</v>
      </c>
      <c r="G3900" s="2" t="s">
        <v>11</v>
      </c>
      <c r="H3900" s="2">
        <v>25000000</v>
      </c>
      <c r="I3900" s="2">
        <v>6.2</v>
      </c>
      <c r="J3900" s="3">
        <v>323505540</v>
      </c>
      <c r="K3900">
        <f t="shared" si="128"/>
        <v>1.3775047412552699E-3</v>
      </c>
    </row>
    <row r="3901" spans="1:11" x14ac:dyDescent="0.3">
      <c r="A3901" s="2" t="s">
        <v>2398</v>
      </c>
      <c r="B3901" s="2">
        <v>93</v>
      </c>
      <c r="C3901" s="3">
        <v>4235837</v>
      </c>
      <c r="D3901" s="3" t="s">
        <v>5803</v>
      </c>
      <c r="E3901" s="2" t="s">
        <v>4265</v>
      </c>
      <c r="F3901" s="2" t="s">
        <v>10</v>
      </c>
      <c r="G3901" s="2" t="s">
        <v>11</v>
      </c>
      <c r="H3901" s="2">
        <v>5000000</v>
      </c>
      <c r="I3901" s="2">
        <v>6.5</v>
      </c>
      <c r="J3901" s="3">
        <v>329691196</v>
      </c>
      <c r="K3901">
        <f t="shared" si="128"/>
        <v>1.3775047412552699E-3</v>
      </c>
    </row>
    <row r="3902" spans="1:11" x14ac:dyDescent="0.3">
      <c r="A3902" s="2" t="s">
        <v>404</v>
      </c>
      <c r="B3902" s="2">
        <v>116</v>
      </c>
      <c r="C3902" s="3">
        <v>2580</v>
      </c>
      <c r="D3902" s="3" t="s">
        <v>5804</v>
      </c>
      <c r="E3902" s="2" t="s">
        <v>612</v>
      </c>
      <c r="F3902" s="2" t="s">
        <v>10</v>
      </c>
      <c r="G3902" s="2" t="s">
        <v>11</v>
      </c>
      <c r="H3902" s="2">
        <v>85000000</v>
      </c>
      <c r="I3902" s="2">
        <v>7.8</v>
      </c>
      <c r="J3902" s="3">
        <v>330249062</v>
      </c>
      <c r="K3902">
        <f t="shared" si="128"/>
        <v>1.3775047412552699E-3</v>
      </c>
    </row>
    <row r="3903" spans="1:11" x14ac:dyDescent="0.3">
      <c r="A3903" s="2" t="s">
        <v>404</v>
      </c>
      <c r="B3903" s="2">
        <v>125</v>
      </c>
      <c r="C3903" s="3">
        <v>26893</v>
      </c>
      <c r="D3903" s="3" t="s">
        <v>5805</v>
      </c>
      <c r="E3903" s="2" t="s">
        <v>405</v>
      </c>
      <c r="F3903" s="2" t="s">
        <v>10</v>
      </c>
      <c r="G3903" s="2" t="s">
        <v>11</v>
      </c>
      <c r="H3903" s="2">
        <v>110000000</v>
      </c>
      <c r="I3903" s="2">
        <v>6.4</v>
      </c>
      <c r="J3903" s="3">
        <v>333130696</v>
      </c>
      <c r="K3903">
        <f t="shared" si="128"/>
        <v>1.3775047412552699E-3</v>
      </c>
    </row>
    <row r="3904" spans="1:11" x14ac:dyDescent="0.3">
      <c r="A3904" s="2" t="s">
        <v>1017</v>
      </c>
      <c r="B3904" s="2">
        <v>98</v>
      </c>
      <c r="C3904" s="3">
        <v>8060</v>
      </c>
      <c r="D3904" s="3" t="s">
        <v>5759</v>
      </c>
      <c r="E3904" s="2" t="s">
        <v>3432</v>
      </c>
      <c r="F3904" s="2" t="s">
        <v>10</v>
      </c>
      <c r="G3904" s="2" t="s">
        <v>11</v>
      </c>
      <c r="H3904" s="2">
        <v>16000000</v>
      </c>
      <c r="I3904" s="2">
        <v>8.1</v>
      </c>
      <c r="J3904" s="3">
        <v>334185206</v>
      </c>
      <c r="K3904">
        <f t="shared" si="128"/>
        <v>1.3775047412552699E-3</v>
      </c>
    </row>
    <row r="3905" spans="1:11" x14ac:dyDescent="0.3">
      <c r="A3905" s="2" t="s">
        <v>581</v>
      </c>
      <c r="B3905" s="2">
        <v>133</v>
      </c>
      <c r="C3905" s="3">
        <v>1400000</v>
      </c>
      <c r="D3905" s="3" t="s">
        <v>5806</v>
      </c>
      <c r="E3905" s="2" t="s">
        <v>1002</v>
      </c>
      <c r="F3905" s="2" t="s">
        <v>10</v>
      </c>
      <c r="G3905" s="2" t="s">
        <v>11</v>
      </c>
      <c r="H3905" s="2">
        <v>64000000</v>
      </c>
      <c r="I3905" s="2">
        <v>5.0999999999999996</v>
      </c>
      <c r="J3905" s="3">
        <v>336029560</v>
      </c>
      <c r="K3905">
        <f t="shared" si="128"/>
        <v>1.3775047412552699E-3</v>
      </c>
    </row>
    <row r="3906" spans="1:11" x14ac:dyDescent="0.3">
      <c r="A3906" s="2" t="s">
        <v>104</v>
      </c>
      <c r="B3906" s="2">
        <v>118</v>
      </c>
      <c r="C3906" s="3">
        <v>1521</v>
      </c>
      <c r="D3906" s="3" t="s">
        <v>5804</v>
      </c>
      <c r="E3906" s="2" t="s">
        <v>2372</v>
      </c>
      <c r="F3906" s="2" t="s">
        <v>10</v>
      </c>
      <c r="G3906" s="2" t="s">
        <v>11</v>
      </c>
      <c r="H3906" s="2">
        <v>28000000</v>
      </c>
      <c r="I3906" s="2">
        <v>7.6</v>
      </c>
      <c r="J3906" s="3">
        <v>336530303</v>
      </c>
      <c r="K3906">
        <f t="shared" ref="K3906:K3941" si="129">CORREL(H$2:H$3941,J$2:J$3941)</f>
        <v>1.3775047412552699E-3</v>
      </c>
    </row>
    <row r="3907" spans="1:11" x14ac:dyDescent="0.3">
      <c r="A3907" s="2" t="s">
        <v>114</v>
      </c>
      <c r="B3907" s="2">
        <v>96</v>
      </c>
      <c r="C3907" s="3">
        <v>115862</v>
      </c>
      <c r="D3907" s="3" t="s">
        <v>5770</v>
      </c>
      <c r="E3907" s="2" t="s">
        <v>115</v>
      </c>
      <c r="F3907" s="2" t="s">
        <v>10</v>
      </c>
      <c r="G3907" s="2" t="s">
        <v>11</v>
      </c>
      <c r="H3907" s="2">
        <v>200000000</v>
      </c>
      <c r="I3907" s="2">
        <v>6.8</v>
      </c>
      <c r="J3907" s="3">
        <v>337103873</v>
      </c>
      <c r="K3907">
        <f t="shared" si="129"/>
        <v>1.3775047412552699E-3</v>
      </c>
    </row>
    <row r="3908" spans="1:11" x14ac:dyDescent="0.3">
      <c r="A3908" s="2" t="s">
        <v>4287</v>
      </c>
      <c r="B3908" s="2">
        <v>106</v>
      </c>
      <c r="C3908" s="3">
        <v>371081</v>
      </c>
      <c r="D3908" s="3" t="s">
        <v>5795</v>
      </c>
      <c r="E3908" s="2" t="s">
        <v>4288</v>
      </c>
      <c r="F3908" s="2" t="s">
        <v>10</v>
      </c>
      <c r="G3908" s="2" t="s">
        <v>11</v>
      </c>
      <c r="H3908" s="2">
        <v>8000000</v>
      </c>
      <c r="I3908" s="2">
        <v>6.8</v>
      </c>
      <c r="J3908" s="3">
        <v>340478898</v>
      </c>
      <c r="K3908">
        <f t="shared" si="129"/>
        <v>1.3775047412552699E-3</v>
      </c>
    </row>
    <row r="3909" spans="1:11" x14ac:dyDescent="0.3">
      <c r="A3909" s="2" t="s">
        <v>4728</v>
      </c>
      <c r="B3909" s="2">
        <v>97</v>
      </c>
      <c r="C3909" s="3">
        <v>12438</v>
      </c>
      <c r="D3909" s="3" t="s">
        <v>5807</v>
      </c>
      <c r="E3909" s="2" t="s">
        <v>4729</v>
      </c>
      <c r="F3909" s="2" t="s">
        <v>10</v>
      </c>
      <c r="G3909" s="2" t="s">
        <v>932</v>
      </c>
      <c r="H3909" s="2">
        <v>4600000</v>
      </c>
      <c r="I3909" s="2">
        <v>5.9</v>
      </c>
      <c r="J3909" s="3">
        <v>350034110</v>
      </c>
      <c r="K3909">
        <f t="shared" si="129"/>
        <v>1.3775047412552699E-3</v>
      </c>
    </row>
    <row r="3910" spans="1:11" x14ac:dyDescent="0.3">
      <c r="A3910" s="2" t="s">
        <v>549</v>
      </c>
      <c r="B3910" s="2">
        <v>121</v>
      </c>
      <c r="C3910" s="3">
        <v>4018695</v>
      </c>
      <c r="D3910" s="3" t="s">
        <v>5795</v>
      </c>
      <c r="E3910" s="2" t="s">
        <v>986</v>
      </c>
      <c r="F3910" s="2" t="s">
        <v>10</v>
      </c>
      <c r="G3910" s="2" t="s">
        <v>11</v>
      </c>
      <c r="H3910" s="2">
        <v>65000000</v>
      </c>
      <c r="I3910" s="2">
        <v>6.7</v>
      </c>
      <c r="J3910" s="3">
        <v>350123553</v>
      </c>
      <c r="K3910">
        <f t="shared" si="129"/>
        <v>1.3775047412552699E-3</v>
      </c>
    </row>
    <row r="3911" spans="1:11" x14ac:dyDescent="0.3">
      <c r="A3911" s="2" t="s">
        <v>3940</v>
      </c>
      <c r="B3911" s="2">
        <v>118</v>
      </c>
      <c r="C3911" s="3">
        <v>13751</v>
      </c>
      <c r="D3911" s="3" t="s">
        <v>5752</v>
      </c>
      <c r="E3911" s="2" t="s">
        <v>3941</v>
      </c>
      <c r="F3911" s="2" t="s">
        <v>10</v>
      </c>
      <c r="G3911" s="2" t="s">
        <v>98</v>
      </c>
      <c r="H3911" s="2">
        <v>15000000</v>
      </c>
      <c r="I3911" s="2">
        <v>6.4</v>
      </c>
      <c r="J3911" s="3">
        <v>352358779</v>
      </c>
      <c r="K3911">
        <f t="shared" si="129"/>
        <v>1.3775047412552699E-3</v>
      </c>
    </row>
    <row r="3912" spans="1:11" x14ac:dyDescent="0.3">
      <c r="A3912" s="2" t="s">
        <v>1338</v>
      </c>
      <c r="B3912" s="2">
        <v>135</v>
      </c>
      <c r="C3912" s="3">
        <v>22000</v>
      </c>
      <c r="D3912" s="3" t="s">
        <v>5768</v>
      </c>
      <c r="E3912" s="2" t="s">
        <v>4092</v>
      </c>
      <c r="F3912" s="2" t="s">
        <v>10</v>
      </c>
      <c r="G3912" s="2" t="s">
        <v>11</v>
      </c>
      <c r="H3912" s="2">
        <v>10000000</v>
      </c>
      <c r="I3912" s="2">
        <v>6.5</v>
      </c>
      <c r="J3912" s="3">
        <v>356454367</v>
      </c>
      <c r="K3912">
        <f t="shared" si="129"/>
        <v>1.3775047412552699E-3</v>
      </c>
    </row>
    <row r="3913" spans="1:11" x14ac:dyDescent="0.3">
      <c r="A3913" s="2" t="s">
        <v>1225</v>
      </c>
      <c r="B3913" s="2">
        <v>95</v>
      </c>
      <c r="C3913" s="3">
        <v>2808000</v>
      </c>
      <c r="D3913" s="3" t="s">
        <v>5808</v>
      </c>
      <c r="E3913" s="2" t="s">
        <v>1345</v>
      </c>
      <c r="F3913" s="2" t="s">
        <v>10</v>
      </c>
      <c r="G3913" s="2" t="s">
        <v>11</v>
      </c>
      <c r="H3913" s="2">
        <v>50000000</v>
      </c>
      <c r="I3913" s="2">
        <v>5.6</v>
      </c>
      <c r="J3913" s="3">
        <v>356784000</v>
      </c>
      <c r="K3913">
        <f t="shared" si="129"/>
        <v>1.3775047412552699E-3</v>
      </c>
    </row>
    <row r="3914" spans="1:11" x14ac:dyDescent="0.3">
      <c r="A3914" s="2" t="s">
        <v>175</v>
      </c>
      <c r="B3914" s="2">
        <v>112</v>
      </c>
      <c r="C3914" s="3">
        <v>22451</v>
      </c>
      <c r="D3914" s="3" t="s">
        <v>5752</v>
      </c>
      <c r="E3914" s="2" t="s">
        <v>1471</v>
      </c>
      <c r="F3914" s="2" t="s">
        <v>10</v>
      </c>
      <c r="G3914" s="2" t="s">
        <v>11</v>
      </c>
      <c r="H3914" s="2">
        <v>48000000</v>
      </c>
      <c r="I3914" s="2">
        <v>6.8</v>
      </c>
      <c r="J3914" s="3">
        <v>362645141</v>
      </c>
      <c r="K3914">
        <f t="shared" si="129"/>
        <v>1.3775047412552699E-3</v>
      </c>
    </row>
    <row r="3915" spans="1:11" x14ac:dyDescent="0.3">
      <c r="A3915" s="2" t="s">
        <v>4239</v>
      </c>
      <c r="B3915" s="2">
        <v>101</v>
      </c>
      <c r="C3915" s="3">
        <v>4006906</v>
      </c>
      <c r="D3915" s="3" t="s">
        <v>5809</v>
      </c>
      <c r="E3915" s="2" t="s">
        <v>4240</v>
      </c>
      <c r="F3915" s="2" t="s">
        <v>10</v>
      </c>
      <c r="G3915" s="2" t="s">
        <v>11</v>
      </c>
      <c r="H3915" s="2">
        <v>8000000</v>
      </c>
      <c r="I3915" s="2">
        <v>7.9</v>
      </c>
      <c r="J3915" s="3">
        <v>363024263</v>
      </c>
      <c r="K3915">
        <f t="shared" si="129"/>
        <v>1.3775047412552699E-3</v>
      </c>
    </row>
    <row r="3916" spans="1:11" x14ac:dyDescent="0.3">
      <c r="A3916" s="2" t="s">
        <v>2141</v>
      </c>
      <c r="B3916" s="2">
        <v>122</v>
      </c>
      <c r="C3916" s="3">
        <v>1127331</v>
      </c>
      <c r="D3916" s="3" t="s">
        <v>5810</v>
      </c>
      <c r="E3916" s="2" t="s">
        <v>3900</v>
      </c>
      <c r="F3916" s="2" t="s">
        <v>10</v>
      </c>
      <c r="G3916" s="2" t="s">
        <v>16</v>
      </c>
      <c r="H3916" s="2">
        <v>11000000</v>
      </c>
      <c r="I3916" s="2">
        <v>7.6</v>
      </c>
      <c r="J3916" s="3">
        <v>368049635</v>
      </c>
      <c r="K3916">
        <f t="shared" si="129"/>
        <v>1.3775047412552699E-3</v>
      </c>
    </row>
    <row r="3917" spans="1:11" x14ac:dyDescent="0.3">
      <c r="A3917" s="2" t="s">
        <v>4978</v>
      </c>
      <c r="B3917" s="2">
        <v>105</v>
      </c>
      <c r="C3917" s="3">
        <v>7826</v>
      </c>
      <c r="D3917" s="3" t="s">
        <v>5752</v>
      </c>
      <c r="E3917" s="2" t="s">
        <v>4979</v>
      </c>
      <c r="F3917" s="2" t="s">
        <v>10</v>
      </c>
      <c r="G3917" s="2" t="s">
        <v>11</v>
      </c>
      <c r="H3917" s="2">
        <v>1500000</v>
      </c>
      <c r="I3917" s="2">
        <v>6.5</v>
      </c>
      <c r="J3917" s="3">
        <v>373377893</v>
      </c>
      <c r="K3917">
        <f t="shared" si="129"/>
        <v>1.3775047412552699E-3</v>
      </c>
    </row>
    <row r="3918" spans="1:11" x14ac:dyDescent="0.3">
      <c r="A3918" s="2" t="s">
        <v>4118</v>
      </c>
      <c r="B3918" s="2">
        <v>93</v>
      </c>
      <c r="C3918" s="2">
        <v>365734</v>
      </c>
      <c r="D3918" s="3" t="s">
        <v>5811</v>
      </c>
      <c r="E3918" s="2" t="s">
        <v>4119</v>
      </c>
      <c r="F3918" s="2" t="s">
        <v>10</v>
      </c>
      <c r="G3918" s="2" t="s">
        <v>11</v>
      </c>
      <c r="H3918" s="2">
        <v>10000000</v>
      </c>
      <c r="I3918" s="2">
        <v>5</v>
      </c>
      <c r="J3918" s="3">
        <v>377019252</v>
      </c>
      <c r="K3918">
        <f t="shared" si="129"/>
        <v>1.3775047412552699E-3</v>
      </c>
    </row>
    <row r="3919" spans="1:11" x14ac:dyDescent="0.3">
      <c r="A3919" s="2" t="s">
        <v>3932</v>
      </c>
      <c r="B3919" s="2">
        <v>95</v>
      </c>
      <c r="C3919" s="3">
        <v>144583</v>
      </c>
      <c r="D3919" s="3" t="s">
        <v>5753</v>
      </c>
      <c r="E3919" s="2" t="s">
        <v>3933</v>
      </c>
      <c r="F3919" s="2" t="s">
        <v>10</v>
      </c>
      <c r="G3919" s="2" t="s">
        <v>11</v>
      </c>
      <c r="H3919" s="2">
        <v>5000000</v>
      </c>
      <c r="I3919" s="2">
        <v>6.2</v>
      </c>
      <c r="J3919" s="3">
        <v>380262555</v>
      </c>
      <c r="K3919">
        <f t="shared" si="129"/>
        <v>1.3775047412552699E-3</v>
      </c>
    </row>
    <row r="3920" spans="1:11" x14ac:dyDescent="0.3">
      <c r="A3920" s="2" t="s">
        <v>316</v>
      </c>
      <c r="B3920" s="2">
        <v>101</v>
      </c>
      <c r="C3920" s="3">
        <v>365734</v>
      </c>
      <c r="D3920" s="3" t="s">
        <v>5812</v>
      </c>
      <c r="E3920" s="2" t="s">
        <v>3005</v>
      </c>
      <c r="F3920" s="2" t="s">
        <v>10</v>
      </c>
      <c r="G3920" s="2" t="s">
        <v>16</v>
      </c>
      <c r="H3920" s="2">
        <v>30000000</v>
      </c>
      <c r="I3920" s="2">
        <v>7.1</v>
      </c>
      <c r="J3920" s="3">
        <v>380838870</v>
      </c>
      <c r="K3920">
        <f t="shared" si="129"/>
        <v>1.3775047412552699E-3</v>
      </c>
    </row>
    <row r="3921" spans="1:11" x14ac:dyDescent="0.3">
      <c r="A3921" s="2" t="s">
        <v>728</v>
      </c>
      <c r="B3921" s="2">
        <v>137</v>
      </c>
      <c r="C3921" s="3">
        <v>49000</v>
      </c>
      <c r="D3921" s="3" t="s">
        <v>5779</v>
      </c>
      <c r="E3921" s="2" t="s">
        <v>2699</v>
      </c>
      <c r="F3921" s="2" t="s">
        <v>10</v>
      </c>
      <c r="G3921" s="2" t="s">
        <v>11</v>
      </c>
      <c r="H3921" s="2">
        <v>24000000</v>
      </c>
      <c r="I3921" s="2">
        <v>7.6</v>
      </c>
      <c r="J3921" s="3">
        <v>400736600</v>
      </c>
      <c r="K3921">
        <f t="shared" si="129"/>
        <v>1.3775047412552699E-3</v>
      </c>
    </row>
    <row r="3922" spans="1:11" x14ac:dyDescent="0.3">
      <c r="A3922" s="2" t="s">
        <v>1574</v>
      </c>
      <c r="B3922" s="2">
        <v>148</v>
      </c>
      <c r="C3922" s="3">
        <v>9213</v>
      </c>
      <c r="D3922" s="3" t="s">
        <v>5806</v>
      </c>
      <c r="E3922" s="2" t="s">
        <v>4718</v>
      </c>
      <c r="F3922" s="2" t="s">
        <v>10</v>
      </c>
      <c r="G3922" s="2" t="s">
        <v>11</v>
      </c>
      <c r="H3922" s="2">
        <v>890000</v>
      </c>
      <c r="I3922" s="2">
        <v>8</v>
      </c>
      <c r="J3922" s="3">
        <v>402076689</v>
      </c>
      <c r="K3922">
        <f t="shared" si="129"/>
        <v>1.3775047412552699E-3</v>
      </c>
    </row>
    <row r="3923" spans="1:11" x14ac:dyDescent="0.3">
      <c r="A3923" s="2" t="s">
        <v>1604</v>
      </c>
      <c r="B3923" s="2">
        <v>126</v>
      </c>
      <c r="C3923" s="3">
        <v>77231</v>
      </c>
      <c r="D3923" s="3" t="s">
        <v>5761</v>
      </c>
      <c r="E3923" s="2" t="s">
        <v>3958</v>
      </c>
      <c r="F3923" s="2" t="s">
        <v>10</v>
      </c>
      <c r="G3923" s="2" t="s">
        <v>11</v>
      </c>
      <c r="H3923" s="2">
        <v>10000000</v>
      </c>
      <c r="I3923" s="2">
        <v>8.3000000000000007</v>
      </c>
      <c r="J3923" s="3">
        <v>403706375</v>
      </c>
      <c r="K3923">
        <f t="shared" si="129"/>
        <v>1.3775047412552699E-3</v>
      </c>
    </row>
    <row r="3924" spans="1:11" x14ac:dyDescent="0.3">
      <c r="A3924" s="2" t="s">
        <v>581</v>
      </c>
      <c r="B3924" s="2">
        <v>128</v>
      </c>
      <c r="C3924" s="3">
        <v>6013</v>
      </c>
      <c r="D3924" s="3" t="s">
        <v>5753</v>
      </c>
      <c r="E3924" s="2" t="s">
        <v>582</v>
      </c>
      <c r="F3924" s="2" t="s">
        <v>583</v>
      </c>
      <c r="G3924" s="2" t="s">
        <v>16</v>
      </c>
      <c r="H3924" s="2">
        <v>80000000</v>
      </c>
      <c r="I3924" s="2">
        <v>6.4</v>
      </c>
      <c r="J3924" s="3">
        <v>407197282</v>
      </c>
      <c r="K3924">
        <f t="shared" si="129"/>
        <v>1.3775047412552699E-3</v>
      </c>
    </row>
    <row r="3925" spans="1:11" x14ac:dyDescent="0.3">
      <c r="A3925" s="2" t="s">
        <v>1338</v>
      </c>
      <c r="B3925" s="2">
        <v>129</v>
      </c>
      <c r="C3925" s="3">
        <v>703002</v>
      </c>
      <c r="D3925" s="3" t="s">
        <v>5813</v>
      </c>
      <c r="E3925" s="2" t="s">
        <v>1339</v>
      </c>
      <c r="F3925" s="2" t="s">
        <v>10</v>
      </c>
      <c r="G3925" s="2" t="s">
        <v>11</v>
      </c>
      <c r="H3925" s="2">
        <v>45000000</v>
      </c>
      <c r="I3925" s="2">
        <v>7.6</v>
      </c>
      <c r="J3925" s="3">
        <v>407999255</v>
      </c>
      <c r="K3925">
        <f t="shared" si="129"/>
        <v>1.3775047412552699E-3</v>
      </c>
    </row>
    <row r="3926" spans="1:11" x14ac:dyDescent="0.3">
      <c r="A3926" s="2" t="s">
        <v>1883</v>
      </c>
      <c r="B3926" s="2">
        <v>103</v>
      </c>
      <c r="C3926" s="3">
        <v>7927</v>
      </c>
      <c r="D3926" s="3" t="s">
        <v>5780</v>
      </c>
      <c r="E3926" s="2" t="s">
        <v>4379</v>
      </c>
      <c r="F3926" s="2" t="s">
        <v>10</v>
      </c>
      <c r="G3926" s="2" t="s">
        <v>11</v>
      </c>
      <c r="H3926" s="2">
        <v>7000000</v>
      </c>
      <c r="I3926" s="2">
        <v>6.2</v>
      </c>
      <c r="J3926" s="3">
        <v>408992272</v>
      </c>
      <c r="K3926">
        <f t="shared" si="129"/>
        <v>1.3775047412552699E-3</v>
      </c>
    </row>
    <row r="3927" spans="1:11" x14ac:dyDescent="0.3">
      <c r="A3927" s="2" t="s">
        <v>5507</v>
      </c>
      <c r="B3927" s="2">
        <v>82</v>
      </c>
      <c r="C3927" s="3">
        <v>11835</v>
      </c>
      <c r="D3927" s="3" t="s">
        <v>5779</v>
      </c>
      <c r="E3927" s="2" t="s">
        <v>5508</v>
      </c>
      <c r="F3927" s="2" t="s">
        <v>10</v>
      </c>
      <c r="G3927" s="2" t="s">
        <v>504</v>
      </c>
      <c r="H3927" s="2">
        <v>500000</v>
      </c>
      <c r="I3927" s="2">
        <v>5.8</v>
      </c>
      <c r="J3927" s="3">
        <v>414984497</v>
      </c>
      <c r="K3927">
        <f t="shared" si="129"/>
        <v>1.3775047412552699E-3</v>
      </c>
    </row>
    <row r="3928" spans="1:11" x14ac:dyDescent="0.3">
      <c r="A3928" s="2" t="s">
        <v>2624</v>
      </c>
      <c r="B3928" s="2">
        <v>115</v>
      </c>
      <c r="C3928" s="3">
        <v>1071240</v>
      </c>
      <c r="D3928" s="3" t="s">
        <v>5765</v>
      </c>
      <c r="E3928" s="2" t="s">
        <v>2625</v>
      </c>
      <c r="F3928" s="2" t="s">
        <v>10</v>
      </c>
      <c r="G3928" s="2" t="s">
        <v>11</v>
      </c>
      <c r="H3928" s="2">
        <v>16000000</v>
      </c>
      <c r="I3928" s="2">
        <v>5.6</v>
      </c>
      <c r="J3928" s="3">
        <v>422783777</v>
      </c>
      <c r="K3928">
        <f t="shared" si="129"/>
        <v>1.3775047412552699E-3</v>
      </c>
    </row>
    <row r="3929" spans="1:11" x14ac:dyDescent="0.3">
      <c r="A3929" s="2" t="s">
        <v>104</v>
      </c>
      <c r="B3929" s="2">
        <v>128</v>
      </c>
      <c r="C3929" s="3">
        <v>3478</v>
      </c>
      <c r="D3929" s="3" t="s">
        <v>5793</v>
      </c>
      <c r="E3929" s="2" t="s">
        <v>792</v>
      </c>
      <c r="F3929" s="2" t="s">
        <v>10</v>
      </c>
      <c r="G3929" s="2" t="s">
        <v>11</v>
      </c>
      <c r="H3929" s="2">
        <v>60000000</v>
      </c>
      <c r="I3929" s="2">
        <v>7.3</v>
      </c>
      <c r="J3929" s="3">
        <v>423032628</v>
      </c>
      <c r="K3929">
        <f t="shared" si="129"/>
        <v>1.3775047412552699E-3</v>
      </c>
    </row>
    <row r="3930" spans="1:11" x14ac:dyDescent="0.3">
      <c r="A3930" s="2" t="s">
        <v>505</v>
      </c>
      <c r="B3930" s="2">
        <v>88</v>
      </c>
      <c r="C3930" s="3">
        <v>100669</v>
      </c>
      <c r="D3930" s="3" t="s">
        <v>5814</v>
      </c>
      <c r="E3930" s="2" t="s">
        <v>506</v>
      </c>
      <c r="F3930" s="2" t="s">
        <v>10</v>
      </c>
      <c r="G3930" s="2" t="s">
        <v>11</v>
      </c>
      <c r="H3930" s="2">
        <v>99000000</v>
      </c>
      <c r="I3930" s="2">
        <v>7.2</v>
      </c>
      <c r="J3930" s="3">
        <v>424645577</v>
      </c>
      <c r="K3930">
        <f t="shared" si="129"/>
        <v>1.3775047412552699E-3</v>
      </c>
    </row>
    <row r="3931" spans="1:11" x14ac:dyDescent="0.3">
      <c r="A3931" s="2" t="s">
        <v>394</v>
      </c>
      <c r="B3931" s="2">
        <v>91</v>
      </c>
      <c r="C3931" s="3">
        <v>51045801</v>
      </c>
      <c r="D3931" s="3" t="s">
        <v>5779</v>
      </c>
      <c r="E3931" s="2" t="s">
        <v>3687</v>
      </c>
      <c r="F3931" s="2" t="s">
        <v>10</v>
      </c>
      <c r="G3931" s="2" t="s">
        <v>11</v>
      </c>
      <c r="H3931" s="3">
        <v>119793567</v>
      </c>
      <c r="I3931" s="2">
        <v>5.8</v>
      </c>
      <c r="J3931" s="3">
        <v>434949459</v>
      </c>
      <c r="K3931">
        <f t="shared" si="129"/>
        <v>1.3775047412552699E-3</v>
      </c>
    </row>
    <row r="3932" spans="1:11" x14ac:dyDescent="0.3">
      <c r="A3932" s="2" t="s">
        <v>2152</v>
      </c>
      <c r="B3932" s="2">
        <v>126</v>
      </c>
      <c r="C3932" s="3">
        <v>1646664</v>
      </c>
      <c r="D3932" s="3" t="s">
        <v>5753</v>
      </c>
      <c r="E3932" s="2" t="s">
        <v>2153</v>
      </c>
      <c r="F3932" s="2" t="s">
        <v>10</v>
      </c>
      <c r="G3932" s="2" t="s">
        <v>16</v>
      </c>
      <c r="H3932" s="2">
        <v>34000000</v>
      </c>
      <c r="I3932" s="2">
        <v>6.3</v>
      </c>
      <c r="J3932" s="3">
        <v>436471036</v>
      </c>
      <c r="K3932">
        <f t="shared" si="129"/>
        <v>1.3775047412552699E-3</v>
      </c>
    </row>
    <row r="3933" spans="1:11" x14ac:dyDescent="0.3">
      <c r="A3933" s="2" t="s">
        <v>1367</v>
      </c>
      <c r="B3933" s="2">
        <v>98</v>
      </c>
      <c r="C3933" s="3">
        <v>1111</v>
      </c>
      <c r="D3933" s="3" t="s">
        <v>5815</v>
      </c>
      <c r="E3933" s="2" t="s">
        <v>1368</v>
      </c>
      <c r="F3933" s="2" t="s">
        <v>10</v>
      </c>
      <c r="G3933" s="2" t="s">
        <v>199</v>
      </c>
      <c r="H3933" s="2">
        <v>50000000</v>
      </c>
      <c r="I3933" s="2">
        <v>6.1</v>
      </c>
      <c r="J3933" s="3">
        <v>448130642</v>
      </c>
      <c r="K3933">
        <f t="shared" si="129"/>
        <v>1.3775047412552699E-3</v>
      </c>
    </row>
    <row r="3934" spans="1:11" x14ac:dyDescent="0.3">
      <c r="A3934" s="2" t="s">
        <v>1883</v>
      </c>
      <c r="B3934" s="2">
        <v>91</v>
      </c>
      <c r="C3934" s="3">
        <v>2436</v>
      </c>
      <c r="D3934" s="3" t="s">
        <v>5768</v>
      </c>
      <c r="E3934" s="2" t="s">
        <v>5044</v>
      </c>
      <c r="F3934" s="2" t="s">
        <v>10</v>
      </c>
      <c r="G3934" s="2" t="s">
        <v>11</v>
      </c>
      <c r="H3934" s="2">
        <v>4000000</v>
      </c>
      <c r="I3934" s="2">
        <v>5.7</v>
      </c>
      <c r="J3934" s="3">
        <v>458991599</v>
      </c>
      <c r="K3934">
        <f t="shared" si="129"/>
        <v>1.3775047412552699E-3</v>
      </c>
    </row>
    <row r="3935" spans="1:11" x14ac:dyDescent="0.3">
      <c r="A3935" s="2" t="s">
        <v>1425</v>
      </c>
      <c r="B3935" s="2">
        <v>89</v>
      </c>
      <c r="C3935" s="3">
        <v>49185998</v>
      </c>
      <c r="D3935" s="3" t="s">
        <v>5816</v>
      </c>
      <c r="E3935" s="2" t="s">
        <v>3161</v>
      </c>
      <c r="F3935" s="2" t="s">
        <v>10</v>
      </c>
      <c r="G3935" s="2" t="s">
        <v>11</v>
      </c>
      <c r="H3935" s="2">
        <v>1000000</v>
      </c>
      <c r="I3935" s="2">
        <v>6.8</v>
      </c>
      <c r="J3935" s="3">
        <v>460935665</v>
      </c>
      <c r="K3935">
        <f t="shared" si="129"/>
        <v>1.3775047412552699E-3</v>
      </c>
    </row>
    <row r="3936" spans="1:11" x14ac:dyDescent="0.3">
      <c r="A3936" s="2" t="s">
        <v>3162</v>
      </c>
      <c r="B3936" s="2">
        <v>106</v>
      </c>
      <c r="C3936" s="3">
        <v>146402</v>
      </c>
      <c r="D3936" s="3" t="s">
        <v>5817</v>
      </c>
      <c r="E3936" s="2" t="s">
        <v>3163</v>
      </c>
      <c r="F3936" s="2" t="s">
        <v>10</v>
      </c>
      <c r="G3936" s="2" t="s">
        <v>11</v>
      </c>
      <c r="H3936" s="2">
        <v>18000000</v>
      </c>
      <c r="I3936" s="2">
        <v>7.1</v>
      </c>
      <c r="J3936" s="3">
        <v>474544677</v>
      </c>
      <c r="K3936">
        <f t="shared" si="129"/>
        <v>1.3775047412552699E-3</v>
      </c>
    </row>
    <row r="3937" spans="1:11" x14ac:dyDescent="0.3">
      <c r="A3937" s="2" t="s">
        <v>1313</v>
      </c>
      <c r="B3937" s="2">
        <v>98</v>
      </c>
      <c r="C3937" s="3">
        <v>18435</v>
      </c>
      <c r="D3937" s="3" t="s">
        <v>5806</v>
      </c>
      <c r="E3937" s="2" t="s">
        <v>2551</v>
      </c>
      <c r="F3937" s="2" t="s">
        <v>10</v>
      </c>
      <c r="G3937" s="2" t="s">
        <v>11</v>
      </c>
      <c r="H3937" s="2">
        <v>25000000</v>
      </c>
      <c r="I3937" s="2">
        <v>6.7</v>
      </c>
      <c r="J3937" s="3">
        <v>533316061</v>
      </c>
      <c r="K3937">
        <f t="shared" si="129"/>
        <v>1.3775047412552699E-3</v>
      </c>
    </row>
    <row r="3938" spans="1:11" x14ac:dyDescent="0.3">
      <c r="A3938" s="2" t="s">
        <v>376</v>
      </c>
      <c r="B3938" s="2">
        <v>120</v>
      </c>
      <c r="C3938" s="3">
        <v>4091</v>
      </c>
      <c r="D3938" s="3" t="s">
        <v>5753</v>
      </c>
      <c r="E3938" s="2" t="s">
        <v>3413</v>
      </c>
      <c r="F3938" s="2" t="s">
        <v>10</v>
      </c>
      <c r="G3938" s="2" t="s">
        <v>11</v>
      </c>
      <c r="H3938" s="2">
        <v>10000000</v>
      </c>
      <c r="I3938" s="2">
        <v>6.9</v>
      </c>
      <c r="J3938" s="3">
        <v>623279547</v>
      </c>
      <c r="K3938">
        <f t="shared" si="129"/>
        <v>1.3775047412552699E-3</v>
      </c>
    </row>
    <row r="3939" spans="1:11" x14ac:dyDescent="0.3">
      <c r="A3939" s="2" t="s">
        <v>4308</v>
      </c>
      <c r="B3939" s="2">
        <v>102</v>
      </c>
      <c r="C3939" s="3">
        <v>6643</v>
      </c>
      <c r="D3939" s="3" t="s">
        <v>5794</v>
      </c>
      <c r="E3939" s="2" t="s">
        <v>4309</v>
      </c>
      <c r="F3939" s="2" t="s">
        <v>10</v>
      </c>
      <c r="G3939" s="2" t="s">
        <v>2336</v>
      </c>
      <c r="H3939" s="2">
        <v>50000000</v>
      </c>
      <c r="I3939" s="2">
        <v>6.6</v>
      </c>
      <c r="J3939" s="3">
        <v>652177271</v>
      </c>
      <c r="K3939">
        <f t="shared" si="129"/>
        <v>1.3775047412552699E-3</v>
      </c>
    </row>
    <row r="3940" spans="1:11" x14ac:dyDescent="0.3">
      <c r="A3940" s="2" t="s">
        <v>5150</v>
      </c>
      <c r="B3940" s="2">
        <v>113</v>
      </c>
      <c r="C3940" s="3">
        <v>5858</v>
      </c>
      <c r="D3940" s="3" t="s">
        <v>5818</v>
      </c>
      <c r="E3940" s="2" t="s">
        <v>5151</v>
      </c>
      <c r="F3940" s="2" t="s">
        <v>10</v>
      </c>
      <c r="G3940" s="2" t="s">
        <v>11</v>
      </c>
      <c r="H3940" s="2">
        <v>1800000</v>
      </c>
      <c r="I3940" s="2">
        <v>5.3</v>
      </c>
      <c r="J3940" s="3">
        <v>658672302</v>
      </c>
      <c r="K3940">
        <f t="shared" si="129"/>
        <v>1.3775047412552699E-3</v>
      </c>
    </row>
    <row r="3941" spans="1:11" x14ac:dyDescent="0.3">
      <c r="A3941" s="2" t="s">
        <v>1619</v>
      </c>
      <c r="B3941" s="2">
        <v>99</v>
      </c>
      <c r="C3941" s="3">
        <v>162</v>
      </c>
      <c r="D3941" s="3" t="s">
        <v>5819</v>
      </c>
      <c r="E3941" s="2" t="s">
        <v>2359</v>
      </c>
      <c r="F3941" s="2" t="s">
        <v>10</v>
      </c>
      <c r="G3941" s="2" t="s">
        <v>199</v>
      </c>
      <c r="H3941" s="2">
        <v>29000000</v>
      </c>
      <c r="I3941" s="2">
        <v>5.3</v>
      </c>
      <c r="J3941" s="3">
        <v>760505847</v>
      </c>
      <c r="K3941">
        <f t="shared" si="129"/>
        <v>1.3775047412552699E-3</v>
      </c>
    </row>
  </sheetData>
  <autoFilter ref="A1:K3941" xr:uid="{3BFB11F8-0E73-409C-9F74-26B54C80FC19}"/>
  <pageMargins left="0.7" right="0.7" top="0.75" bottom="0.75" header="0.3" footer="0.3"/>
  <headerFooter alignWithMargins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2913-D523-46C3-9EAF-4858FD208295}">
  <dimension ref="A1"/>
  <sheetViews>
    <sheetView workbookViewId="0">
      <selection activeCell="O20" sqref="O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IMDB_Movies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DELL</cp:lastModifiedBy>
  <dcterms:created xsi:type="dcterms:W3CDTF">2025-01-21T10:48:40Z</dcterms:created>
  <dcterms:modified xsi:type="dcterms:W3CDTF">2025-01-25T11:58:42Z</dcterms:modified>
</cp:coreProperties>
</file>