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"/>
    </mc:Choice>
  </mc:AlternateContent>
  <xr:revisionPtr revIDLastSave="0" documentId="13_ncr:1_{E8D48EFA-2FA3-4577-9BCB-5AD399051AC0}" xr6:coauthVersionLast="47" xr6:coauthVersionMax="47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Portfolio Diversification" sheetId="1" r:id="rId1"/>
    <sheet name="comparison" sheetId="2" r:id="rId2"/>
  </sheets>
  <definedNames>
    <definedName name="solver_adj" localSheetId="0" hidden="1">'Portfolio Diversification'!$N$25:$O$25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'Portfolio Diversification'!$K$7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'Portfolio Diversification'!$S$25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C3" i="2"/>
  <c r="D3" i="2"/>
  <c r="D22" i="2"/>
  <c r="D23" i="2"/>
  <c r="D24" i="2"/>
  <c r="D25" i="2"/>
  <c r="D26" i="2"/>
  <c r="D27" i="2"/>
  <c r="D21" i="2"/>
  <c r="F51" i="1"/>
  <c r="F20" i="2"/>
  <c r="C4" i="2"/>
  <c r="D4" i="2"/>
  <c r="C5" i="2"/>
  <c r="D5" i="2"/>
  <c r="C6" i="2"/>
  <c r="D6" i="2"/>
  <c r="C7" i="2"/>
  <c r="D7" i="2"/>
  <c r="C8" i="2"/>
  <c r="D8" i="2"/>
  <c r="C9" i="2"/>
  <c r="D9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K5" i="1"/>
  <c r="L4" i="1"/>
  <c r="K4" i="1"/>
  <c r="L3" i="1"/>
  <c r="K3" i="1"/>
  <c r="Q23" i="1"/>
  <c r="R23" i="1"/>
  <c r="S23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4" i="1"/>
  <c r="Q25" i="1"/>
  <c r="F35" i="1"/>
  <c r="J13" i="1"/>
  <c r="R25" i="1"/>
  <c r="K13" i="1"/>
  <c r="K7" i="1"/>
  <c r="S25" i="1"/>
  <c r="O24" i="1"/>
  <c r="P24" i="1"/>
  <c r="R24" i="1"/>
  <c r="S24" i="1"/>
  <c r="N24" i="1"/>
  <c r="O22" i="1"/>
  <c r="O23" i="1"/>
  <c r="O17" i="1"/>
  <c r="O18" i="1"/>
  <c r="O19" i="1"/>
  <c r="O20" i="1"/>
  <c r="O21" i="1"/>
  <c r="O5" i="1"/>
  <c r="O6" i="1"/>
  <c r="O7" i="1"/>
  <c r="O8" i="1"/>
  <c r="O9" i="1"/>
  <c r="O10" i="1"/>
  <c r="O11" i="1"/>
  <c r="O12" i="1"/>
  <c r="O13" i="1"/>
  <c r="O14" i="1"/>
  <c r="O15" i="1"/>
  <c r="O16" i="1"/>
  <c r="O4" i="1"/>
  <c r="O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57" i="1"/>
  <c r="F57" i="1"/>
  <c r="G56" i="1"/>
  <c r="F56" i="1"/>
  <c r="G55" i="1"/>
  <c r="F55" i="1"/>
  <c r="G54" i="1"/>
  <c r="F54" i="1"/>
  <c r="G53" i="1"/>
  <c r="F53" i="1"/>
  <c r="G52" i="1"/>
  <c r="F52" i="1"/>
</calcChain>
</file>

<file path=xl/sharedStrings.xml><?xml version="1.0" encoding="utf-8"?>
<sst xmlns="http://schemas.openxmlformats.org/spreadsheetml/2006/main" count="45" uniqueCount="28">
  <si>
    <t>Converting into decimal return</t>
  </si>
  <si>
    <t>Date</t>
  </si>
  <si>
    <t>VBTLX</t>
  </si>
  <si>
    <t>VFIAX</t>
  </si>
  <si>
    <t>Expected Return</t>
  </si>
  <si>
    <t>Expected Risk</t>
  </si>
  <si>
    <t>Covariance</t>
  </si>
  <si>
    <t>Risk free Rate</t>
  </si>
  <si>
    <t>Total Weight</t>
  </si>
  <si>
    <t>Portfolio Weight</t>
  </si>
  <si>
    <t>Portfolio Statistics</t>
  </si>
  <si>
    <t>Return</t>
  </si>
  <si>
    <t>Risk</t>
  </si>
  <si>
    <t>Sharpe Ratio</t>
  </si>
  <si>
    <t>Invest Amt</t>
  </si>
  <si>
    <t>Optimal Portfolio</t>
  </si>
  <si>
    <t>Optimal Investment</t>
  </si>
  <si>
    <t>Solver Optimal Portfolio</t>
  </si>
  <si>
    <t>-</t>
  </si>
  <si>
    <t>AAPL Return %</t>
  </si>
  <si>
    <t xml:space="preserve">Weight VBTLX and VFIAX Return % </t>
  </si>
  <si>
    <t>Investment (in $millions)</t>
  </si>
  <si>
    <t>Summary Statistics till dec-15</t>
  </si>
  <si>
    <t>VBTLX Return %</t>
  </si>
  <si>
    <t>VFIAX Return %</t>
  </si>
  <si>
    <t>Optimal Weight</t>
  </si>
  <si>
    <t>Return (in $millions)</t>
  </si>
  <si>
    <t>Return (in $millions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</si>
</sst>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9]mmm\-yy;@"/>
    <numFmt numFmtId="165" formatCode="0.000%"/>
    <numFmt numFmtId="166" formatCode="0.000000"/>
    <numFmt numFmtId="167" formatCode="0.00000%"/>
    <numFmt numFmtId="168" formatCode="[$-409]mmm/yy;@"/>
    <numFmt numFmtId="169" formatCode="[$$-409]#,##0.00"/>
    <numFmt numFmtId="170" formatCode="[$$-409]#,##0"/>
    <numFmt numFmtId="171" formatCode="0.00000"/>
    <numFmt numFmtId="185" formatCode="[$$-409]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F1114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9" fontId="0" fillId="0" borderId="0" xfId="1" applyFont="1"/>
    <xf numFmtId="10" fontId="0" fillId="0" borderId="0" xfId="1" applyNumberFormat="1" applyFont="1"/>
    <xf numFmtId="165" fontId="0" fillId="0" borderId="0" xfId="1" applyNumberFormat="1" applyFont="1"/>
    <xf numFmtId="3" fontId="4" fillId="0" borderId="0" xfId="0" applyNumberFormat="1" applyFont="1"/>
    <xf numFmtId="9" fontId="3" fillId="2" borderId="0" xfId="2" applyNumberFormat="1"/>
    <xf numFmtId="165" fontId="3" fillId="2" borderId="0" xfId="2" applyNumberFormat="1"/>
    <xf numFmtId="0" fontId="3" fillId="2" borderId="0" xfId="2" applyNumberFormat="1"/>
    <xf numFmtId="166" fontId="3" fillId="2" borderId="0" xfId="2" applyNumberFormat="1"/>
    <xf numFmtId="165" fontId="2" fillId="3" borderId="0" xfId="3" applyNumberFormat="1"/>
    <xf numFmtId="0" fontId="2" fillId="3" borderId="0" xfId="3"/>
    <xf numFmtId="165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10" fontId="1" fillId="0" borderId="0" xfId="1" applyNumberFormat="1" applyFont="1" applyAlignment="1">
      <alignment horizontal="right"/>
    </xf>
    <xf numFmtId="167" fontId="0" fillId="0" borderId="0" xfId="0" applyNumberFormat="1"/>
    <xf numFmtId="3" fontId="0" fillId="0" borderId="0" xfId="0" applyNumberFormat="1"/>
    <xf numFmtId="10" fontId="1" fillId="0" borderId="0" xfId="1" applyNumberFormat="1" applyFont="1" applyAlignment="1">
      <alignment horizontal="center"/>
    </xf>
    <xf numFmtId="10" fontId="1" fillId="0" borderId="0" xfId="1" applyNumberFormat="1" applyFont="1" applyAlignment="1"/>
    <xf numFmtId="0" fontId="1" fillId="0" borderId="0" xfId="0" applyFont="1"/>
    <xf numFmtId="14" fontId="0" fillId="0" borderId="0" xfId="0" applyNumberFormat="1"/>
    <xf numFmtId="168" fontId="0" fillId="0" borderId="0" xfId="0" applyNumberFormat="1"/>
    <xf numFmtId="17" fontId="0" fillId="0" borderId="0" xfId="0" applyNumberFormat="1"/>
    <xf numFmtId="10" fontId="1" fillId="0" borderId="0" xfId="1" applyNumberFormat="1" applyFont="1" applyAlignment="1">
      <alignment vertical="center" wrapText="1"/>
    </xf>
    <xf numFmtId="10" fontId="1" fillId="0" borderId="0" xfId="1" applyNumberFormat="1" applyFont="1" applyAlignment="1">
      <alignment horizontal="center" vertical="center" wrapText="1"/>
    </xf>
    <xf numFmtId="169" fontId="2" fillId="0" borderId="0" xfId="1" applyNumberFormat="1" applyFont="1" applyAlignment="1"/>
    <xf numFmtId="169" fontId="0" fillId="0" borderId="0" xfId="1" applyNumberFormat="1" applyFont="1"/>
    <xf numFmtId="170" fontId="0" fillId="0" borderId="0" xfId="1" applyNumberFormat="1" applyFont="1"/>
    <xf numFmtId="170" fontId="1" fillId="0" borderId="0" xfId="1" applyNumberFormat="1" applyFont="1" applyAlignment="1"/>
    <xf numFmtId="170" fontId="1" fillId="0" borderId="0" xfId="1" applyNumberFormat="1" applyFont="1" applyAlignment="1">
      <alignment horizontal="center"/>
    </xf>
    <xf numFmtId="170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  <xf numFmtId="0" fontId="3" fillId="2" borderId="0" xfId="2" applyAlignment="1">
      <alignment horizontal="center"/>
    </xf>
    <xf numFmtId="0" fontId="1" fillId="0" borderId="0" xfId="0" applyFont="1" applyAlignment="1">
      <alignment wrapText="1"/>
    </xf>
    <xf numFmtId="171" fontId="0" fillId="0" borderId="0" xfId="1" applyNumberFormat="1" applyFont="1"/>
    <xf numFmtId="0" fontId="1" fillId="0" borderId="0" xfId="0" applyFont="1" applyAlignment="1">
      <alignment horizontal="center"/>
    </xf>
    <xf numFmtId="9" fontId="1" fillId="0" borderId="0" xfId="1" applyFont="1" applyAlignment="1">
      <alignment horizontal="center"/>
    </xf>
    <xf numFmtId="9" fontId="1" fillId="0" borderId="0" xfId="1" applyFont="1"/>
    <xf numFmtId="17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" fontId="1" fillId="0" borderId="0" xfId="0" applyNumberFormat="1" applyFont="1"/>
    <xf numFmtId="168" fontId="1" fillId="0" borderId="0" xfId="0" applyNumberFormat="1" applyFont="1"/>
    <xf numFmtId="14" fontId="1" fillId="0" borderId="0" xfId="0" applyNumberFormat="1" applyFont="1" applyAlignment="1">
      <alignment horizontal="center"/>
    </xf>
    <xf numFmtId="14" fontId="1" fillId="0" borderId="0" xfId="0" applyNumberFormat="1" applyFont="1" applyAlignment="1"/>
    <xf numFmtId="10" fontId="0" fillId="0" borderId="0" xfId="0" applyNumberFormat="1"/>
    <xf numFmtId="185" fontId="0" fillId="0" borderId="0" xfId="1" applyNumberFormat="1" applyFont="1"/>
    <xf numFmtId="170" fontId="1" fillId="0" borderId="0" xfId="1" applyNumberFormat="1" applyFont="1" applyAlignment="1">
      <alignment wrapText="1"/>
    </xf>
  </cellXfs>
  <cellStyles count="4">
    <cellStyle name="40% - Accent4" xfId="3" builtinId="43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Optimal Portfolio Weight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16-42A5-A102-1C5C6C6074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16-42A5-A102-1C5C6C607414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8.3333333333333329E-2"/>
                </c:manualLayout>
              </c:layout>
              <c:tx>
                <c:rich>
                  <a:bodyPr/>
                  <a:lstStyle/>
                  <a:p>
                    <a:fld id="{26404224-C55A-4BE0-A7B7-16D3465D965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167FEF20-9B38-4A59-9A76-78DE867D9F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616-42A5-A102-1C5C6C607414}"/>
                </c:ext>
              </c:extLst>
            </c:dLbl>
            <c:dLbl>
              <c:idx val="1"/>
              <c:layout>
                <c:manualLayout>
                  <c:x val="-5.8333333333333334E-2"/>
                  <c:y val="-8.3333333333333329E-2"/>
                </c:manualLayout>
              </c:layout>
              <c:tx>
                <c:rich>
                  <a:bodyPr/>
                  <a:lstStyle/>
                  <a:p>
                    <a:fld id="{962D535D-3422-4C27-9869-CE2191B0C5C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FDF3C54-C8DE-487A-84C6-E02B4FD1300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616-42A5-A102-1C5C6C60741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'Portfolio Diversification'!$N$2:$O$2</c:f>
              <c:strCache>
                <c:ptCount val="2"/>
                <c:pt idx="0">
                  <c:v>VBTLX</c:v>
                </c:pt>
                <c:pt idx="1">
                  <c:v>VFIAX</c:v>
                </c:pt>
              </c:strCache>
            </c:strRef>
          </c:cat>
          <c:val>
            <c:numRef>
              <c:f>'Portfolio Diversification'!$N$25:$O$25</c:f>
              <c:numCache>
                <c:formatCode>0.00%</c:formatCode>
                <c:ptCount val="2"/>
                <c:pt idx="0">
                  <c:v>0.67845909743817601</c:v>
                </c:pt>
                <c:pt idx="1">
                  <c:v>0.32154090947743003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6-42A5-A102-1C5C6C60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Return Of Investment Through Jan 2016 - Jul 2016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AAPL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7B-4120-9FE7-66A3336CD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comparison!$A$2:$A$9</c:f>
              <c:numCache>
                <c:formatCode>[$-409]mmm/yy;@</c:formatCode>
                <c:ptCount val="8"/>
                <c:pt idx="0" formatCode="mmm\-yy">
                  <c:v>42339</c:v>
                </c:pt>
                <c:pt idx="1">
                  <c:v>42373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42492</c:v>
                </c:pt>
                <c:pt idx="6">
                  <c:v>42522</c:v>
                </c:pt>
                <c:pt idx="7">
                  <c:v>42552</c:v>
                </c:pt>
              </c:numCache>
            </c:numRef>
          </c:xVal>
          <c:yVal>
            <c:numRef>
              <c:f>comparison!$D$2:$D$9</c:f>
              <c:numCache>
                <c:formatCode>[$$-409]#,##0.00</c:formatCode>
                <c:ptCount val="8"/>
                <c:pt idx="0">
                  <c:v>5</c:v>
                </c:pt>
                <c:pt idx="1">
                  <c:v>4.6237885344441079</c:v>
                </c:pt>
                <c:pt idx="2">
                  <c:v>4.617835096678677</c:v>
                </c:pt>
                <c:pt idx="3">
                  <c:v>5.2052728773895316</c:v>
                </c:pt>
                <c:pt idx="4">
                  <c:v>4.4769453181394887</c:v>
                </c:pt>
                <c:pt idx="5">
                  <c:v>4.7982687888667099</c:v>
                </c:pt>
                <c:pt idx="6">
                  <c:v>4.593575826412418</c:v>
                </c:pt>
                <c:pt idx="7">
                  <c:v>5.007286007232576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B-4120-9FE7-66A3336CDF10}"/>
            </c:ext>
          </c:extLst>
        </c:ser>
        <c:ser>
          <c:idx val="1"/>
          <c:order val="1"/>
          <c:tx>
            <c:v>VBTLX And VFIAX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7B-4120-9FE7-66A3336CD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comparison!$A$20:$A$27</c:f>
              <c:numCache>
                <c:formatCode>[$-409]mmm/yy;@</c:formatCode>
                <c:ptCount val="8"/>
                <c:pt idx="0" formatCode="mmm\-yy">
                  <c:v>42339</c:v>
                </c:pt>
                <c:pt idx="1">
                  <c:v>42373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42492</c:v>
                </c:pt>
                <c:pt idx="6">
                  <c:v>42522</c:v>
                </c:pt>
                <c:pt idx="7">
                  <c:v>42552</c:v>
                </c:pt>
              </c:numCache>
            </c:numRef>
          </c:xVal>
          <c:yVal>
            <c:numRef>
              <c:f>comparison!$F$20:$F$27</c:f>
              <c:numCache>
                <c:formatCode>[$$-409]#,##0.00</c:formatCode>
                <c:ptCount val="8"/>
                <c:pt idx="0">
                  <c:v>5</c:v>
                </c:pt>
                <c:pt idx="1">
                  <c:v>4.9689461390104075</c:v>
                </c:pt>
                <c:pt idx="2">
                  <c:v>4.9892965507404892</c:v>
                </c:pt>
                <c:pt idx="3">
                  <c:v>5.130223398318992</c:v>
                </c:pt>
                <c:pt idx="4">
                  <c:v>5.1502312697108028</c:v>
                </c:pt>
                <c:pt idx="5">
                  <c:v>5.1805726937945984</c:v>
                </c:pt>
                <c:pt idx="6">
                  <c:v>5.2530909350155657</c:v>
                </c:pt>
                <c:pt idx="7">
                  <c:v>5.3384152605247213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7B-4120-9FE7-66A3336C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369503"/>
        <c:axId val="1390363743"/>
      </c:scatterChart>
      <c:valAx>
        <c:axId val="139036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63743"/>
        <c:crosses val="autoZero"/>
        <c:crossBetween val="midCat"/>
      </c:valAx>
      <c:valAx>
        <c:axId val="13903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Investment</a:t>
                </a:r>
                <a:r>
                  <a:rPr lang="en-IN" baseline="0"/>
                  <a:t> Value (in $millions)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6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25</xdr:row>
      <xdr:rowOff>83820</xdr:rowOff>
    </xdr:from>
    <xdr:to>
      <xdr:col>19</xdr:col>
      <xdr:colOff>45720</xdr:colOff>
      <xdr:row>40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3073C-5F2E-45E5-A081-246FAE2D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3</xdr:row>
      <xdr:rowOff>121920</xdr:rowOff>
    </xdr:from>
    <xdr:to>
      <xdr:col>14</xdr:col>
      <xdr:colOff>510540</xdr:colOff>
      <xdr:row>21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7052DA-BD2E-0014-B832-8F823ECEA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7"/>
  <sheetViews>
    <sheetView workbookViewId="0">
      <selection activeCell="K22" sqref="K22"/>
    </sheetView>
  </sheetViews>
  <sheetFormatPr defaultColWidth="8.77734375" defaultRowHeight="14.4" x14ac:dyDescent="0.3"/>
  <cols>
    <col min="1" max="1" width="13.6640625" style="1" bestFit="1" customWidth="1"/>
    <col min="2" max="3" width="8.77734375" style="2"/>
    <col min="4" max="4" width="4.33203125" customWidth="1"/>
    <col min="6" max="7" width="8.77734375" style="7"/>
    <col min="8" max="8" width="13.33203125" customWidth="1"/>
    <col min="9" max="9" width="3.21875" customWidth="1"/>
    <col min="10" max="10" width="14" customWidth="1"/>
    <col min="11" max="11" width="12.6640625" bestFit="1" customWidth="1"/>
    <col min="12" max="12" width="12.44140625" customWidth="1"/>
    <col min="13" max="13" width="12.6640625" customWidth="1"/>
    <col min="14" max="14" width="8.88671875" style="6" customWidth="1"/>
    <col min="15" max="15" width="8.6640625" style="6" customWidth="1"/>
    <col min="16" max="16" width="1.6640625" customWidth="1"/>
    <col min="19" max="19" width="9.5546875" bestFit="1" customWidth="1"/>
    <col min="22" max="22" width="8.6640625" customWidth="1"/>
  </cols>
  <sheetData>
    <row r="1" spans="1:23" x14ac:dyDescent="0.3">
      <c r="E1" s="3" t="s">
        <v>0</v>
      </c>
      <c r="K1" s="41" t="s">
        <v>22</v>
      </c>
      <c r="L1" s="41"/>
      <c r="N1" s="42" t="s">
        <v>9</v>
      </c>
      <c r="O1" s="42"/>
      <c r="P1" s="24"/>
      <c r="Q1" s="41" t="s">
        <v>10</v>
      </c>
      <c r="R1" s="41"/>
      <c r="S1" s="41"/>
      <c r="U1" s="37"/>
      <c r="V1" s="37"/>
      <c r="W1" s="37"/>
    </row>
    <row r="2" spans="1:23" x14ac:dyDescent="0.3">
      <c r="A2" s="4" t="s">
        <v>1</v>
      </c>
      <c r="B2" s="5" t="s">
        <v>2</v>
      </c>
      <c r="C2" s="5" t="s">
        <v>3</v>
      </c>
      <c r="E2" s="4" t="s">
        <v>1</v>
      </c>
      <c r="F2" s="19" t="s">
        <v>2</v>
      </c>
      <c r="G2" s="19" t="s">
        <v>3</v>
      </c>
      <c r="K2" s="24" t="s">
        <v>2</v>
      </c>
      <c r="L2" s="24" t="s">
        <v>3</v>
      </c>
      <c r="N2" s="43" t="s">
        <v>2</v>
      </c>
      <c r="O2" s="43" t="s">
        <v>3</v>
      </c>
      <c r="P2" s="24"/>
      <c r="Q2" s="24" t="s">
        <v>11</v>
      </c>
      <c r="R2" s="24" t="s">
        <v>12</v>
      </c>
      <c r="S2" s="24" t="s">
        <v>13</v>
      </c>
    </row>
    <row r="3" spans="1:23" x14ac:dyDescent="0.3">
      <c r="A3" s="1">
        <v>40909</v>
      </c>
      <c r="B3" s="2">
        <v>0.88</v>
      </c>
      <c r="C3" s="2">
        <v>4.47</v>
      </c>
      <c r="E3" s="1">
        <v>40909</v>
      </c>
      <c r="F3" s="7">
        <f>B3/100</f>
        <v>8.8000000000000005E-3</v>
      </c>
      <c r="G3" s="7">
        <f>C3/100</f>
        <v>4.4699999999999997E-2</v>
      </c>
      <c r="J3" s="24" t="s">
        <v>4</v>
      </c>
      <c r="K3" s="8">
        <f>AVERAGE(F3:F50)</f>
        <v>1.7041666666666663E-3</v>
      </c>
      <c r="L3" s="8">
        <f>AVERAGE(G3:G50)</f>
        <v>1.2379166666666663E-2</v>
      </c>
      <c r="N3" s="6">
        <v>1</v>
      </c>
      <c r="O3" s="6">
        <f>1-N3</f>
        <v>0</v>
      </c>
      <c r="Q3" s="8">
        <f>SUMPRODUCT(N3:O3,$K$3:$L$3)</f>
        <v>1.7041666666666663E-3</v>
      </c>
      <c r="R3">
        <f>SQRT((N3^2*$K$4^2)+(O3^2*$L$4^2)+(2*N3*O3*$K$5))</f>
        <v>8.0220518554932219E-3</v>
      </c>
      <c r="S3">
        <f>(Q3-$K$6)/R3</f>
        <v>0.21243525937814928</v>
      </c>
      <c r="U3" s="6"/>
      <c r="V3" s="16"/>
      <c r="W3" s="8"/>
    </row>
    <row r="4" spans="1:23" x14ac:dyDescent="0.3">
      <c r="A4" s="1">
        <v>40940</v>
      </c>
      <c r="B4" s="2">
        <v>-0.04</v>
      </c>
      <c r="C4" s="2">
        <v>4.32</v>
      </c>
      <c r="E4" s="1">
        <v>40940</v>
      </c>
      <c r="F4" s="7">
        <f t="shared" ref="F4:G57" si="0">B4/100</f>
        <v>-4.0000000000000002E-4</v>
      </c>
      <c r="G4" s="7">
        <f t="shared" si="0"/>
        <v>4.3200000000000002E-2</v>
      </c>
      <c r="J4" s="24" t="s">
        <v>5</v>
      </c>
      <c r="K4">
        <f>_xlfn.STDEV.P(F3:F50)</f>
        <v>8.0220518554932219E-3</v>
      </c>
      <c r="L4">
        <f>_xlfn.STDEV.P(G3:G50)</f>
        <v>2.9942625402129022E-2</v>
      </c>
      <c r="N4" s="6">
        <v>0.95</v>
      </c>
      <c r="O4" s="6">
        <f>1-N4</f>
        <v>5.0000000000000044E-2</v>
      </c>
      <c r="Q4" s="8">
        <f t="shared" ref="Q4:Q22" si="1">SUMPRODUCT(N4:O4,$K$3:$L$3)</f>
        <v>2.2379166666666667E-3</v>
      </c>
      <c r="R4">
        <f t="shared" ref="R4:R26" si="2">SQRT((N4^2*$K$4^2)+(O4^2*$L$4^2)+(2*N4*O4*$K$5))</f>
        <v>7.6593068954087205E-3</v>
      </c>
      <c r="S4">
        <f t="shared" ref="S4:S26" si="3">(Q4-$K$6)/R4</f>
        <v>0.2921826605496326</v>
      </c>
      <c r="U4" s="6"/>
      <c r="V4" s="16"/>
      <c r="W4" s="8"/>
    </row>
    <row r="5" spans="1:23" x14ac:dyDescent="0.3">
      <c r="A5" s="1">
        <v>40969</v>
      </c>
      <c r="B5" s="2">
        <v>-0.56999999999999995</v>
      </c>
      <c r="C5" s="2">
        <v>3.29</v>
      </c>
      <c r="E5" s="1">
        <v>40969</v>
      </c>
      <c r="F5" s="7">
        <f t="shared" si="0"/>
        <v>-5.6999999999999993E-3</v>
      </c>
      <c r="G5" s="7">
        <f t="shared" si="0"/>
        <v>3.2899999999999999E-2</v>
      </c>
      <c r="J5" s="24" t="s">
        <v>6</v>
      </c>
      <c r="K5">
        <f>_xlfn.COVARIANCE.P(F3:F50,G3:G50)</f>
        <v>-1.742407986111111E-5</v>
      </c>
      <c r="N5" s="6">
        <v>0.9</v>
      </c>
      <c r="O5" s="6">
        <f t="shared" ref="O5:O16" si="4">1-N5</f>
        <v>9.9999999999999978E-2</v>
      </c>
      <c r="Q5" s="8">
        <f t="shared" si="1"/>
        <v>2.7716666666666658E-3</v>
      </c>
      <c r="R5">
        <f t="shared" si="2"/>
        <v>7.6128483317495716E-3</v>
      </c>
      <c r="S5">
        <f t="shared" si="3"/>
        <v>0.36407748399601786</v>
      </c>
      <c r="U5" s="6"/>
      <c r="V5" s="16"/>
      <c r="W5" s="8"/>
    </row>
    <row r="6" spans="1:23" x14ac:dyDescent="0.3">
      <c r="A6" s="1">
        <v>41000</v>
      </c>
      <c r="B6" s="2">
        <v>1.1499999999999999</v>
      </c>
      <c r="C6" s="2">
        <v>-0.63</v>
      </c>
      <c r="E6" s="1">
        <v>41000</v>
      </c>
      <c r="F6" s="7">
        <f t="shared" si="0"/>
        <v>1.15E-2</v>
      </c>
      <c r="G6" s="7">
        <f t="shared" si="0"/>
        <v>-6.3E-3</v>
      </c>
      <c r="J6" s="24" t="s">
        <v>7</v>
      </c>
      <c r="K6">
        <v>0</v>
      </c>
      <c r="N6" s="6">
        <v>0.85</v>
      </c>
      <c r="O6" s="6">
        <f t="shared" si="4"/>
        <v>0.15000000000000002</v>
      </c>
      <c r="Q6" s="8">
        <f t="shared" si="1"/>
        <v>3.3054166666666661E-3</v>
      </c>
      <c r="R6">
        <f t="shared" si="2"/>
        <v>7.8882665259689486E-3</v>
      </c>
      <c r="S6">
        <f t="shared" si="3"/>
        <v>0.41902953656356684</v>
      </c>
    </row>
    <row r="7" spans="1:23" x14ac:dyDescent="0.3">
      <c r="A7" s="1">
        <v>41030</v>
      </c>
      <c r="B7" s="2">
        <v>0.96</v>
      </c>
      <c r="C7" s="2">
        <v>-6.01</v>
      </c>
      <c r="E7" s="1">
        <v>41030</v>
      </c>
      <c r="F7" s="7">
        <f t="shared" si="0"/>
        <v>9.5999999999999992E-3</v>
      </c>
      <c r="G7" s="7">
        <f t="shared" si="0"/>
        <v>-6.0100000000000001E-2</v>
      </c>
      <c r="J7" s="24" t="s">
        <v>8</v>
      </c>
      <c r="K7" s="6">
        <f>SUM(N25:O25)</f>
        <v>1.0000000069156061</v>
      </c>
      <c r="N7" s="6">
        <v>0.8</v>
      </c>
      <c r="O7" s="6">
        <f t="shared" si="4"/>
        <v>0.19999999999999996</v>
      </c>
      <c r="Q7" s="8">
        <f t="shared" si="1"/>
        <v>3.8391666666666652E-3</v>
      </c>
      <c r="R7">
        <f t="shared" si="2"/>
        <v>8.4541616559866868E-3</v>
      </c>
      <c r="S7">
        <f t="shared" si="3"/>
        <v>0.45411559689635428</v>
      </c>
    </row>
    <row r="8" spans="1:23" x14ac:dyDescent="0.3">
      <c r="A8" s="1">
        <v>41061</v>
      </c>
      <c r="B8" s="2">
        <v>0.04</v>
      </c>
      <c r="C8" s="2">
        <v>4.12</v>
      </c>
      <c r="E8" s="1">
        <v>41061</v>
      </c>
      <c r="F8" s="7">
        <f t="shared" si="0"/>
        <v>4.0000000000000002E-4</v>
      </c>
      <c r="G8" s="7">
        <f t="shared" si="0"/>
        <v>4.1200000000000001E-2</v>
      </c>
      <c r="J8" s="24" t="s">
        <v>14</v>
      </c>
      <c r="K8" s="9">
        <v>5000000</v>
      </c>
      <c r="N8" s="6">
        <v>0.75</v>
      </c>
      <c r="O8" s="6">
        <f t="shared" si="4"/>
        <v>0.25</v>
      </c>
      <c r="Q8" s="8">
        <f t="shared" si="1"/>
        <v>4.3729166666666656E-3</v>
      </c>
      <c r="R8">
        <f t="shared" si="2"/>
        <v>9.257416555644573E-3</v>
      </c>
      <c r="S8">
        <f t="shared" si="3"/>
        <v>0.47236900709629881</v>
      </c>
    </row>
    <row r="9" spans="1:23" x14ac:dyDescent="0.3">
      <c r="A9" s="1">
        <v>41091</v>
      </c>
      <c r="B9" s="2">
        <v>1.39</v>
      </c>
      <c r="C9" s="2">
        <v>1.38</v>
      </c>
      <c r="E9" s="1">
        <v>41091</v>
      </c>
      <c r="F9" s="7">
        <f t="shared" si="0"/>
        <v>1.3899999999999999E-2</v>
      </c>
      <c r="G9" s="7">
        <f t="shared" si="0"/>
        <v>1.38E-2</v>
      </c>
      <c r="N9" s="6">
        <v>0.7</v>
      </c>
      <c r="O9" s="6">
        <f t="shared" si="4"/>
        <v>0.30000000000000004</v>
      </c>
      <c r="Q9" s="14">
        <f t="shared" si="1"/>
        <v>4.9066666666666659E-3</v>
      </c>
      <c r="R9" s="15">
        <f t="shared" si="2"/>
        <v>1.024233785432907E-2</v>
      </c>
      <c r="S9" s="15">
        <f t="shared" si="3"/>
        <v>0.47905729497028782</v>
      </c>
    </row>
    <row r="10" spans="1:23" x14ac:dyDescent="0.3">
      <c r="A10" s="1">
        <v>41122</v>
      </c>
      <c r="B10" s="2">
        <v>0.04</v>
      </c>
      <c r="C10" s="2">
        <v>2.25</v>
      </c>
      <c r="E10" s="1">
        <v>41122</v>
      </c>
      <c r="F10" s="7">
        <f t="shared" si="0"/>
        <v>4.0000000000000002E-4</v>
      </c>
      <c r="G10" s="7">
        <f t="shared" si="0"/>
        <v>2.2499999999999999E-2</v>
      </c>
      <c r="N10" s="6">
        <v>0.65</v>
      </c>
      <c r="O10" s="6">
        <f t="shared" si="4"/>
        <v>0.35</v>
      </c>
      <c r="Q10" s="8">
        <f t="shared" si="1"/>
        <v>5.4404166666666646E-3</v>
      </c>
      <c r="R10">
        <f t="shared" si="2"/>
        <v>1.1361778893203984E-2</v>
      </c>
      <c r="S10">
        <f t="shared" si="3"/>
        <v>0.47883493577936415</v>
      </c>
    </row>
    <row r="11" spans="1:23" x14ac:dyDescent="0.3">
      <c r="A11" s="1">
        <v>41153</v>
      </c>
      <c r="B11" s="2">
        <v>0.12</v>
      </c>
      <c r="C11" s="2">
        <v>2.58</v>
      </c>
      <c r="E11" s="1">
        <v>41153</v>
      </c>
      <c r="F11" s="7">
        <f t="shared" si="0"/>
        <v>1.1999999999999999E-3</v>
      </c>
      <c r="G11" s="7">
        <f t="shared" si="0"/>
        <v>2.58E-2</v>
      </c>
      <c r="J11" s="41" t="s">
        <v>16</v>
      </c>
      <c r="K11" s="41"/>
      <c r="N11" s="6">
        <v>0.6</v>
      </c>
      <c r="O11" s="6">
        <f t="shared" si="4"/>
        <v>0.4</v>
      </c>
      <c r="Q11" s="8">
        <f t="shared" si="1"/>
        <v>5.9741666666666658E-3</v>
      </c>
      <c r="R11">
        <f t="shared" si="2"/>
        <v>1.2579879410082682E-2</v>
      </c>
      <c r="S11">
        <f t="shared" si="3"/>
        <v>0.47489856396225982</v>
      </c>
    </row>
    <row r="12" spans="1:23" x14ac:dyDescent="0.3">
      <c r="A12" s="1">
        <v>41183</v>
      </c>
      <c r="B12" s="2">
        <v>0.12</v>
      </c>
      <c r="C12" s="2">
        <v>-1.85</v>
      </c>
      <c r="E12" s="1">
        <v>41183</v>
      </c>
      <c r="F12" s="7">
        <f t="shared" si="0"/>
        <v>1.1999999999999999E-3</v>
      </c>
      <c r="G12" s="7">
        <f t="shared" si="0"/>
        <v>-1.8500000000000003E-2</v>
      </c>
      <c r="J12" s="24" t="s">
        <v>2</v>
      </c>
      <c r="K12" s="24" t="s">
        <v>3</v>
      </c>
      <c r="N12" s="6">
        <v>0.55000000000000004</v>
      </c>
      <c r="O12" s="6">
        <f t="shared" si="4"/>
        <v>0.44999999999999996</v>
      </c>
      <c r="Q12" s="8">
        <f t="shared" si="1"/>
        <v>6.5079166666666653E-3</v>
      </c>
      <c r="R12">
        <f t="shared" si="2"/>
        <v>1.3870671353064428E-2</v>
      </c>
      <c r="S12">
        <f t="shared" si="3"/>
        <v>0.46918541294894717</v>
      </c>
    </row>
    <row r="13" spans="1:23" x14ac:dyDescent="0.3">
      <c r="A13" s="1">
        <v>41214</v>
      </c>
      <c r="B13" s="2">
        <v>0.2</v>
      </c>
      <c r="C13" s="2">
        <v>0.57999999999999996</v>
      </c>
      <c r="E13" s="1">
        <v>41214</v>
      </c>
      <c r="F13" s="7">
        <f t="shared" si="0"/>
        <v>2E-3</v>
      </c>
      <c r="G13" s="7">
        <f t="shared" si="0"/>
        <v>5.7999999999999996E-3</v>
      </c>
      <c r="J13" s="17">
        <f>K8*N25</f>
        <v>3392295.4871908799</v>
      </c>
      <c r="K13" s="17">
        <f>K8*O25</f>
        <v>1607704.5473871501</v>
      </c>
      <c r="N13" s="6">
        <v>0.5</v>
      </c>
      <c r="O13" s="6">
        <f t="shared" si="4"/>
        <v>0.5</v>
      </c>
      <c r="Q13" s="8">
        <f t="shared" si="1"/>
        <v>7.0416666666666648E-3</v>
      </c>
      <c r="R13">
        <f t="shared" si="2"/>
        <v>1.5215666040484575E-2</v>
      </c>
      <c r="S13">
        <f t="shared" si="3"/>
        <v>0.462790563878754</v>
      </c>
    </row>
    <row r="14" spans="1:23" x14ac:dyDescent="0.3">
      <c r="A14" s="1">
        <v>41244</v>
      </c>
      <c r="B14" s="2">
        <v>-0.19</v>
      </c>
      <c r="C14" s="2">
        <v>0.91</v>
      </c>
      <c r="E14" s="1">
        <v>41244</v>
      </c>
      <c r="F14" s="7">
        <f t="shared" si="0"/>
        <v>-1.9E-3</v>
      </c>
      <c r="G14" s="7">
        <f t="shared" si="0"/>
        <v>9.1000000000000004E-3</v>
      </c>
      <c r="N14" s="6">
        <v>0.45</v>
      </c>
      <c r="O14" s="6">
        <f t="shared" si="4"/>
        <v>0.55000000000000004</v>
      </c>
      <c r="Q14" s="8">
        <f t="shared" si="1"/>
        <v>7.5754166666666652E-3</v>
      </c>
      <c r="R14">
        <f t="shared" si="2"/>
        <v>1.6601694906988328E-2</v>
      </c>
      <c r="S14">
        <f t="shared" si="3"/>
        <v>0.45630381169562778</v>
      </c>
    </row>
    <row r="15" spans="1:23" x14ac:dyDescent="0.3">
      <c r="A15" s="1">
        <v>41275</v>
      </c>
      <c r="B15" s="2">
        <v>-0.7</v>
      </c>
      <c r="C15" s="2">
        <v>5.18</v>
      </c>
      <c r="E15" s="1">
        <v>41275</v>
      </c>
      <c r="F15" s="7">
        <f t="shared" si="0"/>
        <v>-6.9999999999999993E-3</v>
      </c>
      <c r="G15" s="7">
        <f t="shared" si="0"/>
        <v>5.1799999999999999E-2</v>
      </c>
      <c r="N15" s="6">
        <v>0.39999999999999902</v>
      </c>
      <c r="O15" s="6">
        <f t="shared" si="4"/>
        <v>0.60000000000000098</v>
      </c>
      <c r="Q15" s="8">
        <f t="shared" si="1"/>
        <v>8.109166666666676E-3</v>
      </c>
      <c r="R15">
        <f t="shared" si="2"/>
        <v>1.8019291494734836E-2</v>
      </c>
      <c r="S15">
        <f t="shared" si="3"/>
        <v>0.45002694301472074</v>
      </c>
    </row>
    <row r="16" spans="1:23" x14ac:dyDescent="0.3">
      <c r="A16" s="1">
        <v>41306</v>
      </c>
      <c r="B16" s="2">
        <v>0.55000000000000004</v>
      </c>
      <c r="C16" s="2">
        <v>1.35</v>
      </c>
      <c r="E16" s="1">
        <v>41306</v>
      </c>
      <c r="F16" s="7">
        <f t="shared" si="0"/>
        <v>5.5000000000000005E-3</v>
      </c>
      <c r="G16" s="7">
        <f t="shared" si="0"/>
        <v>1.3500000000000002E-2</v>
      </c>
      <c r="N16" s="6">
        <v>0.34999999999999898</v>
      </c>
      <c r="O16" s="6">
        <f t="shared" si="4"/>
        <v>0.65000000000000102</v>
      </c>
      <c r="Q16" s="8">
        <f t="shared" si="1"/>
        <v>8.6429166666666737E-3</v>
      </c>
      <c r="R16">
        <f t="shared" si="2"/>
        <v>1.9461558766400409E-2</v>
      </c>
      <c r="S16">
        <f t="shared" si="3"/>
        <v>0.44410197407148694</v>
      </c>
    </row>
    <row r="17" spans="1:19" x14ac:dyDescent="0.3">
      <c r="A17" s="1">
        <v>41334</v>
      </c>
      <c r="B17" s="2">
        <v>0.09</v>
      </c>
      <c r="C17" s="2">
        <v>3.75</v>
      </c>
      <c r="E17" s="1">
        <v>41334</v>
      </c>
      <c r="F17" s="7">
        <f t="shared" si="0"/>
        <v>8.9999999999999998E-4</v>
      </c>
      <c r="G17" s="7">
        <f t="shared" si="0"/>
        <v>3.7499999999999999E-2</v>
      </c>
      <c r="N17" s="6">
        <v>0.29999999999999899</v>
      </c>
      <c r="O17" s="6">
        <f>1-N17</f>
        <v>0.70000000000000107</v>
      </c>
      <c r="Q17" s="8">
        <f t="shared" si="1"/>
        <v>9.176666666666675E-3</v>
      </c>
      <c r="R17">
        <f t="shared" si="2"/>
        <v>2.092339563078191E-2</v>
      </c>
      <c r="S17">
        <f t="shared" si="3"/>
        <v>0.43858400560787664</v>
      </c>
    </row>
    <row r="18" spans="1:19" x14ac:dyDescent="0.3">
      <c r="A18" s="1">
        <v>41365</v>
      </c>
      <c r="B18" s="2">
        <v>0.92</v>
      </c>
      <c r="C18" s="2">
        <v>1.92</v>
      </c>
      <c r="E18" s="1">
        <v>41365</v>
      </c>
      <c r="F18" s="7">
        <f t="shared" si="0"/>
        <v>9.1999999999999998E-3</v>
      </c>
      <c r="G18" s="7">
        <f t="shared" si="0"/>
        <v>1.9199999999999998E-2</v>
      </c>
      <c r="N18" s="6">
        <v>0.249999999999999</v>
      </c>
      <c r="O18" s="6">
        <f>1-N18</f>
        <v>0.750000000000001</v>
      </c>
      <c r="Q18" s="8">
        <f t="shared" si="1"/>
        <v>9.7104166666666745E-3</v>
      </c>
      <c r="R18">
        <f t="shared" si="2"/>
        <v>2.2400971212979216E-2</v>
      </c>
      <c r="S18">
        <f t="shared" si="3"/>
        <v>0.43348194925764733</v>
      </c>
    </row>
    <row r="19" spans="1:19" x14ac:dyDescent="0.3">
      <c r="A19" s="1">
        <v>41395</v>
      </c>
      <c r="B19" s="2">
        <v>-1.7</v>
      </c>
      <c r="C19" s="2">
        <v>2.33</v>
      </c>
      <c r="E19" s="1">
        <v>41395</v>
      </c>
      <c r="F19" s="7">
        <f t="shared" si="0"/>
        <v>-1.7000000000000001E-2</v>
      </c>
      <c r="G19" s="7">
        <f t="shared" si="0"/>
        <v>2.3300000000000001E-2</v>
      </c>
      <c r="N19" s="6">
        <v>0.19999999999999901</v>
      </c>
      <c r="O19" s="6">
        <f t="shared" ref="O19:O21" si="5">1-N19</f>
        <v>0.80000000000000093</v>
      </c>
      <c r="Q19" s="8">
        <f t="shared" si="1"/>
        <v>1.0244166666666674E-2</v>
      </c>
      <c r="R19">
        <f t="shared" si="2"/>
        <v>2.3891365580593269E-2</v>
      </c>
      <c r="S19">
        <f t="shared" si="3"/>
        <v>0.42878112731186507</v>
      </c>
    </row>
    <row r="20" spans="1:19" x14ac:dyDescent="0.3">
      <c r="A20" s="1">
        <v>41426</v>
      </c>
      <c r="B20" s="2">
        <v>-1.64</v>
      </c>
      <c r="C20" s="2">
        <v>-1.35</v>
      </c>
      <c r="E20" s="1">
        <v>41426</v>
      </c>
      <c r="F20" s="7">
        <f t="shared" si="0"/>
        <v>-1.6399999999999998E-2</v>
      </c>
      <c r="G20" s="7">
        <f t="shared" si="0"/>
        <v>-1.3500000000000002E-2</v>
      </c>
      <c r="N20" s="6">
        <v>0.149999999999999</v>
      </c>
      <c r="O20" s="6">
        <f t="shared" si="5"/>
        <v>0.85000000000000098</v>
      </c>
      <c r="Q20" s="8">
        <f t="shared" si="1"/>
        <v>1.0777916666666675E-2</v>
      </c>
      <c r="R20">
        <f t="shared" si="2"/>
        <v>2.5392321650150929E-2</v>
      </c>
      <c r="S20">
        <f t="shared" si="3"/>
        <v>0.42445573961932753</v>
      </c>
    </row>
    <row r="21" spans="1:19" x14ac:dyDescent="0.3">
      <c r="A21" s="1">
        <v>41456</v>
      </c>
      <c r="B21" s="2">
        <v>0.21</v>
      </c>
      <c r="C21" s="2">
        <v>5.09</v>
      </c>
      <c r="E21" s="1">
        <v>41456</v>
      </c>
      <c r="F21" s="7">
        <f t="shared" si="0"/>
        <v>2.0999999999999999E-3</v>
      </c>
      <c r="G21" s="7">
        <f t="shared" si="0"/>
        <v>5.0900000000000001E-2</v>
      </c>
      <c r="N21" s="6">
        <v>9.9999999999999006E-2</v>
      </c>
      <c r="O21" s="6">
        <f t="shared" si="5"/>
        <v>0.90000000000000102</v>
      </c>
      <c r="Q21" s="8">
        <f t="shared" si="1"/>
        <v>1.1311666666666673E-2</v>
      </c>
      <c r="R21">
        <f t="shared" si="2"/>
        <v>2.6902071662275821E-2</v>
      </c>
      <c r="S21">
        <f t="shared" si="3"/>
        <v>0.42047567223340543</v>
      </c>
    </row>
    <row r="22" spans="1:19" x14ac:dyDescent="0.3">
      <c r="A22" s="1">
        <v>41487</v>
      </c>
      <c r="B22" s="2">
        <v>-0.63</v>
      </c>
      <c r="C22" s="2">
        <v>-2.9</v>
      </c>
      <c r="E22" s="1">
        <v>41487</v>
      </c>
      <c r="F22" s="7">
        <f t="shared" si="0"/>
        <v>-6.3E-3</v>
      </c>
      <c r="G22" s="7">
        <f t="shared" si="0"/>
        <v>-2.8999999999999998E-2</v>
      </c>
      <c r="N22" s="6">
        <v>4.9999999999998997E-2</v>
      </c>
      <c r="O22" s="6">
        <f>1-N22</f>
        <v>0.95000000000000095</v>
      </c>
      <c r="Q22" s="8">
        <f t="shared" si="1"/>
        <v>1.1845416666666672E-2</v>
      </c>
      <c r="R22">
        <f t="shared" si="2"/>
        <v>2.8419214136180072E-2</v>
      </c>
      <c r="S22">
        <f t="shared" si="3"/>
        <v>0.4168101415438667</v>
      </c>
    </row>
    <row r="23" spans="1:19" x14ac:dyDescent="0.3">
      <c r="A23" s="1">
        <v>41518</v>
      </c>
      <c r="B23" s="2">
        <v>0.97</v>
      </c>
      <c r="C23" s="2">
        <v>3.13</v>
      </c>
      <c r="E23" s="1">
        <v>41518</v>
      </c>
      <c r="F23" s="7">
        <f t="shared" si="0"/>
        <v>9.7000000000000003E-3</v>
      </c>
      <c r="G23" s="7">
        <f t="shared" si="0"/>
        <v>3.1300000000000001E-2</v>
      </c>
      <c r="N23" s="6">
        <v>0</v>
      </c>
      <c r="O23" s="6">
        <f>1-N23</f>
        <v>1</v>
      </c>
      <c r="Q23" s="8">
        <f>SUMPRODUCT(N23:O23,$K$3:$L$3)</f>
        <v>1.2379166666666663E-2</v>
      </c>
      <c r="R23">
        <f t="shared" si="2"/>
        <v>2.9942625402129022E-2</v>
      </c>
      <c r="S23">
        <f t="shared" si="3"/>
        <v>0.41342956739479708</v>
      </c>
    </row>
    <row r="24" spans="1:19" x14ac:dyDescent="0.3">
      <c r="A24" s="1">
        <v>41548</v>
      </c>
      <c r="B24" s="2">
        <v>0.79</v>
      </c>
      <c r="C24" s="2">
        <v>4.59</v>
      </c>
      <c r="E24" s="1">
        <v>41548</v>
      </c>
      <c r="F24" s="7">
        <f t="shared" si="0"/>
        <v>7.9000000000000008E-3</v>
      </c>
      <c r="G24" s="7">
        <f t="shared" si="0"/>
        <v>4.5899999999999996E-2</v>
      </c>
      <c r="L24" s="38" t="s">
        <v>15</v>
      </c>
      <c r="M24" s="38"/>
      <c r="N24" s="10">
        <f>INDEX(N3:N23,MATCH(MAX($S$3:$S$23),$S$3:$S$23,0))</f>
        <v>0.7</v>
      </c>
      <c r="O24" s="10">
        <f t="shared" ref="O24:S24" si="6">INDEX(O3:O23,MATCH(MAX($S$3:$S$23),$S$3:$S$23,0))</f>
        <v>0.30000000000000004</v>
      </c>
      <c r="P24" s="10">
        <f t="shared" si="6"/>
        <v>0</v>
      </c>
      <c r="Q24" s="11">
        <f>INDEX(Q3:Q23,MATCH(MAX($S$3:$S$23),$S$3:$S$23,0))</f>
        <v>4.9066666666666659E-3</v>
      </c>
      <c r="R24" s="12">
        <f t="shared" si="6"/>
        <v>1.024233785432907E-2</v>
      </c>
      <c r="S24" s="13">
        <f t="shared" si="6"/>
        <v>0.47905729497028782</v>
      </c>
    </row>
    <row r="25" spans="1:19" x14ac:dyDescent="0.3">
      <c r="A25" s="1">
        <v>41579</v>
      </c>
      <c r="B25" s="2">
        <v>-0.34</v>
      </c>
      <c r="C25" s="2">
        <v>3.04</v>
      </c>
      <c r="E25" s="1">
        <v>41579</v>
      </c>
      <c r="F25" s="7">
        <f t="shared" si="0"/>
        <v>-3.4000000000000002E-3</v>
      </c>
      <c r="G25" s="7">
        <f t="shared" si="0"/>
        <v>3.04E-2</v>
      </c>
      <c r="L25" s="37" t="s">
        <v>17</v>
      </c>
      <c r="M25" s="37"/>
      <c r="N25" s="7">
        <v>0.67845909743817601</v>
      </c>
      <c r="O25" s="7">
        <v>0.32154090947743003</v>
      </c>
      <c r="Q25" s="8">
        <f>SUMPRODUCT(N25:O25,$K$3:$L$3)</f>
        <v>5.1366158871235766E-3</v>
      </c>
      <c r="R25" s="7">
        <f t="shared" si="2"/>
        <v>1.071047085598879E-2</v>
      </c>
      <c r="S25">
        <f t="shared" si="3"/>
        <v>0.47958824184199367</v>
      </c>
    </row>
    <row r="26" spans="1:19" x14ac:dyDescent="0.3">
      <c r="A26" s="1">
        <v>41609</v>
      </c>
      <c r="B26" s="2">
        <v>-0.64</v>
      </c>
      <c r="C26" s="2">
        <v>2.5299999999999998</v>
      </c>
      <c r="E26" s="1">
        <v>41609</v>
      </c>
      <c r="F26" s="7">
        <f t="shared" si="0"/>
        <v>-6.4000000000000003E-3</v>
      </c>
      <c r="G26" s="7">
        <f t="shared" si="0"/>
        <v>2.53E-2</v>
      </c>
      <c r="L26" s="37"/>
      <c r="M26" s="37"/>
      <c r="N26" s="7"/>
      <c r="O26" s="7"/>
      <c r="Q26" s="8"/>
    </row>
    <row r="27" spans="1:19" x14ac:dyDescent="0.3">
      <c r="A27" s="1">
        <v>41640</v>
      </c>
      <c r="B27" s="2">
        <v>1.55</v>
      </c>
      <c r="C27" s="2">
        <v>-3.46</v>
      </c>
      <c r="E27" s="1">
        <v>41640</v>
      </c>
      <c r="F27" s="7">
        <f t="shared" si="0"/>
        <v>1.55E-2</v>
      </c>
      <c r="G27" s="7">
        <f t="shared" si="0"/>
        <v>-3.4599999999999999E-2</v>
      </c>
      <c r="L27" s="37"/>
      <c r="M27" s="37"/>
      <c r="Q27" s="8"/>
    </row>
    <row r="28" spans="1:19" x14ac:dyDescent="0.3">
      <c r="A28" s="1">
        <v>41671</v>
      </c>
      <c r="B28" s="2">
        <v>0.49</v>
      </c>
      <c r="C28" s="2">
        <v>4.57</v>
      </c>
      <c r="E28" s="1">
        <v>41671</v>
      </c>
      <c r="F28" s="7">
        <f t="shared" si="0"/>
        <v>4.8999999999999998E-3</v>
      </c>
      <c r="G28" s="7">
        <f t="shared" si="0"/>
        <v>4.5700000000000005E-2</v>
      </c>
    </row>
    <row r="29" spans="1:19" x14ac:dyDescent="0.3">
      <c r="A29" s="1">
        <v>41699</v>
      </c>
      <c r="B29" s="2">
        <v>-0.14000000000000001</v>
      </c>
      <c r="C29" s="2">
        <v>0.84</v>
      </c>
      <c r="E29" s="1">
        <v>41699</v>
      </c>
      <c r="F29" s="7">
        <f t="shared" si="0"/>
        <v>-1.4000000000000002E-3</v>
      </c>
      <c r="G29" s="7">
        <f t="shared" si="0"/>
        <v>8.3999999999999995E-3</v>
      </c>
    </row>
    <row r="30" spans="1:19" x14ac:dyDescent="0.3">
      <c r="A30" s="1">
        <v>41730</v>
      </c>
      <c r="B30" s="2">
        <v>0.78</v>
      </c>
      <c r="C30" s="2">
        <v>0.74</v>
      </c>
      <c r="E30" s="1">
        <v>41730</v>
      </c>
      <c r="F30" s="7">
        <f t="shared" si="0"/>
        <v>7.8000000000000005E-3</v>
      </c>
      <c r="G30" s="7">
        <f t="shared" si="0"/>
        <v>7.4000000000000003E-3</v>
      </c>
    </row>
    <row r="31" spans="1:19" x14ac:dyDescent="0.3">
      <c r="A31" s="1">
        <v>41760</v>
      </c>
      <c r="B31" s="2">
        <v>1.06</v>
      </c>
      <c r="C31" s="2">
        <v>2.34</v>
      </c>
      <c r="E31" s="1">
        <v>41760</v>
      </c>
      <c r="F31" s="7">
        <f t="shared" si="0"/>
        <v>1.06E-2</v>
      </c>
      <c r="G31" s="7">
        <f t="shared" si="0"/>
        <v>2.3399999999999997E-2</v>
      </c>
    </row>
    <row r="32" spans="1:19" x14ac:dyDescent="0.3">
      <c r="A32" s="1">
        <v>41791</v>
      </c>
      <c r="B32" s="2">
        <v>0.12</v>
      </c>
      <c r="C32" s="2">
        <v>2.06</v>
      </c>
      <c r="E32" s="1">
        <v>41791</v>
      </c>
      <c r="F32" s="7">
        <f t="shared" si="0"/>
        <v>1.1999999999999999E-3</v>
      </c>
      <c r="G32" s="7">
        <f t="shared" si="0"/>
        <v>2.06E-2</v>
      </c>
    </row>
    <row r="33" spans="1:7" x14ac:dyDescent="0.3">
      <c r="A33" s="1">
        <v>41821</v>
      </c>
      <c r="B33" s="2">
        <v>-0.25</v>
      </c>
      <c r="C33" s="2">
        <v>-1.38</v>
      </c>
      <c r="E33" s="1">
        <v>41821</v>
      </c>
      <c r="F33" s="7">
        <f t="shared" si="0"/>
        <v>-2.5000000000000001E-3</v>
      </c>
      <c r="G33" s="7">
        <f t="shared" si="0"/>
        <v>-1.38E-2</v>
      </c>
    </row>
    <row r="34" spans="1:7" x14ac:dyDescent="0.3">
      <c r="A34" s="1">
        <v>41852</v>
      </c>
      <c r="B34" s="2">
        <v>1.1399999999999999</v>
      </c>
      <c r="C34" s="2">
        <v>4</v>
      </c>
      <c r="E34" s="1">
        <v>41852</v>
      </c>
      <c r="F34" s="7">
        <f t="shared" si="0"/>
        <v>1.1399999999999999E-2</v>
      </c>
      <c r="G34" s="7">
        <f t="shared" si="0"/>
        <v>0.04</v>
      </c>
    </row>
    <row r="35" spans="1:7" x14ac:dyDescent="0.3">
      <c r="A35" s="1">
        <v>41883</v>
      </c>
      <c r="B35" s="2">
        <v>-0.71</v>
      </c>
      <c r="C35" s="2">
        <v>-1.4</v>
      </c>
      <c r="E35" s="1">
        <v>41883</v>
      </c>
      <c r="F35" s="7">
        <f>B35/100</f>
        <v>-7.0999999999999995E-3</v>
      </c>
      <c r="G35" s="7">
        <f t="shared" si="0"/>
        <v>-1.3999999999999999E-2</v>
      </c>
    </row>
    <row r="36" spans="1:7" x14ac:dyDescent="0.3">
      <c r="A36" s="1">
        <v>41913</v>
      </c>
      <c r="B36" s="2">
        <v>0.95</v>
      </c>
      <c r="C36" s="2">
        <v>2.4300000000000002</v>
      </c>
      <c r="E36" s="1">
        <v>41913</v>
      </c>
      <c r="F36" s="7">
        <f t="shared" si="0"/>
        <v>9.4999999999999998E-3</v>
      </c>
      <c r="G36" s="7">
        <f t="shared" si="0"/>
        <v>2.4300000000000002E-2</v>
      </c>
    </row>
    <row r="37" spans="1:7" x14ac:dyDescent="0.3">
      <c r="A37" s="1">
        <v>41944</v>
      </c>
      <c r="B37" s="2">
        <v>0.66</v>
      </c>
      <c r="C37" s="2">
        <v>2.69</v>
      </c>
      <c r="E37" s="1">
        <v>41944</v>
      </c>
      <c r="F37" s="7">
        <f t="shared" si="0"/>
        <v>6.6E-3</v>
      </c>
      <c r="G37" s="7">
        <f t="shared" si="0"/>
        <v>2.69E-2</v>
      </c>
    </row>
    <row r="38" spans="1:7" x14ac:dyDescent="0.3">
      <c r="A38" s="1">
        <v>41974</v>
      </c>
      <c r="B38" s="2">
        <v>0.1</v>
      </c>
      <c r="C38" s="2">
        <v>-0.26</v>
      </c>
      <c r="E38" s="1">
        <v>41974</v>
      </c>
      <c r="F38" s="7">
        <f t="shared" si="0"/>
        <v>1E-3</v>
      </c>
      <c r="G38" s="7">
        <f t="shared" si="0"/>
        <v>-2.5999999999999999E-3</v>
      </c>
    </row>
    <row r="39" spans="1:7" x14ac:dyDescent="0.3">
      <c r="A39" s="1">
        <v>42005</v>
      </c>
      <c r="B39" s="2">
        <v>2.3199999999999998</v>
      </c>
      <c r="C39" s="2">
        <v>-3</v>
      </c>
      <c r="E39" s="1">
        <v>42005</v>
      </c>
      <c r="F39" s="7">
        <f t="shared" si="0"/>
        <v>2.3199999999999998E-2</v>
      </c>
      <c r="G39" s="7">
        <f t="shared" si="0"/>
        <v>-0.03</v>
      </c>
    </row>
    <row r="40" spans="1:7" x14ac:dyDescent="0.3">
      <c r="A40" s="1">
        <v>42036</v>
      </c>
      <c r="B40" s="2">
        <v>-1.07</v>
      </c>
      <c r="C40" s="2">
        <v>5.74</v>
      </c>
      <c r="E40" s="1">
        <v>42036</v>
      </c>
      <c r="F40" s="7">
        <f t="shared" si="0"/>
        <v>-1.0700000000000001E-2</v>
      </c>
      <c r="G40" s="7">
        <f t="shared" si="0"/>
        <v>5.74E-2</v>
      </c>
    </row>
    <row r="41" spans="1:7" x14ac:dyDescent="0.3">
      <c r="A41" s="1">
        <v>42064</v>
      </c>
      <c r="B41" s="2">
        <v>0.42</v>
      </c>
      <c r="C41" s="2">
        <v>-1.59</v>
      </c>
      <c r="E41" s="1">
        <v>42064</v>
      </c>
      <c r="F41" s="7">
        <f t="shared" si="0"/>
        <v>4.1999999999999997E-3</v>
      </c>
      <c r="G41" s="7">
        <f t="shared" si="0"/>
        <v>-1.5900000000000001E-2</v>
      </c>
    </row>
    <row r="42" spans="1:7" x14ac:dyDescent="0.3">
      <c r="A42" s="1">
        <v>42095</v>
      </c>
      <c r="B42" s="2">
        <v>-0.35</v>
      </c>
      <c r="C42" s="2">
        <v>0.95</v>
      </c>
      <c r="E42" s="1">
        <v>42095</v>
      </c>
      <c r="F42" s="7">
        <f t="shared" si="0"/>
        <v>-3.4999999999999996E-3</v>
      </c>
      <c r="G42" s="7">
        <f t="shared" si="0"/>
        <v>9.4999999999999998E-3</v>
      </c>
    </row>
    <row r="43" spans="1:7" x14ac:dyDescent="0.3">
      <c r="A43" s="1">
        <v>42125</v>
      </c>
      <c r="B43" s="2">
        <v>-0.44</v>
      </c>
      <c r="C43" s="2">
        <v>1.28</v>
      </c>
      <c r="E43" s="1">
        <v>42125</v>
      </c>
      <c r="F43" s="7">
        <f t="shared" si="0"/>
        <v>-4.4000000000000003E-3</v>
      </c>
      <c r="G43" s="7">
        <f t="shared" si="0"/>
        <v>1.2800000000000001E-2</v>
      </c>
    </row>
    <row r="44" spans="1:7" x14ac:dyDescent="0.3">
      <c r="A44" s="1">
        <v>42156</v>
      </c>
      <c r="B44" s="2">
        <v>-1</v>
      </c>
      <c r="C44" s="2">
        <v>-1.92</v>
      </c>
      <c r="E44" s="1">
        <v>42156</v>
      </c>
      <c r="F44" s="7">
        <f t="shared" si="0"/>
        <v>-0.01</v>
      </c>
      <c r="G44" s="7">
        <f t="shared" si="0"/>
        <v>-1.9199999999999998E-2</v>
      </c>
    </row>
    <row r="45" spans="1:7" x14ac:dyDescent="0.3">
      <c r="A45" s="1">
        <v>42186</v>
      </c>
      <c r="B45" s="2">
        <v>0.77</v>
      </c>
      <c r="C45" s="2">
        <v>2.09</v>
      </c>
      <c r="E45" s="1">
        <v>42186</v>
      </c>
      <c r="F45" s="7">
        <f t="shared" si="0"/>
        <v>7.7000000000000002E-3</v>
      </c>
      <c r="G45" s="7">
        <f t="shared" si="0"/>
        <v>2.0899999999999998E-2</v>
      </c>
    </row>
    <row r="46" spans="1:7" x14ac:dyDescent="0.3">
      <c r="A46" s="1">
        <v>42217</v>
      </c>
      <c r="B46" s="2">
        <v>-0.35</v>
      </c>
      <c r="C46" s="2">
        <v>-6.04</v>
      </c>
      <c r="E46" s="1">
        <v>42217</v>
      </c>
      <c r="F46" s="7">
        <f t="shared" si="0"/>
        <v>-3.4999999999999996E-3</v>
      </c>
      <c r="G46" s="7">
        <f t="shared" si="0"/>
        <v>-6.0400000000000002E-2</v>
      </c>
    </row>
    <row r="47" spans="1:7" x14ac:dyDescent="0.3">
      <c r="A47" s="1">
        <v>42248</v>
      </c>
      <c r="B47" s="2">
        <v>0.76</v>
      </c>
      <c r="C47" s="2">
        <v>-2.48</v>
      </c>
      <c r="E47" s="1">
        <v>42248</v>
      </c>
      <c r="F47" s="7">
        <f t="shared" si="0"/>
        <v>7.6E-3</v>
      </c>
      <c r="G47" s="7">
        <f t="shared" si="0"/>
        <v>-2.4799999999999999E-2</v>
      </c>
    </row>
    <row r="48" spans="1:7" x14ac:dyDescent="0.3">
      <c r="A48" s="1">
        <v>42278</v>
      </c>
      <c r="B48" s="2">
        <v>0.02</v>
      </c>
      <c r="C48" s="2">
        <v>8.43</v>
      </c>
      <c r="E48" s="1">
        <v>42278</v>
      </c>
      <c r="F48" s="7">
        <f t="shared" si="0"/>
        <v>2.0000000000000001E-4</v>
      </c>
      <c r="G48" s="7">
        <f t="shared" si="0"/>
        <v>8.43E-2</v>
      </c>
    </row>
    <row r="49" spans="1:14" x14ac:dyDescent="0.3">
      <c r="A49" s="1">
        <v>42309</v>
      </c>
      <c r="B49" s="2">
        <v>-0.26</v>
      </c>
      <c r="C49" s="2">
        <v>0.3</v>
      </c>
      <c r="E49" s="1">
        <v>42309</v>
      </c>
      <c r="F49" s="7">
        <f t="shared" si="0"/>
        <v>-2.5999999999999999E-3</v>
      </c>
      <c r="G49" s="7">
        <f t="shared" si="0"/>
        <v>3.0000000000000001E-3</v>
      </c>
    </row>
    <row r="50" spans="1:14" x14ac:dyDescent="0.3">
      <c r="A50" s="1">
        <v>42339</v>
      </c>
      <c r="B50" s="2">
        <v>-0.37</v>
      </c>
      <c r="C50" s="2">
        <v>-1.58</v>
      </c>
      <c r="E50" s="1">
        <v>42339</v>
      </c>
      <c r="F50" s="7">
        <f t="shared" si="0"/>
        <v>-3.7000000000000002E-3</v>
      </c>
      <c r="G50" s="7">
        <f t="shared" si="0"/>
        <v>-1.5800000000000002E-2</v>
      </c>
      <c r="H50" s="20"/>
      <c r="K50" s="21"/>
      <c r="N50" s="8"/>
    </row>
    <row r="51" spans="1:14" x14ac:dyDescent="0.3">
      <c r="A51" s="1">
        <v>42370</v>
      </c>
      <c r="B51" s="2">
        <v>1.44</v>
      </c>
      <c r="C51" s="2">
        <v>-4.97</v>
      </c>
      <c r="E51" s="1">
        <v>42370</v>
      </c>
      <c r="F51" s="7">
        <f>B51/100</f>
        <v>1.44E-2</v>
      </c>
      <c r="G51" s="7">
        <f t="shared" si="0"/>
        <v>-4.9699999999999994E-2</v>
      </c>
      <c r="H51" s="40"/>
      <c r="J51" s="17"/>
      <c r="K51" s="21"/>
      <c r="L51" s="21"/>
    </row>
    <row r="52" spans="1:14" x14ac:dyDescent="0.3">
      <c r="A52" s="1">
        <v>42401</v>
      </c>
      <c r="B52" s="2">
        <v>0.67</v>
      </c>
      <c r="C52" s="2">
        <v>-0.14000000000000001</v>
      </c>
      <c r="E52" s="1">
        <v>42401</v>
      </c>
      <c r="F52" s="7">
        <f t="shared" si="0"/>
        <v>6.7000000000000002E-3</v>
      </c>
      <c r="G52" s="7">
        <f t="shared" si="0"/>
        <v>-1.4000000000000002E-3</v>
      </c>
      <c r="H52" s="40"/>
      <c r="J52" s="17"/>
      <c r="K52" s="21"/>
      <c r="N52" s="18"/>
    </row>
    <row r="53" spans="1:14" x14ac:dyDescent="0.3">
      <c r="A53" s="1">
        <v>42430</v>
      </c>
      <c r="B53" s="2">
        <v>0.95</v>
      </c>
      <c r="C53" s="2">
        <v>6.78</v>
      </c>
      <c r="E53" s="1">
        <v>42430</v>
      </c>
      <c r="F53" s="7">
        <f t="shared" si="0"/>
        <v>9.4999999999999998E-3</v>
      </c>
      <c r="G53" s="7">
        <f t="shared" si="0"/>
        <v>6.7799999999999999E-2</v>
      </c>
      <c r="H53" s="40"/>
      <c r="J53" s="17"/>
      <c r="K53" s="21"/>
      <c r="N53" s="18"/>
    </row>
    <row r="54" spans="1:14" x14ac:dyDescent="0.3">
      <c r="A54" s="1">
        <v>42461</v>
      </c>
      <c r="B54" s="2">
        <v>0.39</v>
      </c>
      <c r="C54" s="2">
        <v>0.39</v>
      </c>
      <c r="E54" s="1">
        <v>42461</v>
      </c>
      <c r="F54" s="7">
        <f t="shared" si="0"/>
        <v>3.9000000000000003E-3</v>
      </c>
      <c r="G54" s="7">
        <f t="shared" si="0"/>
        <v>3.9000000000000003E-3</v>
      </c>
      <c r="H54" s="40"/>
      <c r="J54" s="17"/>
      <c r="K54" s="21"/>
    </row>
    <row r="55" spans="1:14" x14ac:dyDescent="0.3">
      <c r="A55" s="1">
        <v>42491</v>
      </c>
      <c r="B55" s="2">
        <v>0.02</v>
      </c>
      <c r="C55" s="2">
        <v>1.79</v>
      </c>
      <c r="E55" s="1">
        <v>42491</v>
      </c>
      <c r="F55" s="7">
        <f t="shared" si="0"/>
        <v>2.0000000000000001E-4</v>
      </c>
      <c r="G55" s="7">
        <f t="shared" si="0"/>
        <v>1.7899999999999999E-2</v>
      </c>
      <c r="H55" s="40"/>
      <c r="J55" s="17"/>
      <c r="K55" s="21"/>
    </row>
    <row r="56" spans="1:14" x14ac:dyDescent="0.3">
      <c r="A56" s="1">
        <v>42522</v>
      </c>
      <c r="B56" s="2">
        <v>1.94</v>
      </c>
      <c r="C56" s="2">
        <v>0.26</v>
      </c>
      <c r="E56" s="1">
        <v>42522</v>
      </c>
      <c r="F56" s="7">
        <f t="shared" si="0"/>
        <v>1.9400000000000001E-2</v>
      </c>
      <c r="G56" s="7">
        <f t="shared" si="0"/>
        <v>2.5999999999999999E-3</v>
      </c>
      <c r="H56" s="40"/>
      <c r="J56" s="17"/>
      <c r="K56" s="21"/>
    </row>
    <row r="57" spans="1:14" x14ac:dyDescent="0.3">
      <c r="A57" s="1">
        <v>42552</v>
      </c>
      <c r="B57" s="2">
        <v>0.65</v>
      </c>
      <c r="C57" s="2">
        <v>3.68</v>
      </c>
      <c r="E57" s="1">
        <v>42552</v>
      </c>
      <c r="F57" s="7">
        <f t="shared" si="0"/>
        <v>6.5000000000000006E-3</v>
      </c>
      <c r="G57" s="7">
        <f t="shared" si="0"/>
        <v>3.6799999999999999E-2</v>
      </c>
      <c r="H57" s="40"/>
      <c r="J57" s="17"/>
      <c r="K57" s="21"/>
      <c r="M57" s="21"/>
    </row>
  </sheetData>
  <scenarios current="0" show="0">
    <scenario name="Till Dec 15" locked="1" count="12" user="Mohit Kumar" comment="Created by Mohit Kumar on 09-10-2024">
      <inputCells r="K3" val="0.00170416666666667"/>
      <inputCells r="L3" val="0.0123791666666667"/>
      <inputCells r="K4" val="0.00802205185549322"/>
      <inputCells r="L4" val="0.029942625402129"/>
      <inputCells r="K5" val="-0.0000174240798611111"/>
      <inputCells r="L5" val=""/>
      <inputCells r="K6" val="0"/>
      <inputCells r="L6" val=""/>
      <inputCells r="K7" val="1.00000001014977"/>
      <inputCells r="L7" val=""/>
      <inputCells r="K8" val="2000000" numFmtId="3"/>
      <inputCells r="L8" val=""/>
    </scenario>
  </scenarios>
  <mergeCells count="9">
    <mergeCell ref="L26:M26"/>
    <mergeCell ref="L27:M27"/>
    <mergeCell ref="L24:M24"/>
    <mergeCell ref="U1:W1"/>
    <mergeCell ref="J11:K11"/>
    <mergeCell ref="L25:M25"/>
    <mergeCell ref="K1:L1"/>
    <mergeCell ref="N1:O1"/>
    <mergeCell ref="Q1:S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C992-3121-4D74-8970-01C89032BCE7}">
  <dimension ref="A1:I38"/>
  <sheetViews>
    <sheetView tabSelected="1" workbookViewId="0">
      <selection activeCell="G27" sqref="G27"/>
    </sheetView>
  </sheetViews>
  <sheetFormatPr defaultRowHeight="14.4" x14ac:dyDescent="0.3"/>
  <cols>
    <col min="1" max="1" width="15.109375" bestFit="1" customWidth="1"/>
    <col min="2" max="3" width="15.109375" customWidth="1"/>
    <col min="4" max="4" width="17.5546875" customWidth="1"/>
    <col min="5" max="5" width="17" customWidth="1"/>
    <col min="6" max="6" width="13.6640625" customWidth="1"/>
    <col min="7" max="7" width="10.5546875" customWidth="1"/>
    <col min="9" max="9" width="12.6640625" bestFit="1" customWidth="1"/>
  </cols>
  <sheetData>
    <row r="1" spans="1:9" ht="28.8" x14ac:dyDescent="0.3">
      <c r="B1" s="24" t="s">
        <v>19</v>
      </c>
      <c r="C1" s="52" t="s">
        <v>27</v>
      </c>
      <c r="D1" s="52" t="s">
        <v>21</v>
      </c>
      <c r="E1" s="33"/>
      <c r="F1" s="33"/>
    </row>
    <row r="2" spans="1:9" x14ac:dyDescent="0.3">
      <c r="A2" s="46">
        <v>42339</v>
      </c>
      <c r="B2" s="22" t="s">
        <v>18</v>
      </c>
      <c r="C2" s="34" t="s">
        <v>18</v>
      </c>
      <c r="D2" s="30">
        <f>5</f>
        <v>5</v>
      </c>
      <c r="E2" s="34"/>
      <c r="F2" s="30"/>
    </row>
    <row r="3" spans="1:9" x14ac:dyDescent="0.3">
      <c r="A3" s="47">
        <v>42373</v>
      </c>
      <c r="B3" s="8">
        <v>-7.5242293111178485E-2</v>
      </c>
      <c r="C3" s="51">
        <f>D2*B3</f>
        <v>-0.37621146555589241</v>
      </c>
      <c r="D3" s="31">
        <f>D2+C3</f>
        <v>4.6237885344441079</v>
      </c>
      <c r="E3" s="32"/>
      <c r="F3" s="31"/>
      <c r="I3" s="17"/>
    </row>
    <row r="4" spans="1:9" x14ac:dyDescent="0.3">
      <c r="A4" s="47">
        <v>42401</v>
      </c>
      <c r="B4" s="8">
        <v>-1.2875670505002644E-3</v>
      </c>
      <c r="C4" s="51">
        <f>D3*B4</f>
        <v>-5.9534377654311401E-3</v>
      </c>
      <c r="D4" s="31">
        <f>D3+C4</f>
        <v>4.617835096678677</v>
      </c>
      <c r="E4" s="32"/>
      <c r="F4" s="31"/>
      <c r="I4" s="17"/>
    </row>
    <row r="5" spans="1:9" x14ac:dyDescent="0.3">
      <c r="A5" s="47">
        <v>42430</v>
      </c>
      <c r="B5" s="8">
        <v>0.12721064490444062</v>
      </c>
      <c r="C5" s="51">
        <f t="shared" ref="C5:E9" si="0">D4*B5</f>
        <v>0.5874377807108544</v>
      </c>
      <c r="D5" s="31">
        <f t="shared" ref="D5:F9" si="1">D4+C5</f>
        <v>5.2052728773895316</v>
      </c>
      <c r="E5" s="32"/>
      <c r="F5" s="31"/>
      <c r="I5" s="17"/>
    </row>
    <row r="6" spans="1:9" x14ac:dyDescent="0.3">
      <c r="A6" s="47">
        <v>42461</v>
      </c>
      <c r="B6" s="8">
        <v>-0.13992111007546301</v>
      </c>
      <c r="C6" s="51">
        <f t="shared" si="0"/>
        <v>-0.72832755925004278</v>
      </c>
      <c r="D6" s="31">
        <f t="shared" si="1"/>
        <v>4.4769453181394887</v>
      </c>
      <c r="E6" s="32"/>
      <c r="F6" s="31"/>
      <c r="I6" s="17"/>
    </row>
    <row r="7" spans="1:9" x14ac:dyDescent="0.3">
      <c r="A7" s="47">
        <v>42492</v>
      </c>
      <c r="B7" s="8">
        <v>7.1772927273714343E-2</v>
      </c>
      <c r="C7" s="51">
        <f t="shared" si="0"/>
        <v>0.32132347072722145</v>
      </c>
      <c r="D7" s="31">
        <f t="shared" si="1"/>
        <v>4.7982687888667099</v>
      </c>
      <c r="E7" s="32"/>
      <c r="F7" s="31"/>
      <c r="I7" s="17"/>
    </row>
    <row r="8" spans="1:9" x14ac:dyDescent="0.3">
      <c r="A8" s="47">
        <v>42522</v>
      </c>
      <c r="B8" s="8">
        <v>-4.2659753227921537E-2</v>
      </c>
      <c r="C8" s="51">
        <f t="shared" si="0"/>
        <v>-0.2046929624542918</v>
      </c>
      <c r="D8" s="31">
        <f t="shared" si="1"/>
        <v>4.593575826412418</v>
      </c>
      <c r="E8" s="32"/>
      <c r="F8" s="31"/>
      <c r="I8" s="17"/>
    </row>
    <row r="9" spans="1:9" x14ac:dyDescent="0.3">
      <c r="A9" s="47">
        <v>42552</v>
      </c>
      <c r="B9" s="8">
        <v>9.0062773850685618E-2</v>
      </c>
      <c r="C9" s="51">
        <f t="shared" si="0"/>
        <v>0.41371018082015792</v>
      </c>
      <c r="D9" s="31">
        <f t="shared" si="1"/>
        <v>5.007286007232576</v>
      </c>
      <c r="E9" s="32"/>
      <c r="F9" s="31"/>
      <c r="I9" s="17"/>
    </row>
    <row r="10" spans="1:9" x14ac:dyDescent="0.3">
      <c r="A10" s="25"/>
      <c r="B10" s="25"/>
      <c r="C10" s="25"/>
      <c r="D10" s="23"/>
      <c r="E10" s="35"/>
      <c r="F10" s="35"/>
    </row>
    <row r="11" spans="1:9" x14ac:dyDescent="0.3">
      <c r="A11" s="25"/>
      <c r="B11" s="25"/>
      <c r="C11" s="25"/>
      <c r="D11" s="8"/>
      <c r="E11" s="8"/>
    </row>
    <row r="12" spans="1:9" x14ac:dyDescent="0.3">
      <c r="A12" s="25"/>
      <c r="B12" s="25"/>
      <c r="C12" s="25"/>
      <c r="D12" s="8"/>
    </row>
    <row r="13" spans="1:9" x14ac:dyDescent="0.3">
      <c r="A13" s="25"/>
      <c r="B13" s="25"/>
      <c r="C13" s="48" t="s">
        <v>25</v>
      </c>
      <c r="D13" s="48"/>
      <c r="E13" s="8"/>
    </row>
    <row r="14" spans="1:9" x14ac:dyDescent="0.3">
      <c r="A14" s="25"/>
      <c r="B14" s="25"/>
      <c r="C14" s="49" t="s">
        <v>2</v>
      </c>
      <c r="D14" s="49" t="s">
        <v>3</v>
      </c>
      <c r="E14" s="8"/>
    </row>
    <row r="15" spans="1:9" x14ac:dyDescent="0.3">
      <c r="A15" s="25"/>
      <c r="B15" s="25"/>
      <c r="C15" s="50">
        <v>0.67845909743817601</v>
      </c>
      <c r="D15" s="8">
        <v>0.32154090947743003</v>
      </c>
      <c r="E15" s="8"/>
    </row>
    <row r="16" spans="1:9" x14ac:dyDescent="0.3">
      <c r="A16" s="25"/>
      <c r="B16" s="25"/>
      <c r="C16" s="25"/>
      <c r="D16" s="8"/>
      <c r="E16" s="8"/>
    </row>
    <row r="17" spans="1:6" x14ac:dyDescent="0.3">
      <c r="A17" s="25"/>
      <c r="B17" s="25"/>
      <c r="C17" s="25"/>
      <c r="D17" s="8"/>
      <c r="E17" s="8"/>
    </row>
    <row r="18" spans="1:6" x14ac:dyDescent="0.3">
      <c r="A18" s="25"/>
      <c r="B18" s="25"/>
      <c r="C18" s="25"/>
    </row>
    <row r="19" spans="1:6" ht="28.8" x14ac:dyDescent="0.3">
      <c r="B19" s="24" t="s">
        <v>23</v>
      </c>
      <c r="C19" s="24" t="s">
        <v>24</v>
      </c>
      <c r="D19" s="28" t="s">
        <v>20</v>
      </c>
      <c r="E19" s="39" t="s">
        <v>26</v>
      </c>
      <c r="F19" s="39" t="s">
        <v>21</v>
      </c>
    </row>
    <row r="20" spans="1:6" x14ac:dyDescent="0.3">
      <c r="A20" s="46">
        <v>42339</v>
      </c>
      <c r="B20" s="44" t="s">
        <v>18</v>
      </c>
      <c r="C20" s="44" t="s">
        <v>18</v>
      </c>
      <c r="D20" s="29" t="s">
        <v>18</v>
      </c>
      <c r="E20" s="45" t="s">
        <v>18</v>
      </c>
      <c r="F20" s="36">
        <f>D2</f>
        <v>5</v>
      </c>
    </row>
    <row r="21" spans="1:6" x14ac:dyDescent="0.3">
      <c r="A21" s="47">
        <v>42373</v>
      </c>
      <c r="B21" s="7">
        <v>1.44E-2</v>
      </c>
      <c r="C21" s="7">
        <v>-4.9699999999999994E-2</v>
      </c>
      <c r="D21" s="8">
        <f>SUMPRODUCT(B21:C21,$C$15:$D$15)</f>
        <v>-6.2107721979185355E-3</v>
      </c>
      <c r="E21" s="51">
        <f>($F$20*D21)</f>
        <v>-3.1053860989592678E-2</v>
      </c>
      <c r="F21" s="36">
        <f>F20+E21</f>
        <v>4.9689461390104075</v>
      </c>
    </row>
    <row r="22" spans="1:6" x14ac:dyDescent="0.3">
      <c r="A22" s="47">
        <v>42401</v>
      </c>
      <c r="B22" s="7">
        <v>6.7000000000000002E-3</v>
      </c>
      <c r="C22" s="7">
        <v>-1.4000000000000002E-3</v>
      </c>
      <c r="D22" s="8">
        <f t="shared" ref="D22:D27" si="2">SUMPRODUCT(B22:C22,$C$15:$D$15)</f>
        <v>4.0955186795673774E-3</v>
      </c>
      <c r="E22" s="51">
        <f>F21*D22</f>
        <v>2.0350411730081324E-2</v>
      </c>
      <c r="F22" s="36">
        <f>F21+E22</f>
        <v>4.9892965507404892</v>
      </c>
    </row>
    <row r="23" spans="1:6" x14ac:dyDescent="0.3">
      <c r="A23" s="47">
        <v>42430</v>
      </c>
      <c r="B23" s="7">
        <v>9.4999999999999998E-3</v>
      </c>
      <c r="C23" s="7">
        <v>6.7799999999999999E-2</v>
      </c>
      <c r="D23" s="8">
        <f t="shared" si="2"/>
        <v>2.8245835088232429E-2</v>
      </c>
      <c r="E23" s="51">
        <f t="shared" ref="E23:E27" si="3">F22*D23</f>
        <v>0.14092684757850274</v>
      </c>
      <c r="F23" s="36">
        <f t="shared" ref="F23:F27" si="4">F22+E23</f>
        <v>5.130223398318992</v>
      </c>
    </row>
    <row r="24" spans="1:6" x14ac:dyDescent="0.3">
      <c r="A24" s="47">
        <v>42461</v>
      </c>
      <c r="B24" s="7">
        <v>3.9000000000000003E-3</v>
      </c>
      <c r="C24" s="7">
        <v>3.9000000000000003E-3</v>
      </c>
      <c r="D24" s="8">
        <f t="shared" si="2"/>
        <v>3.9000000269708637E-3</v>
      </c>
      <c r="E24" s="51">
        <f t="shared" si="3"/>
        <v>2.0007871391810626E-2</v>
      </c>
      <c r="F24" s="36">
        <f t="shared" si="4"/>
        <v>5.1502312697108028</v>
      </c>
    </row>
    <row r="25" spans="1:6" x14ac:dyDescent="0.3">
      <c r="A25" s="47">
        <v>42492</v>
      </c>
      <c r="B25" s="7">
        <v>2.0000000000000001E-4</v>
      </c>
      <c r="C25" s="7">
        <v>1.7899999999999999E-2</v>
      </c>
      <c r="D25" s="8">
        <f t="shared" si="2"/>
        <v>5.891274099133632E-3</v>
      </c>
      <c r="E25" s="51">
        <f t="shared" si="3"/>
        <v>3.0341424083795372E-2</v>
      </c>
      <c r="F25" s="36">
        <f t="shared" si="4"/>
        <v>5.1805726937945984</v>
      </c>
    </row>
    <row r="26" spans="1:6" x14ac:dyDescent="0.3">
      <c r="A26" s="47">
        <v>42522</v>
      </c>
      <c r="B26" s="7">
        <v>1.9400000000000001E-2</v>
      </c>
      <c r="C26" s="7">
        <v>2.5999999999999999E-3</v>
      </c>
      <c r="D26" s="8">
        <f t="shared" si="2"/>
        <v>1.3998112854941932E-2</v>
      </c>
      <c r="E26" s="51">
        <f t="shared" si="3"/>
        <v>7.2518241220967325E-2</v>
      </c>
      <c r="F26" s="36">
        <f t="shared" si="4"/>
        <v>5.2530909350155657</v>
      </c>
    </row>
    <row r="27" spans="1:6" x14ac:dyDescent="0.3">
      <c r="A27" s="47">
        <v>42552</v>
      </c>
      <c r="B27" s="7">
        <v>6.5000000000000006E-3</v>
      </c>
      <c r="C27" s="7">
        <v>3.6799999999999999E-2</v>
      </c>
      <c r="D27" s="8">
        <f t="shared" si="2"/>
        <v>1.6242689602117569E-2</v>
      </c>
      <c r="E27" s="51">
        <f t="shared" si="3"/>
        <v>8.5324325509155391E-2</v>
      </c>
      <c r="F27" s="36">
        <f t="shared" si="4"/>
        <v>5.3384152605247213</v>
      </c>
    </row>
    <row r="30" spans="1:6" x14ac:dyDescent="0.3">
      <c r="D30" s="24"/>
      <c r="E30" s="28"/>
    </row>
    <row r="31" spans="1:6" x14ac:dyDescent="0.3">
      <c r="A31" s="27"/>
      <c r="B31" s="27"/>
      <c r="C31" s="27"/>
      <c r="D31" s="22"/>
      <c r="E31" s="29"/>
    </row>
    <row r="32" spans="1:6" x14ac:dyDescent="0.3">
      <c r="A32" s="26"/>
      <c r="B32" s="26"/>
      <c r="C32" s="26"/>
      <c r="D32" s="7"/>
      <c r="E32" s="7"/>
    </row>
    <row r="33" spans="1:5" x14ac:dyDescent="0.3">
      <c r="A33" s="26"/>
      <c r="B33" s="26"/>
      <c r="C33" s="26"/>
      <c r="D33" s="7"/>
      <c r="E33" s="7"/>
    </row>
    <row r="34" spans="1:5" x14ac:dyDescent="0.3">
      <c r="A34" s="26"/>
      <c r="B34" s="26"/>
      <c r="C34" s="26"/>
      <c r="D34" s="7"/>
      <c r="E34" s="7"/>
    </row>
    <row r="35" spans="1:5" x14ac:dyDescent="0.3">
      <c r="A35" s="26"/>
      <c r="B35" s="26"/>
      <c r="C35" s="26"/>
      <c r="D35" s="7"/>
      <c r="E35" s="7"/>
    </row>
    <row r="36" spans="1:5" x14ac:dyDescent="0.3">
      <c r="A36" s="26"/>
      <c r="B36" s="26"/>
      <c r="C36" s="26"/>
      <c r="D36" s="7"/>
      <c r="E36" s="7"/>
    </row>
    <row r="37" spans="1:5" x14ac:dyDescent="0.3">
      <c r="A37" s="26"/>
      <c r="B37" s="26"/>
      <c r="C37" s="26"/>
      <c r="D37" s="7"/>
      <c r="E37" s="7"/>
    </row>
    <row r="38" spans="1:5" x14ac:dyDescent="0.3">
      <c r="A38" s="26"/>
      <c r="B38" s="26"/>
      <c r="C38" s="26"/>
      <c r="D38" s="7"/>
      <c r="E38" s="7"/>
    </row>
  </sheetData>
  <mergeCells count="1"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 Diversification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Vivek JIN</cp:lastModifiedBy>
  <cp:lastPrinted>2024-10-09T15:43:20Z</cp:lastPrinted>
  <dcterms:created xsi:type="dcterms:W3CDTF">2016-09-14T20:59:42Z</dcterms:created>
  <dcterms:modified xsi:type="dcterms:W3CDTF">2024-10-10T08:12:15Z</dcterms:modified>
</cp:coreProperties>
</file>