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Aulakh\Desktop\Desktop_01\04 HOR\4. Cable Schedule\"/>
    </mc:Choice>
  </mc:AlternateContent>
  <xr:revisionPtr revIDLastSave="0" documentId="13_ncr:1_{0927AC25-A306-4EB6-A497-A526EF79373C}" xr6:coauthVersionLast="47" xr6:coauthVersionMax="47" xr10:uidLastSave="{00000000-0000-0000-0000-000000000000}"/>
  <bookViews>
    <workbookView xWindow="40942" yWindow="-98" windowWidth="28995" windowHeight="15796" firstSheet="1" activeTab="2" xr2:uid="{1E8C58B1-639E-4305-9246-0252884495C7}"/>
  </bookViews>
  <sheets>
    <sheet name="+veseq" sheetId="9" state="hidden" r:id="rId1"/>
    <sheet name="Cable Typ" sheetId="18" r:id="rId2"/>
    <sheet name="+ve Seq" sheetId="11" r:id="rId3"/>
    <sheet name="0seq" sheetId="10" state="hidden" r:id="rId4"/>
  </sheets>
  <definedNames>
    <definedName name="_xlnm._FilterDatabase" localSheetId="2" hidden="1">'+ve Seq'!$A$1:$Y$38</definedName>
    <definedName name="_xlnm._FilterDatabase" localSheetId="0" hidden="1">'+veseq'!$A$1:$Z$50</definedName>
    <definedName name="_xlnm._FilterDatabase" localSheetId="3" hidden="1">'0seq'!$A$1:$Z$50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11" l="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2" i="11"/>
  <c r="AB3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2" i="11"/>
  <c r="AG29" i="11"/>
  <c r="AG16" i="11"/>
  <c r="AF19" i="11"/>
  <c r="AH29" i="11"/>
  <c r="AG26" i="11"/>
  <c r="AH22" i="11"/>
  <c r="AH21" i="11"/>
  <c r="AG15" i="11"/>
  <c r="AG14" i="11"/>
  <c r="AG10" i="11"/>
  <c r="AG9" i="11"/>
  <c r="AG8" i="11"/>
  <c r="AH9" i="11"/>
  <c r="AH8" i="11"/>
  <c r="AF6" i="11"/>
  <c r="Y3" i="11" a="1"/>
  <c r="Y3" i="11" s="1"/>
  <c r="Y4" i="11" a="1"/>
  <c r="Y4" i="11" s="1"/>
  <c r="Y5" i="11" a="1"/>
  <c r="Y5" i="11" s="1"/>
  <c r="Y6" i="11" a="1"/>
  <c r="Y6" i="11" s="1"/>
  <c r="Y7" i="11" a="1"/>
  <c r="Y7" i="11" s="1"/>
  <c r="Y8" i="11" a="1"/>
  <c r="Y8" i="11" s="1"/>
  <c r="Y9" i="11" a="1"/>
  <c r="Y9" i="11" s="1"/>
  <c r="Y10" i="11" a="1"/>
  <c r="Y10" i="11" s="1"/>
  <c r="Y11" i="11" a="1"/>
  <c r="Y11" i="11" s="1"/>
  <c r="Y12" i="11" a="1"/>
  <c r="Y12" i="11" s="1"/>
  <c r="Y13" i="11" a="1"/>
  <c r="Y13" i="11" s="1"/>
  <c r="Y14" i="11" a="1"/>
  <c r="Y14" i="11" s="1"/>
  <c r="Y15" i="11" a="1"/>
  <c r="Y15" i="11" s="1"/>
  <c r="Y16" i="11" a="1"/>
  <c r="Y16" i="11"/>
  <c r="Y17" i="11" a="1"/>
  <c r="Y17" i="11" s="1"/>
  <c r="Y18" i="11" a="1"/>
  <c r="Y18" i="11" s="1"/>
  <c r="Y19" i="11" a="1"/>
  <c r="Y19" i="11" s="1"/>
  <c r="Y20" i="11" a="1"/>
  <c r="Y20" i="11" s="1"/>
  <c r="Y21" i="11" a="1"/>
  <c r="Y21" i="11" s="1"/>
  <c r="Y22" i="11" a="1"/>
  <c r="Y22" i="11"/>
  <c r="Y23" i="11" a="1"/>
  <c r="Y23" i="11" s="1"/>
  <c r="Y24" i="11" a="1"/>
  <c r="Y24" i="11" s="1"/>
  <c r="Y25" i="11" a="1"/>
  <c r="Y25" i="11" s="1"/>
  <c r="Y26" i="11" a="1"/>
  <c r="Y26" i="11" s="1"/>
  <c r="Y27" i="11" a="1"/>
  <c r="Y27" i="11" s="1"/>
  <c r="Y28" i="11" a="1"/>
  <c r="Y28" i="11" s="1"/>
  <c r="Y29" i="11" a="1"/>
  <c r="Y29" i="11" s="1"/>
  <c r="Y30" i="11" a="1"/>
  <c r="Y30" i="11" s="1"/>
  <c r="Y31" i="11" a="1"/>
  <c r="Y31" i="11" s="1"/>
  <c r="Y32" i="11" a="1"/>
  <c r="Y32" i="11" s="1"/>
  <c r="Y33" i="11" a="1"/>
  <c r="Y33" i="11" s="1"/>
  <c r="Y34" i="11" a="1"/>
  <c r="Y34" i="11" s="1"/>
  <c r="Y35" i="11" a="1"/>
  <c r="Y35" i="11" s="1"/>
  <c r="Y36" i="11" a="1"/>
  <c r="Y36" i="11" s="1"/>
  <c r="Y37" i="11" a="1"/>
  <c r="Y37" i="11" s="1"/>
  <c r="Y2" i="11" a="1"/>
  <c r="Y2" i="11" s="1"/>
  <c r="X3" i="11" a="1"/>
  <c r="X3" i="11" s="1"/>
  <c r="X4" i="11" a="1"/>
  <c r="X4" i="11" s="1"/>
  <c r="X5" i="11" a="1"/>
  <c r="X5" i="11" s="1"/>
  <c r="X6" i="11" a="1"/>
  <c r="X6" i="11"/>
  <c r="X7" i="11" a="1"/>
  <c r="X7" i="11" s="1"/>
  <c r="X8" i="11" a="1"/>
  <c r="X8" i="11" s="1"/>
  <c r="X9" i="11" a="1"/>
  <c r="X9" i="11" s="1"/>
  <c r="X10" i="11" a="1"/>
  <c r="X10" i="11"/>
  <c r="X11" i="11" a="1"/>
  <c r="X11" i="11" s="1"/>
  <c r="X12" i="11" a="1"/>
  <c r="X12" i="11" s="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 s="1"/>
  <c r="X20" i="11" a="1"/>
  <c r="X20" i="11" s="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/>
  <c r="X27" i="11" a="1"/>
  <c r="X27" i="11" s="1"/>
  <c r="X28" i="11" a="1"/>
  <c r="X28" i="11" s="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35" i="11" a="1"/>
  <c r="X35" i="11" s="1"/>
  <c r="X36" i="11" a="1"/>
  <c r="X36" i="11" s="1"/>
  <c r="X37" i="11" a="1"/>
  <c r="X37" i="11" s="1"/>
  <c r="X2" i="11" a="1"/>
  <c r="X2" i="11" s="1"/>
  <c r="P3" i="11" a="1"/>
  <c r="P3" i="11" s="1"/>
  <c r="Q3" i="11" s="1"/>
  <c r="P4" i="11" a="1"/>
  <c r="P4" i="11" s="1"/>
  <c r="Q4" i="11" s="1"/>
  <c r="P5" i="11" a="1"/>
  <c r="P5" i="11" s="1"/>
  <c r="Q5" i="11" s="1"/>
  <c r="P6" i="11" a="1"/>
  <c r="P6" i="11" s="1"/>
  <c r="Q6" i="11" s="1"/>
  <c r="P7" i="11" a="1"/>
  <c r="P7" i="11" s="1"/>
  <c r="Q7" i="11" s="1"/>
  <c r="P8" i="11" a="1"/>
  <c r="P8" i="11" s="1"/>
  <c r="Q8" i="11" s="1"/>
  <c r="P9" i="11" a="1"/>
  <c r="P9" i="11" s="1"/>
  <c r="Q9" i="11" s="1"/>
  <c r="P10" i="11" a="1"/>
  <c r="P10" i="11" s="1"/>
  <c r="Q10" i="11" s="1"/>
  <c r="P11" i="11" a="1"/>
  <c r="P11" i="11" s="1"/>
  <c r="Q11" i="11" s="1"/>
  <c r="P12" i="11" a="1"/>
  <c r="P12" i="11" s="1"/>
  <c r="Q12" i="11" s="1"/>
  <c r="P13" i="11" a="1"/>
  <c r="P13" i="11" s="1"/>
  <c r="Q13" i="11" s="1"/>
  <c r="P14" i="11" a="1"/>
  <c r="P14" i="11" s="1"/>
  <c r="Q14" i="11" s="1"/>
  <c r="W14" i="11" s="1"/>
  <c r="P15" i="11" a="1"/>
  <c r="P15" i="11" s="1"/>
  <c r="Q15" i="11" s="1"/>
  <c r="P16" i="11" a="1"/>
  <c r="P16" i="11" s="1"/>
  <c r="Q16" i="11" s="1"/>
  <c r="P17" i="11" a="1"/>
  <c r="P17" i="11" s="1"/>
  <c r="Q17" i="11" s="1"/>
  <c r="W17" i="11" s="1"/>
  <c r="P18" i="11" a="1"/>
  <c r="P18" i="11" s="1"/>
  <c r="Q18" i="11" s="1"/>
  <c r="W18" i="11" s="1"/>
  <c r="P19" i="11" a="1"/>
  <c r="P19" i="11" s="1"/>
  <c r="Q19" i="11" s="1"/>
  <c r="P20" i="11" a="1"/>
  <c r="P20" i="11" s="1"/>
  <c r="Q20" i="11" s="1"/>
  <c r="P21" i="11" a="1"/>
  <c r="P21" i="11" s="1"/>
  <c r="Q21" i="11" s="1"/>
  <c r="P22" i="11" a="1"/>
  <c r="P22" i="11" s="1"/>
  <c r="Q22" i="11" s="1"/>
  <c r="W22" i="11" s="1"/>
  <c r="P23" i="11" a="1"/>
  <c r="P23" i="11" s="1"/>
  <c r="Q23" i="11" s="1"/>
  <c r="P24" i="11" a="1"/>
  <c r="P24" i="11" s="1"/>
  <c r="Q24" i="11" s="1"/>
  <c r="P25" i="11" a="1"/>
  <c r="P25" i="11" s="1"/>
  <c r="Q25" i="11" s="1"/>
  <c r="P26" i="11" a="1"/>
  <c r="P26" i="11" s="1"/>
  <c r="Q26" i="11" s="1"/>
  <c r="W26" i="11" s="1"/>
  <c r="P27" i="11" a="1"/>
  <c r="P27" i="11" s="1"/>
  <c r="Q27" i="11" s="1"/>
  <c r="P28" i="11" a="1"/>
  <c r="P28" i="11" s="1"/>
  <c r="Q28" i="11" s="1"/>
  <c r="P29" i="11" a="1"/>
  <c r="P29" i="11" s="1"/>
  <c r="Q29" i="11" s="1"/>
  <c r="P30" i="11" a="1"/>
  <c r="P30" i="11" s="1"/>
  <c r="Q30" i="11" s="1"/>
  <c r="W30" i="11" s="1"/>
  <c r="P31" i="11" a="1"/>
  <c r="P31" i="11" s="1"/>
  <c r="Q31" i="11" s="1"/>
  <c r="P32" i="11" a="1"/>
  <c r="P32" i="11" s="1"/>
  <c r="Q32" i="11" s="1"/>
  <c r="P33" i="11" a="1"/>
  <c r="P33" i="11" s="1"/>
  <c r="Q33" i="11" s="1"/>
  <c r="W33" i="11" s="1"/>
  <c r="P34" i="11" a="1"/>
  <c r="P34" i="11" s="1"/>
  <c r="Q34" i="11" s="1"/>
  <c r="W34" i="11" s="1"/>
  <c r="P35" i="11" a="1"/>
  <c r="P35" i="11" s="1"/>
  <c r="Q35" i="11" s="1"/>
  <c r="P36" i="11" a="1"/>
  <c r="P36" i="11" s="1"/>
  <c r="Q36" i="11" s="1"/>
  <c r="P37" i="11" a="1"/>
  <c r="P37" i="11" s="1"/>
  <c r="Q37" i="11" s="1"/>
  <c r="O3" i="11" a="1"/>
  <c r="O3" i="11" s="1"/>
  <c r="O4" i="11" a="1"/>
  <c r="O4" i="11" s="1"/>
  <c r="O5" i="11" a="1"/>
  <c r="O5" i="11" s="1"/>
  <c r="O6" i="11" a="1"/>
  <c r="O6" i="11" s="1"/>
  <c r="O7" i="11" a="1"/>
  <c r="O7" i="11" s="1"/>
  <c r="O8" i="11" a="1"/>
  <c r="O8" i="11" s="1"/>
  <c r="O9" i="11" a="1"/>
  <c r="O9" i="11" s="1"/>
  <c r="O10" i="11" a="1"/>
  <c r="O10" i="11" s="1"/>
  <c r="O11" i="11" a="1"/>
  <c r="O11" i="11" s="1"/>
  <c r="O12" i="11" a="1"/>
  <c r="O12" i="11" s="1"/>
  <c r="O13" i="11" a="1"/>
  <c r="O13" i="11" s="1"/>
  <c r="O14" i="11" a="1"/>
  <c r="O14" i="11" s="1"/>
  <c r="O15" i="11" a="1"/>
  <c r="O15" i="11" s="1"/>
  <c r="O16" i="11" a="1"/>
  <c r="O16" i="11" s="1"/>
  <c r="O17" i="11" a="1"/>
  <c r="O17" i="11" s="1"/>
  <c r="O18" i="11" a="1"/>
  <c r="O18" i="11" s="1"/>
  <c r="O19" i="11" a="1"/>
  <c r="O19" i="11" s="1"/>
  <c r="O20" i="11" a="1"/>
  <c r="O20" i="11" s="1"/>
  <c r="O21" i="11" a="1"/>
  <c r="O21" i="11" s="1"/>
  <c r="O22" i="11" a="1"/>
  <c r="O22" i="11" s="1"/>
  <c r="O23" i="11" a="1"/>
  <c r="O23" i="11" s="1"/>
  <c r="O24" i="11" a="1"/>
  <c r="O24" i="11" s="1"/>
  <c r="O25" i="11" a="1"/>
  <c r="O25" i="11" s="1"/>
  <c r="O26" i="11" a="1"/>
  <c r="O26" i="11" s="1"/>
  <c r="O27" i="11" a="1"/>
  <c r="O27" i="11" s="1"/>
  <c r="O28" i="11" a="1"/>
  <c r="O28" i="11" s="1"/>
  <c r="O29" i="11" a="1"/>
  <c r="O29" i="11" s="1"/>
  <c r="O30" i="11" a="1"/>
  <c r="O30" i="11" s="1"/>
  <c r="O31" i="11" a="1"/>
  <c r="O31" i="11" s="1"/>
  <c r="O32" i="11" a="1"/>
  <c r="O32" i="11" s="1"/>
  <c r="O33" i="11" a="1"/>
  <c r="O33" i="11" s="1"/>
  <c r="O34" i="11" a="1"/>
  <c r="O34" i="11" s="1"/>
  <c r="O35" i="11" a="1"/>
  <c r="O35" i="11" s="1"/>
  <c r="O36" i="11" a="1"/>
  <c r="O36" i="11" s="1"/>
  <c r="O37" i="11" a="1"/>
  <c r="O37" i="11" s="1"/>
  <c r="N3" i="11" a="1"/>
  <c r="N3" i="11" s="1"/>
  <c r="N4" i="11" a="1"/>
  <c r="N4" i="11" s="1"/>
  <c r="N5" i="11" a="1"/>
  <c r="N5" i="11" s="1"/>
  <c r="N6" i="11" a="1"/>
  <c r="N6" i="11" s="1"/>
  <c r="N7" i="11" a="1"/>
  <c r="N7" i="11" s="1"/>
  <c r="N8" i="11" a="1"/>
  <c r="N8" i="11" s="1"/>
  <c r="N9" i="11" a="1"/>
  <c r="N9" i="11" s="1"/>
  <c r="N10" i="11" a="1"/>
  <c r="N10" i="11" s="1"/>
  <c r="N11" i="11" a="1"/>
  <c r="N11" i="11" s="1"/>
  <c r="N12" i="11" a="1"/>
  <c r="N12" i="11" s="1"/>
  <c r="N13" i="11" a="1"/>
  <c r="N13" i="11" s="1"/>
  <c r="N14" i="11" a="1"/>
  <c r="N14" i="11" s="1"/>
  <c r="N15" i="11" a="1"/>
  <c r="N15" i="11" s="1"/>
  <c r="N16" i="11" a="1"/>
  <c r="N16" i="11" s="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 s="1"/>
  <c r="N25" i="11" a="1"/>
  <c r="N25" i="11" s="1"/>
  <c r="N26" i="11" a="1"/>
  <c r="N26" i="11" s="1"/>
  <c r="N27" i="11" a="1"/>
  <c r="N27" i="11" s="1"/>
  <c r="N28" i="11" a="1"/>
  <c r="N28" i="11" s="1"/>
  <c r="N29" i="11" a="1"/>
  <c r="N29" i="11" s="1"/>
  <c r="N30" i="11" a="1"/>
  <c r="N30" i="11" s="1"/>
  <c r="N31" i="11" a="1"/>
  <c r="N31" i="11" s="1"/>
  <c r="N32" i="11" a="1"/>
  <c r="N32" i="11" s="1"/>
  <c r="N33" i="11" a="1"/>
  <c r="N33" i="11" s="1"/>
  <c r="N34" i="11" a="1"/>
  <c r="N34" i="11" s="1"/>
  <c r="N35" i="11" a="1"/>
  <c r="N35" i="11" s="1"/>
  <c r="N36" i="11" a="1"/>
  <c r="N36" i="11" s="1"/>
  <c r="N37" i="11" a="1"/>
  <c r="N37" i="11" s="1"/>
  <c r="M5" i="11" a="1"/>
  <c r="M5" i="11" s="1"/>
  <c r="M9" i="11" a="1"/>
  <c r="M9" i="11" s="1"/>
  <c r="M13" i="11" a="1"/>
  <c r="M13" i="11" s="1"/>
  <c r="M17" i="11" a="1"/>
  <c r="M17" i="11" s="1"/>
  <c r="M23" i="11" a="1"/>
  <c r="M23" i="11" s="1"/>
  <c r="M25" i="11" a="1"/>
  <c r="M25" i="11" s="1"/>
  <c r="M29" i="11" a="1"/>
  <c r="M29" i="11" s="1"/>
  <c r="M33" i="11" a="1"/>
  <c r="M33" i="11" s="1"/>
  <c r="M35" i="11" a="1"/>
  <c r="M35" i="11" s="1"/>
  <c r="M37" i="11" a="1"/>
  <c r="M37" i="11" s="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P2" i="11" a="1"/>
  <c r="P2" i="11" s="1"/>
  <c r="O2" i="11" a="1"/>
  <c r="O2" i="11" s="1"/>
  <c r="N2" i="11" a="1"/>
  <c r="N2" i="11" s="1"/>
  <c r="L2" i="11"/>
  <c r="H3" i="18"/>
  <c r="H4" i="18"/>
  <c r="H5" i="18"/>
  <c r="H6" i="18"/>
  <c r="H7" i="18"/>
  <c r="D7" i="18"/>
  <c r="D6" i="18"/>
  <c r="M19" i="11" s="1" a="1"/>
  <c r="M19" i="11" s="1"/>
  <c r="D5" i="18"/>
  <c r="M36" i="11" s="1" a="1"/>
  <c r="M36" i="11" s="1"/>
  <c r="D4" i="18"/>
  <c r="M11" i="11" s="1" a="1"/>
  <c r="M11" i="11" s="1"/>
  <c r="H2" i="18"/>
  <c r="D2" i="18"/>
  <c r="M10" i="11" s="1" a="1"/>
  <c r="M10" i="11" s="1"/>
  <c r="AB38" i="11" l="1"/>
  <c r="AG21" i="11" s="1"/>
  <c r="AG27" i="11" s="1"/>
  <c r="W10" i="11"/>
  <c r="W9" i="11"/>
  <c r="W8" i="11"/>
  <c r="M32" i="11" a="1"/>
  <c r="M32" i="11" s="1"/>
  <c r="M24" i="11" a="1"/>
  <c r="M24" i="11" s="1"/>
  <c r="M16" i="11" a="1"/>
  <c r="M16" i="11" s="1"/>
  <c r="M8" i="11" a="1"/>
  <c r="M8" i="11" s="1"/>
  <c r="W25" i="11"/>
  <c r="M31" i="11" a="1"/>
  <c r="M31" i="11" s="1"/>
  <c r="M15" i="11" a="1"/>
  <c r="M15" i="11" s="1"/>
  <c r="M7" i="11" a="1"/>
  <c r="M7" i="11" s="1"/>
  <c r="W32" i="11"/>
  <c r="W24" i="11"/>
  <c r="W16" i="11"/>
  <c r="M30" i="11" a="1"/>
  <c r="M30" i="11" s="1"/>
  <c r="M22" i="11" a="1"/>
  <c r="M22" i="11" s="1"/>
  <c r="M14" i="11" a="1"/>
  <c r="M14" i="11" s="1"/>
  <c r="M6" i="11" a="1"/>
  <c r="M6" i="11" s="1"/>
  <c r="W31" i="11"/>
  <c r="W23" i="11"/>
  <c r="W15" i="11"/>
  <c r="W7" i="11"/>
  <c r="W6" i="11"/>
  <c r="W5" i="11"/>
  <c r="M21" i="11" a="1"/>
  <c r="M21" i="11" s="1"/>
  <c r="M2" i="11" a="1"/>
  <c r="M2" i="11" s="1"/>
  <c r="M20" i="11" a="1"/>
  <c r="M20" i="11" s="1"/>
  <c r="M4" i="11" a="1"/>
  <c r="M4" i="11" s="1"/>
  <c r="W29" i="11"/>
  <c r="W21" i="11"/>
  <c r="M27" i="11" a="1"/>
  <c r="M27" i="11" s="1"/>
  <c r="M3" i="11" a="1"/>
  <c r="M3" i="11" s="1"/>
  <c r="W36" i="11"/>
  <c r="W28" i="11"/>
  <c r="W20" i="11"/>
  <c r="W12" i="11"/>
  <c r="W4" i="11"/>
  <c r="M28" i="11" a="1"/>
  <c r="M28" i="11" s="1"/>
  <c r="M12" i="11" a="1"/>
  <c r="M12" i="11" s="1"/>
  <c r="W37" i="11"/>
  <c r="W13" i="11"/>
  <c r="M34" i="11" a="1"/>
  <c r="M34" i="11" s="1"/>
  <c r="M26" i="11" a="1"/>
  <c r="M26" i="11" s="1"/>
  <c r="M18" i="11" a="1"/>
  <c r="M18" i="11" s="1"/>
  <c r="W35" i="11"/>
  <c r="W27" i="11"/>
  <c r="W19" i="11"/>
  <c r="W11" i="11"/>
  <c r="W3" i="11"/>
  <c r="AG13" i="11" l="1"/>
  <c r="G23" i="11"/>
  <c r="E23" i="11"/>
  <c r="H23" i="11" s="1"/>
  <c r="E13" i="11"/>
  <c r="G6" i="11"/>
  <c r="E6" i="11"/>
  <c r="H6" i="11" s="1"/>
  <c r="Z23" i="11" l="1"/>
  <c r="AA23" i="11"/>
  <c r="R6" i="11"/>
  <c r="U6" i="11" s="1"/>
  <c r="AA6" i="11"/>
  <c r="Z6" i="11"/>
  <c r="T23" i="11"/>
  <c r="S23" i="11"/>
  <c r="V23" i="11" s="1"/>
  <c r="R23" i="11"/>
  <c r="U23" i="11" s="1"/>
  <c r="T6" i="11"/>
  <c r="S6" i="11"/>
  <c r="V6" i="11" s="1"/>
  <c r="H8" i="11" l="1"/>
  <c r="G8" i="11"/>
  <c r="AA8" i="11" l="1"/>
  <c r="Z8" i="11"/>
  <c r="T8" i="11"/>
  <c r="R8" i="11"/>
  <c r="U8" i="11" s="1"/>
  <c r="S8" i="11"/>
  <c r="V8" i="11" s="1"/>
  <c r="F38" i="11"/>
  <c r="G37" i="11" l="1"/>
  <c r="E37" i="11"/>
  <c r="H37" i="11" s="1"/>
  <c r="G36" i="11"/>
  <c r="E36" i="11"/>
  <c r="H36" i="11" s="1"/>
  <c r="G35" i="11"/>
  <c r="E35" i="11"/>
  <c r="H35" i="11" s="1"/>
  <c r="G34" i="11"/>
  <c r="E34" i="11"/>
  <c r="H34" i="11" s="1"/>
  <c r="G33" i="11"/>
  <c r="E33" i="11"/>
  <c r="H33" i="11" s="1"/>
  <c r="G32" i="11"/>
  <c r="E32" i="11"/>
  <c r="H32" i="11" s="1"/>
  <c r="G31" i="11"/>
  <c r="E31" i="11"/>
  <c r="H31" i="11" s="1"/>
  <c r="G30" i="11"/>
  <c r="E30" i="11"/>
  <c r="H30" i="11" s="1"/>
  <c r="G29" i="11"/>
  <c r="E29" i="11"/>
  <c r="H29" i="11" s="1"/>
  <c r="G28" i="11"/>
  <c r="E28" i="11"/>
  <c r="H28" i="11" s="1"/>
  <c r="G27" i="11"/>
  <c r="E27" i="11"/>
  <c r="H27" i="11" s="1"/>
  <c r="G26" i="11"/>
  <c r="E26" i="11"/>
  <c r="H26" i="11" s="1"/>
  <c r="G25" i="11"/>
  <c r="E25" i="11"/>
  <c r="H25" i="11" s="1"/>
  <c r="G24" i="11"/>
  <c r="E24" i="11"/>
  <c r="H24" i="11" s="1"/>
  <c r="G22" i="11"/>
  <c r="E22" i="11"/>
  <c r="H22" i="11" s="1"/>
  <c r="G21" i="11"/>
  <c r="E21" i="11"/>
  <c r="H21" i="11" s="1"/>
  <c r="G20" i="11"/>
  <c r="E20" i="11"/>
  <c r="H20" i="11" s="1"/>
  <c r="G19" i="11"/>
  <c r="E19" i="11"/>
  <c r="H19" i="11" s="1"/>
  <c r="G18" i="11"/>
  <c r="E18" i="11"/>
  <c r="H18" i="11" s="1"/>
  <c r="G17" i="11"/>
  <c r="E17" i="11"/>
  <c r="H17" i="11" s="1"/>
  <c r="G16" i="11"/>
  <c r="E16" i="11"/>
  <c r="H16" i="11" s="1"/>
  <c r="G15" i="11"/>
  <c r="E15" i="11"/>
  <c r="H15" i="11" s="1"/>
  <c r="AH16" i="11"/>
  <c r="G14" i="11"/>
  <c r="E14" i="11"/>
  <c r="H14" i="11" s="1"/>
  <c r="G13" i="11"/>
  <c r="H13" i="11"/>
  <c r="G12" i="11"/>
  <c r="E12" i="11"/>
  <c r="H12" i="11" s="1"/>
  <c r="G11" i="11"/>
  <c r="E11" i="11"/>
  <c r="H11" i="11" s="1"/>
  <c r="G10" i="11"/>
  <c r="E10" i="11"/>
  <c r="H10" i="11" s="1"/>
  <c r="G9" i="11"/>
  <c r="E9" i="11"/>
  <c r="H9" i="11" s="1"/>
  <c r="G7" i="11"/>
  <c r="E7" i="11"/>
  <c r="H7" i="11" s="1"/>
  <c r="G5" i="11"/>
  <c r="E5" i="11"/>
  <c r="H5" i="11" s="1"/>
  <c r="G4" i="11"/>
  <c r="E4" i="11"/>
  <c r="H4" i="11" s="1"/>
  <c r="G3" i="11"/>
  <c r="E3" i="11"/>
  <c r="H3" i="11" s="1"/>
  <c r="Q2" i="11"/>
  <c r="W2" i="11" s="1"/>
  <c r="G2" i="11"/>
  <c r="E2" i="11"/>
  <c r="H2" i="11" s="1"/>
  <c r="Q49" i="10"/>
  <c r="M49" i="10"/>
  <c r="G49" i="10"/>
  <c r="H49" i="10"/>
  <c r="W49" i="10" s="1"/>
  <c r="Q48" i="10"/>
  <c r="M48" i="10"/>
  <c r="G48" i="10"/>
  <c r="R48" i="10" s="1"/>
  <c r="U48" i="10" s="1"/>
  <c r="E48" i="10"/>
  <c r="H48" i="10" s="1"/>
  <c r="V47" i="10"/>
  <c r="U47" i="10"/>
  <c r="Q47" i="10"/>
  <c r="M47" i="10"/>
  <c r="G47" i="10"/>
  <c r="E47" i="10"/>
  <c r="H47" i="10" s="1"/>
  <c r="Q46" i="10"/>
  <c r="M46" i="10"/>
  <c r="G46" i="10"/>
  <c r="S46" i="10" s="1"/>
  <c r="V46" i="10" s="1"/>
  <c r="E46" i="10"/>
  <c r="H46" i="10" s="1"/>
  <c r="Q45" i="10"/>
  <c r="M45" i="10"/>
  <c r="G45" i="10"/>
  <c r="R45" i="10" s="1"/>
  <c r="U45" i="10" s="1"/>
  <c r="E45" i="10"/>
  <c r="H45" i="10" s="1"/>
  <c r="Q44" i="10"/>
  <c r="M44" i="10"/>
  <c r="G44" i="10"/>
  <c r="E44" i="10"/>
  <c r="H44" i="10" s="1"/>
  <c r="Q43" i="10"/>
  <c r="M43" i="10"/>
  <c r="G43" i="10"/>
  <c r="S43" i="10" s="1"/>
  <c r="V43" i="10" s="1"/>
  <c r="E43" i="10"/>
  <c r="H43" i="10" s="1"/>
  <c r="Q42" i="10"/>
  <c r="M42" i="10"/>
  <c r="G42" i="10"/>
  <c r="S42" i="10" s="1"/>
  <c r="V42" i="10" s="1"/>
  <c r="E42" i="10"/>
  <c r="H42" i="10" s="1"/>
  <c r="Q41" i="10"/>
  <c r="M41" i="10"/>
  <c r="G41" i="10"/>
  <c r="R41" i="10" s="1"/>
  <c r="U41" i="10" s="1"/>
  <c r="E41" i="10"/>
  <c r="H41" i="10" s="1"/>
  <c r="Q40" i="10"/>
  <c r="M40" i="10"/>
  <c r="G40" i="10"/>
  <c r="E40" i="10"/>
  <c r="H40" i="10" s="1"/>
  <c r="Q39" i="10"/>
  <c r="M39" i="10"/>
  <c r="G39" i="10"/>
  <c r="S39" i="10" s="1"/>
  <c r="V39" i="10" s="1"/>
  <c r="E39" i="10"/>
  <c r="H39" i="10" s="1"/>
  <c r="V38" i="10"/>
  <c r="U38" i="10"/>
  <c r="Q38" i="10"/>
  <c r="M38" i="10"/>
  <c r="G38" i="10"/>
  <c r="E38" i="10"/>
  <c r="H38" i="10" s="1"/>
  <c r="V37" i="10"/>
  <c r="U37" i="10"/>
  <c r="Q37" i="10"/>
  <c r="M37" i="10"/>
  <c r="G37" i="10"/>
  <c r="E37" i="10"/>
  <c r="H37" i="10" s="1"/>
  <c r="Q36" i="10"/>
  <c r="M36" i="10"/>
  <c r="G36" i="10"/>
  <c r="S36" i="10" s="1"/>
  <c r="V36" i="10" s="1"/>
  <c r="E36" i="10"/>
  <c r="H36" i="10" s="1"/>
  <c r="Q35" i="10"/>
  <c r="M35" i="10"/>
  <c r="G35" i="10"/>
  <c r="S35" i="10" s="1"/>
  <c r="V35" i="10" s="1"/>
  <c r="E35" i="10"/>
  <c r="H35" i="10" s="1"/>
  <c r="Q34" i="10"/>
  <c r="M34" i="10"/>
  <c r="G34" i="10"/>
  <c r="S34" i="10" s="1"/>
  <c r="V34" i="10" s="1"/>
  <c r="E34" i="10"/>
  <c r="H34" i="10" s="1"/>
  <c r="Q33" i="10"/>
  <c r="M33" i="10"/>
  <c r="G33" i="10"/>
  <c r="S33" i="10" s="1"/>
  <c r="V33" i="10" s="1"/>
  <c r="E33" i="10"/>
  <c r="H33" i="10" s="1"/>
  <c r="Q32" i="10"/>
  <c r="M32" i="10"/>
  <c r="G32" i="10"/>
  <c r="S32" i="10" s="1"/>
  <c r="V32" i="10" s="1"/>
  <c r="E32" i="10"/>
  <c r="H32" i="10" s="1"/>
  <c r="Q31" i="10"/>
  <c r="M31" i="10"/>
  <c r="G31" i="10"/>
  <c r="E31" i="10"/>
  <c r="H31" i="10" s="1"/>
  <c r="Q30" i="10"/>
  <c r="M30" i="10"/>
  <c r="G30" i="10"/>
  <c r="S30" i="10" s="1"/>
  <c r="V30" i="10" s="1"/>
  <c r="E30" i="10"/>
  <c r="H30" i="10" s="1"/>
  <c r="Q29" i="10"/>
  <c r="M29" i="10"/>
  <c r="G29" i="10"/>
  <c r="E29" i="10"/>
  <c r="H29" i="10" s="1"/>
  <c r="Q28" i="10"/>
  <c r="M28" i="10"/>
  <c r="G28" i="10"/>
  <c r="S28" i="10" s="1"/>
  <c r="V28" i="10" s="1"/>
  <c r="E28" i="10"/>
  <c r="H28" i="10" s="1"/>
  <c r="Q27" i="10"/>
  <c r="M27" i="10"/>
  <c r="G27" i="10"/>
  <c r="S27" i="10" s="1"/>
  <c r="V27" i="10" s="1"/>
  <c r="E27" i="10"/>
  <c r="H27" i="10" s="1"/>
  <c r="Q26" i="10"/>
  <c r="M26" i="10"/>
  <c r="G26" i="10"/>
  <c r="R26" i="10" s="1"/>
  <c r="U26" i="10" s="1"/>
  <c r="E26" i="10"/>
  <c r="H26" i="10" s="1"/>
  <c r="Q25" i="10"/>
  <c r="M25" i="10"/>
  <c r="G25" i="10"/>
  <c r="S25" i="10" s="1"/>
  <c r="V25" i="10" s="1"/>
  <c r="E25" i="10"/>
  <c r="H25" i="10" s="1"/>
  <c r="Q24" i="10"/>
  <c r="M24" i="10"/>
  <c r="G24" i="10"/>
  <c r="S24" i="10" s="1"/>
  <c r="V24" i="10" s="1"/>
  <c r="E24" i="10"/>
  <c r="H24" i="10" s="1"/>
  <c r="Q23" i="10"/>
  <c r="M23" i="10"/>
  <c r="G23" i="10"/>
  <c r="S23" i="10" s="1"/>
  <c r="V23" i="10" s="1"/>
  <c r="E23" i="10"/>
  <c r="H23" i="10" s="1"/>
  <c r="Q22" i="10"/>
  <c r="M22" i="10"/>
  <c r="G22" i="10"/>
  <c r="R22" i="10" s="1"/>
  <c r="U22" i="10" s="1"/>
  <c r="E22" i="10"/>
  <c r="H22" i="10" s="1"/>
  <c r="Q21" i="10"/>
  <c r="M21" i="10"/>
  <c r="G21" i="10"/>
  <c r="E21" i="10"/>
  <c r="H21" i="10" s="1"/>
  <c r="Q20" i="10"/>
  <c r="M20" i="10"/>
  <c r="G20" i="10"/>
  <c r="E20" i="10"/>
  <c r="H20" i="10" s="1"/>
  <c r="Q19" i="10"/>
  <c r="M19" i="10"/>
  <c r="G19" i="10"/>
  <c r="E19" i="10"/>
  <c r="H19" i="10" s="1"/>
  <c r="Q18" i="10"/>
  <c r="M18" i="10"/>
  <c r="G18" i="10"/>
  <c r="E18" i="10"/>
  <c r="H18" i="10" s="1"/>
  <c r="Q17" i="10"/>
  <c r="M17" i="10"/>
  <c r="G17" i="10"/>
  <c r="R17" i="10" s="1"/>
  <c r="U17" i="10" s="1"/>
  <c r="E17" i="10"/>
  <c r="H17" i="10" s="1"/>
  <c r="Z16" i="10"/>
  <c r="Q16" i="10"/>
  <c r="M16" i="10"/>
  <c r="G16" i="10"/>
  <c r="E16" i="10"/>
  <c r="H16" i="10" s="1"/>
  <c r="Q15" i="10"/>
  <c r="M15" i="10"/>
  <c r="G15" i="10"/>
  <c r="S15" i="10" s="1"/>
  <c r="V15" i="10" s="1"/>
  <c r="E15" i="10"/>
  <c r="H15" i="10" s="1"/>
  <c r="Q14" i="10"/>
  <c r="M14" i="10"/>
  <c r="G14" i="10"/>
  <c r="E14" i="10"/>
  <c r="H14" i="10" s="1"/>
  <c r="Y13" i="10"/>
  <c r="Q13" i="10"/>
  <c r="M13" i="10"/>
  <c r="G13" i="10"/>
  <c r="E13" i="10"/>
  <c r="H13" i="10" s="1"/>
  <c r="Q12" i="10"/>
  <c r="M12" i="10"/>
  <c r="G12" i="10"/>
  <c r="S12" i="10" s="1"/>
  <c r="V12" i="10" s="1"/>
  <c r="E12" i="10"/>
  <c r="H12" i="10" s="1"/>
  <c r="Q11" i="10"/>
  <c r="M11" i="10"/>
  <c r="G11" i="10"/>
  <c r="S11" i="10" s="1"/>
  <c r="V11" i="10" s="1"/>
  <c r="E11" i="10"/>
  <c r="H11" i="10" s="1"/>
  <c r="Z10" i="10"/>
  <c r="Q10" i="10"/>
  <c r="M10" i="10"/>
  <c r="G10" i="10"/>
  <c r="E10" i="10"/>
  <c r="H10" i="10" s="1"/>
  <c r="Z9" i="10"/>
  <c r="Q9" i="10"/>
  <c r="M9" i="10"/>
  <c r="G9" i="10"/>
  <c r="E9" i="10"/>
  <c r="H9" i="10" s="1"/>
  <c r="Q8" i="10"/>
  <c r="M8" i="10"/>
  <c r="G8" i="10"/>
  <c r="E8" i="10"/>
  <c r="H8" i="10" s="1"/>
  <c r="Q7" i="10"/>
  <c r="M7" i="10"/>
  <c r="G7" i="10"/>
  <c r="E7" i="10"/>
  <c r="H7" i="10" s="1"/>
  <c r="Q6" i="10"/>
  <c r="M6" i="10"/>
  <c r="G6" i="10"/>
  <c r="E6" i="10"/>
  <c r="H6" i="10" s="1"/>
  <c r="Q5" i="10"/>
  <c r="M5" i="10"/>
  <c r="G5" i="10"/>
  <c r="E5" i="10"/>
  <c r="H5" i="10" s="1"/>
  <c r="Q4" i="10"/>
  <c r="M4" i="10"/>
  <c r="G4" i="10"/>
  <c r="E4" i="10"/>
  <c r="H4" i="10" s="1"/>
  <c r="Q3" i="10"/>
  <c r="M3" i="10"/>
  <c r="G3" i="10"/>
  <c r="S3" i="10" s="1"/>
  <c r="V3" i="10" s="1"/>
  <c r="E3" i="10"/>
  <c r="H3" i="10" s="1"/>
  <c r="Q2" i="10"/>
  <c r="M2" i="10"/>
  <c r="G2" i="10"/>
  <c r="R2" i="10" s="1"/>
  <c r="U2" i="10" s="1"/>
  <c r="E2" i="10"/>
  <c r="H2" i="10" s="1"/>
  <c r="Q37" i="9"/>
  <c r="M47" i="9"/>
  <c r="M38" i="9"/>
  <c r="M37" i="9"/>
  <c r="E49" i="9"/>
  <c r="H49" i="9" s="1"/>
  <c r="W49" i="9" s="1"/>
  <c r="E3" i="9"/>
  <c r="H3" i="9" s="1"/>
  <c r="E4" i="9"/>
  <c r="H4" i="9" s="1"/>
  <c r="E5" i="9"/>
  <c r="H5" i="9" s="1"/>
  <c r="E6" i="9"/>
  <c r="H6" i="9" s="1"/>
  <c r="E7" i="9"/>
  <c r="H7" i="9" s="1"/>
  <c r="E8" i="9"/>
  <c r="H8" i="9" s="1"/>
  <c r="E9" i="9"/>
  <c r="H9" i="9" s="1"/>
  <c r="E10" i="9"/>
  <c r="H10" i="9" s="1"/>
  <c r="E11" i="9"/>
  <c r="H11" i="9" s="1"/>
  <c r="E12" i="9"/>
  <c r="H12" i="9" s="1"/>
  <c r="E13" i="9"/>
  <c r="H13" i="9" s="1"/>
  <c r="E14" i="9"/>
  <c r="H14" i="9" s="1"/>
  <c r="E15" i="9"/>
  <c r="H15" i="9" s="1"/>
  <c r="E16" i="9"/>
  <c r="H16" i="9" s="1"/>
  <c r="E17" i="9"/>
  <c r="H17" i="9" s="1"/>
  <c r="E18" i="9"/>
  <c r="H18" i="9" s="1"/>
  <c r="E19" i="9"/>
  <c r="H19" i="9" s="1"/>
  <c r="E20" i="9"/>
  <c r="H20" i="9" s="1"/>
  <c r="E21" i="9"/>
  <c r="H21" i="9" s="1"/>
  <c r="E22" i="9"/>
  <c r="H22" i="9" s="1"/>
  <c r="E23" i="9"/>
  <c r="H23" i="9" s="1"/>
  <c r="E24" i="9"/>
  <c r="H24" i="9" s="1"/>
  <c r="E25" i="9"/>
  <c r="H25" i="9" s="1"/>
  <c r="E26" i="9"/>
  <c r="H26" i="9" s="1"/>
  <c r="E27" i="9"/>
  <c r="H27" i="9" s="1"/>
  <c r="E28" i="9"/>
  <c r="H28" i="9" s="1"/>
  <c r="E29" i="9"/>
  <c r="H29" i="9" s="1"/>
  <c r="E30" i="9"/>
  <c r="H30" i="9" s="1"/>
  <c r="E31" i="9"/>
  <c r="H31" i="9" s="1"/>
  <c r="E32" i="9"/>
  <c r="H32" i="9" s="1"/>
  <c r="E33" i="9"/>
  <c r="H33" i="9" s="1"/>
  <c r="E34" i="9"/>
  <c r="H34" i="9" s="1"/>
  <c r="E35" i="9"/>
  <c r="H35" i="9" s="1"/>
  <c r="E36" i="9"/>
  <c r="H36" i="9" s="1"/>
  <c r="E37" i="9"/>
  <c r="H37" i="9" s="1"/>
  <c r="E38" i="9"/>
  <c r="H38" i="9" s="1"/>
  <c r="E39" i="9"/>
  <c r="H39" i="9" s="1"/>
  <c r="E40" i="9"/>
  <c r="H40" i="9" s="1"/>
  <c r="E41" i="9"/>
  <c r="H41" i="9" s="1"/>
  <c r="E42" i="9"/>
  <c r="H42" i="9" s="1"/>
  <c r="E43" i="9"/>
  <c r="H43" i="9" s="1"/>
  <c r="E44" i="9"/>
  <c r="H44" i="9" s="1"/>
  <c r="E45" i="9"/>
  <c r="H45" i="9" s="1"/>
  <c r="E46" i="9"/>
  <c r="H46" i="9" s="1"/>
  <c r="E47" i="9"/>
  <c r="H47" i="9" s="1"/>
  <c r="E48" i="9"/>
  <c r="H48" i="9" s="1"/>
  <c r="M8" i="9"/>
  <c r="M4" i="9"/>
  <c r="M3" i="9"/>
  <c r="M5" i="9"/>
  <c r="M6" i="9"/>
  <c r="M7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9" i="9"/>
  <c r="M40" i="9"/>
  <c r="M41" i="9"/>
  <c r="M42" i="9"/>
  <c r="M43" i="9"/>
  <c r="M44" i="9"/>
  <c r="M45" i="9"/>
  <c r="M46" i="9"/>
  <c r="M48" i="9"/>
  <c r="M49" i="9"/>
  <c r="M2" i="9"/>
  <c r="Q49" i="9"/>
  <c r="G49" i="9"/>
  <c r="S49" i="9" s="1"/>
  <c r="Y20" i="9" s="1"/>
  <c r="G38" i="9"/>
  <c r="V38" i="9" s="1"/>
  <c r="Q38" i="9"/>
  <c r="G39" i="9"/>
  <c r="S39" i="9" s="1"/>
  <c r="V39" i="9" s="1"/>
  <c r="Q39" i="9"/>
  <c r="G40" i="9"/>
  <c r="R40" i="9" s="1"/>
  <c r="U40" i="9" s="1"/>
  <c r="Q40" i="9"/>
  <c r="G41" i="9"/>
  <c r="R41" i="9" s="1"/>
  <c r="U41" i="9" s="1"/>
  <c r="Q41" i="9"/>
  <c r="G42" i="9"/>
  <c r="R42" i="9" s="1"/>
  <c r="U42" i="9" s="1"/>
  <c r="Q42" i="9"/>
  <c r="G43" i="9"/>
  <c r="S43" i="9" s="1"/>
  <c r="V43" i="9" s="1"/>
  <c r="Q43" i="9"/>
  <c r="G44" i="9"/>
  <c r="Q44" i="9"/>
  <c r="G45" i="9"/>
  <c r="R45" i="9" s="1"/>
  <c r="U45" i="9" s="1"/>
  <c r="Q45" i="9"/>
  <c r="G46" i="9"/>
  <c r="R46" i="9" s="1"/>
  <c r="U46" i="9" s="1"/>
  <c r="Q46" i="9"/>
  <c r="G47" i="9"/>
  <c r="V47" i="9" s="1"/>
  <c r="Q47" i="9"/>
  <c r="G48" i="9"/>
  <c r="R48" i="9" s="1"/>
  <c r="U48" i="9" s="1"/>
  <c r="Q48" i="9"/>
  <c r="G31" i="9"/>
  <c r="R31" i="9" s="1"/>
  <c r="U31" i="9" s="1"/>
  <c r="Q31" i="9"/>
  <c r="G32" i="9"/>
  <c r="Q32" i="9"/>
  <c r="G33" i="9"/>
  <c r="R33" i="9" s="1"/>
  <c r="U33" i="9" s="1"/>
  <c r="Q33" i="9"/>
  <c r="G34" i="9"/>
  <c r="R34" i="9" s="1"/>
  <c r="U34" i="9" s="1"/>
  <c r="Q34" i="9"/>
  <c r="G35" i="9"/>
  <c r="R35" i="9" s="1"/>
  <c r="U35" i="9" s="1"/>
  <c r="Q35" i="9"/>
  <c r="G36" i="9"/>
  <c r="R36" i="9" s="1"/>
  <c r="U36" i="9" s="1"/>
  <c r="Q36" i="9"/>
  <c r="G37" i="9"/>
  <c r="V37" i="9" s="1"/>
  <c r="Q30" i="9"/>
  <c r="G30" i="9"/>
  <c r="Q29" i="9"/>
  <c r="G29" i="9"/>
  <c r="S29" i="9" s="1"/>
  <c r="V29" i="9" s="1"/>
  <c r="Q28" i="9"/>
  <c r="G28" i="9"/>
  <c r="R28" i="9" s="1"/>
  <c r="U28" i="9" s="1"/>
  <c r="Q27" i="9"/>
  <c r="G27" i="9"/>
  <c r="R27" i="9" s="1"/>
  <c r="U27" i="9" s="1"/>
  <c r="Q26" i="9"/>
  <c r="G26" i="9"/>
  <c r="R26" i="9" s="1"/>
  <c r="U26" i="9" s="1"/>
  <c r="Q25" i="9"/>
  <c r="G25" i="9"/>
  <c r="Q24" i="9"/>
  <c r="G24" i="9"/>
  <c r="R24" i="9" s="1"/>
  <c r="U24" i="9" s="1"/>
  <c r="Q23" i="9"/>
  <c r="G23" i="9"/>
  <c r="S23" i="9" s="1"/>
  <c r="V23" i="9" s="1"/>
  <c r="Q22" i="9"/>
  <c r="G22" i="9"/>
  <c r="R22" i="9" s="1"/>
  <c r="U22" i="9" s="1"/>
  <c r="Q21" i="9"/>
  <c r="G21" i="9"/>
  <c r="R21" i="9" s="1"/>
  <c r="U21" i="9" s="1"/>
  <c r="Q20" i="9"/>
  <c r="G20" i="9"/>
  <c r="Q19" i="9"/>
  <c r="G19" i="9"/>
  <c r="S19" i="9" s="1"/>
  <c r="V19" i="9" s="1"/>
  <c r="Q18" i="9"/>
  <c r="G18" i="9"/>
  <c r="Q17" i="9"/>
  <c r="G17" i="9"/>
  <c r="S17" i="9" s="1"/>
  <c r="V17" i="9" s="1"/>
  <c r="Z16" i="9"/>
  <c r="Q16" i="9"/>
  <c r="G16" i="9"/>
  <c r="S16" i="9" s="1"/>
  <c r="V16" i="9" s="1"/>
  <c r="Q15" i="9"/>
  <c r="G15" i="9"/>
  <c r="R15" i="9" s="1"/>
  <c r="U15" i="9" s="1"/>
  <c r="Q14" i="9"/>
  <c r="G14" i="9"/>
  <c r="Y13" i="9"/>
  <c r="Q13" i="9"/>
  <c r="G13" i="9"/>
  <c r="Q12" i="9"/>
  <c r="G12" i="9"/>
  <c r="S12" i="9" s="1"/>
  <c r="V12" i="9" s="1"/>
  <c r="Q11" i="9"/>
  <c r="G11" i="9"/>
  <c r="R11" i="9" s="1"/>
  <c r="U11" i="9" s="1"/>
  <c r="Z10" i="9"/>
  <c r="Q10" i="9"/>
  <c r="G10" i="9"/>
  <c r="Z9" i="9"/>
  <c r="Q9" i="9"/>
  <c r="G9" i="9"/>
  <c r="R9" i="9" s="1"/>
  <c r="U9" i="9" s="1"/>
  <c r="Q8" i="9"/>
  <c r="G8" i="9"/>
  <c r="Q7" i="9"/>
  <c r="G7" i="9"/>
  <c r="Q6" i="9"/>
  <c r="G6" i="9"/>
  <c r="S6" i="9" s="1"/>
  <c r="V6" i="9" s="1"/>
  <c r="Q5" i="9"/>
  <c r="G5" i="9"/>
  <c r="S5" i="9" s="1"/>
  <c r="V5" i="9" s="1"/>
  <c r="Q4" i="9"/>
  <c r="G4" i="9"/>
  <c r="R4" i="9" s="1"/>
  <c r="U4" i="9" s="1"/>
  <c r="Q3" i="9"/>
  <c r="G3" i="9"/>
  <c r="Q2" i="9"/>
  <c r="G2" i="9"/>
  <c r="E2" i="9"/>
  <c r="H2" i="9" s="1"/>
  <c r="S24" i="11" l="1"/>
  <c r="V24" i="11" s="1"/>
  <c r="Z24" i="11"/>
  <c r="AA24" i="11"/>
  <c r="Z13" i="11"/>
  <c r="AA13" i="11"/>
  <c r="R32" i="11"/>
  <c r="U32" i="11" s="1"/>
  <c r="Z32" i="11"/>
  <c r="AA32" i="11"/>
  <c r="AA4" i="11"/>
  <c r="Z4" i="11"/>
  <c r="S10" i="11"/>
  <c r="V10" i="11" s="1"/>
  <c r="AA10" i="11"/>
  <c r="Z10" i="11"/>
  <c r="S17" i="11"/>
  <c r="V17" i="11" s="1"/>
  <c r="AA17" i="11"/>
  <c r="Z17" i="11"/>
  <c r="R21" i="11"/>
  <c r="U21" i="11" s="1"/>
  <c r="Z21" i="11"/>
  <c r="AA21" i="11"/>
  <c r="S26" i="11"/>
  <c r="V26" i="11" s="1"/>
  <c r="AA26" i="11"/>
  <c r="Z26" i="11"/>
  <c r="S30" i="11"/>
  <c r="V30" i="11" s="1"/>
  <c r="AA30" i="11"/>
  <c r="Z30" i="11"/>
  <c r="S34" i="11"/>
  <c r="V34" i="11" s="1"/>
  <c r="AA34" i="11"/>
  <c r="Z34" i="11"/>
  <c r="Z2" i="11"/>
  <c r="AA2" i="11"/>
  <c r="AA11" i="11"/>
  <c r="Z11" i="11"/>
  <c r="AA7" i="11"/>
  <c r="Z7" i="11"/>
  <c r="S19" i="11"/>
  <c r="V19" i="11" s="1"/>
  <c r="Z19" i="11"/>
  <c r="AA19" i="11"/>
  <c r="AA14" i="11"/>
  <c r="Z14" i="11"/>
  <c r="Z15" i="11"/>
  <c r="AA15" i="11"/>
  <c r="S5" i="11"/>
  <c r="V5" i="11" s="1"/>
  <c r="Z5" i="11"/>
  <c r="AA5" i="11"/>
  <c r="S18" i="11"/>
  <c r="V18" i="11" s="1"/>
  <c r="AA18" i="11"/>
  <c r="Z18" i="11"/>
  <c r="Z22" i="11"/>
  <c r="AA22" i="11"/>
  <c r="R27" i="11"/>
  <c r="U27" i="11" s="1"/>
  <c r="AA27" i="11"/>
  <c r="Z27" i="11"/>
  <c r="R31" i="11"/>
  <c r="U31" i="11" s="1"/>
  <c r="AA31" i="11"/>
  <c r="Z31" i="11"/>
  <c r="S35" i="11"/>
  <c r="V35" i="11" s="1"/>
  <c r="Z35" i="11"/>
  <c r="AA35" i="11"/>
  <c r="R36" i="11"/>
  <c r="U36" i="11" s="1"/>
  <c r="Z36" i="11"/>
  <c r="AA36" i="11"/>
  <c r="AA12" i="11"/>
  <c r="Z12" i="11"/>
  <c r="AA28" i="11"/>
  <c r="Z28" i="11"/>
  <c r="S3" i="11"/>
  <c r="V3" i="11" s="1"/>
  <c r="Z3" i="11"/>
  <c r="AA3" i="11"/>
  <c r="S9" i="11"/>
  <c r="V9" i="11" s="1"/>
  <c r="Z9" i="11"/>
  <c r="AA9" i="11"/>
  <c r="Z16" i="11"/>
  <c r="AA16" i="11"/>
  <c r="S20" i="11"/>
  <c r="V20" i="11" s="1"/>
  <c r="AA20" i="11"/>
  <c r="Z20" i="11"/>
  <c r="R25" i="11"/>
  <c r="U25" i="11" s="1"/>
  <c r="Z25" i="11"/>
  <c r="AA25" i="11"/>
  <c r="Z29" i="11"/>
  <c r="AA29" i="11"/>
  <c r="Z33" i="11"/>
  <c r="AA33" i="11"/>
  <c r="Z37" i="11"/>
  <c r="AA37" i="11"/>
  <c r="G38" i="11"/>
  <c r="R46" i="10"/>
  <c r="U46" i="10" s="1"/>
  <c r="T2" i="9"/>
  <c r="T16" i="11"/>
  <c r="T13" i="11"/>
  <c r="T4" i="11"/>
  <c r="R19" i="11"/>
  <c r="U19" i="11" s="1"/>
  <c r="T2" i="11"/>
  <c r="T12" i="11"/>
  <c r="T28" i="11"/>
  <c r="T26" i="11"/>
  <c r="T15" i="11"/>
  <c r="R20" i="11"/>
  <c r="U20" i="11" s="1"/>
  <c r="T29" i="11"/>
  <c r="T31" i="11"/>
  <c r="S31" i="11"/>
  <c r="V31" i="11" s="1"/>
  <c r="R16" i="11"/>
  <c r="U16" i="11" s="1"/>
  <c r="R10" i="11"/>
  <c r="U10" i="11" s="1"/>
  <c r="S27" i="11"/>
  <c r="V27" i="11" s="1"/>
  <c r="T30" i="11"/>
  <c r="T5" i="11"/>
  <c r="T27" i="11"/>
  <c r="T14" i="11"/>
  <c r="S15" i="11"/>
  <c r="V15" i="11" s="1"/>
  <c r="T20" i="11"/>
  <c r="T22" i="11"/>
  <c r="T7" i="11"/>
  <c r="T9" i="11"/>
  <c r="T18" i="11"/>
  <c r="T24" i="11"/>
  <c r="R35" i="11"/>
  <c r="U35" i="11" s="1"/>
  <c r="T37" i="11"/>
  <c r="T17" i="11"/>
  <c r="T19" i="11"/>
  <c r="T25" i="11"/>
  <c r="T33" i="11"/>
  <c r="T34" i="11"/>
  <c r="T35" i="11"/>
  <c r="T10" i="11"/>
  <c r="T11" i="11"/>
  <c r="R12" i="11"/>
  <c r="U12" i="11" s="1"/>
  <c r="R13" i="11"/>
  <c r="U13" i="11" s="1"/>
  <c r="R15" i="11"/>
  <c r="U15" i="11" s="1"/>
  <c r="T21" i="11"/>
  <c r="S12" i="11"/>
  <c r="V12" i="11" s="1"/>
  <c r="R28" i="11"/>
  <c r="U28" i="11" s="1"/>
  <c r="T36" i="11"/>
  <c r="S16" i="11"/>
  <c r="V16" i="11" s="1"/>
  <c r="T32" i="11"/>
  <c r="T3" i="11"/>
  <c r="R3" i="11"/>
  <c r="U3" i="11" s="1"/>
  <c r="R2" i="11"/>
  <c r="U2" i="11" s="1"/>
  <c r="S2" i="11"/>
  <c r="V2" i="11" s="1"/>
  <c r="S13" i="11"/>
  <c r="V13" i="11" s="1"/>
  <c r="R14" i="11"/>
  <c r="U14" i="11" s="1"/>
  <c r="R17" i="11"/>
  <c r="U17" i="11" s="1"/>
  <c r="S21" i="11"/>
  <c r="V21" i="11" s="1"/>
  <c r="S25" i="11"/>
  <c r="V25" i="11" s="1"/>
  <c r="S28" i="11"/>
  <c r="V28" i="11" s="1"/>
  <c r="S32" i="11"/>
  <c r="V32" i="11" s="1"/>
  <c r="S36" i="11"/>
  <c r="V36" i="11" s="1"/>
  <c r="R4" i="11"/>
  <c r="U4" i="11" s="1"/>
  <c r="R7" i="11"/>
  <c r="U7" i="11" s="1"/>
  <c r="S4" i="11"/>
  <c r="V4" i="11" s="1"/>
  <c r="S7" i="11"/>
  <c r="V7" i="11" s="1"/>
  <c r="S14" i="11"/>
  <c r="V14" i="11" s="1"/>
  <c r="R22" i="11"/>
  <c r="U22" i="11" s="1"/>
  <c r="R29" i="11"/>
  <c r="U29" i="11" s="1"/>
  <c r="R33" i="11"/>
  <c r="U33" i="11" s="1"/>
  <c r="R37" i="11"/>
  <c r="U37" i="11" s="1"/>
  <c r="R5" i="11"/>
  <c r="U5" i="11" s="1"/>
  <c r="R9" i="11"/>
  <c r="U9" i="11" s="1"/>
  <c r="R11" i="11"/>
  <c r="U11" i="11" s="1"/>
  <c r="S22" i="11"/>
  <c r="V22" i="11" s="1"/>
  <c r="S29" i="11"/>
  <c r="V29" i="11" s="1"/>
  <c r="S33" i="11"/>
  <c r="V33" i="11" s="1"/>
  <c r="S37" i="11"/>
  <c r="V37" i="11" s="1"/>
  <c r="S11" i="11"/>
  <c r="V11" i="11" s="1"/>
  <c r="R18" i="11"/>
  <c r="U18" i="11" s="1"/>
  <c r="R24" i="11"/>
  <c r="U24" i="11" s="1"/>
  <c r="R26" i="11"/>
  <c r="U26" i="11" s="1"/>
  <c r="R30" i="11"/>
  <c r="U30" i="11" s="1"/>
  <c r="R34" i="11"/>
  <c r="U34" i="11" s="1"/>
  <c r="T34" i="10"/>
  <c r="T19" i="10"/>
  <c r="T5" i="10"/>
  <c r="T9" i="10"/>
  <c r="S41" i="10"/>
  <c r="V41" i="10" s="1"/>
  <c r="R9" i="10"/>
  <c r="U9" i="10" s="1"/>
  <c r="T4" i="10"/>
  <c r="T11" i="10"/>
  <c r="T43" i="10"/>
  <c r="T45" i="10"/>
  <c r="R35" i="10"/>
  <c r="U35" i="10" s="1"/>
  <c r="S45" i="10"/>
  <c r="V45" i="10" s="1"/>
  <c r="T24" i="10"/>
  <c r="S26" i="10"/>
  <c r="V26" i="10" s="1"/>
  <c r="R42" i="10"/>
  <c r="U42" i="10" s="1"/>
  <c r="T6" i="10"/>
  <c r="S9" i="10"/>
  <c r="V9" i="10" s="1"/>
  <c r="T12" i="10"/>
  <c r="T14" i="10"/>
  <c r="T16" i="10"/>
  <c r="S22" i="10"/>
  <c r="V22" i="10" s="1"/>
  <c r="T39" i="10"/>
  <c r="T20" i="10"/>
  <c r="T40" i="10"/>
  <c r="T49" i="10"/>
  <c r="Y21" i="10" s="1"/>
  <c r="T10" i="10"/>
  <c r="T3" i="10"/>
  <c r="T28" i="10"/>
  <c r="T30" i="10"/>
  <c r="T2" i="10"/>
  <c r="R11" i="10"/>
  <c r="U11" i="10" s="1"/>
  <c r="T17" i="10"/>
  <c r="T31" i="10"/>
  <c r="T35" i="10"/>
  <c r="T8" i="10"/>
  <c r="T13" i="10"/>
  <c r="T15" i="10"/>
  <c r="T23" i="10"/>
  <c r="T27" i="10"/>
  <c r="T32" i="10"/>
  <c r="T36" i="10"/>
  <c r="T42" i="10"/>
  <c r="T46" i="10"/>
  <c r="R6" i="10"/>
  <c r="U6" i="10" s="1"/>
  <c r="R20" i="10"/>
  <c r="U20" i="10" s="1"/>
  <c r="R5" i="10"/>
  <c r="U5" i="10" s="1"/>
  <c r="T33" i="10"/>
  <c r="R14" i="10"/>
  <c r="U14" i="10" s="1"/>
  <c r="S20" i="10"/>
  <c r="V20" i="10" s="1"/>
  <c r="S5" i="10"/>
  <c r="V5" i="10" s="1"/>
  <c r="T7" i="10"/>
  <c r="S14" i="10"/>
  <c r="V14" i="10" s="1"/>
  <c r="T22" i="10"/>
  <c r="T25" i="10"/>
  <c r="T26" i="10"/>
  <c r="T29" i="10"/>
  <c r="R30" i="10"/>
  <c r="U30" i="10" s="1"/>
  <c r="R31" i="10"/>
  <c r="U31" i="10" s="1"/>
  <c r="R34" i="10"/>
  <c r="U34" i="10" s="1"/>
  <c r="T41" i="10"/>
  <c r="T44" i="10"/>
  <c r="T18" i="10"/>
  <c r="T21" i="10"/>
  <c r="R23" i="10"/>
  <c r="U23" i="10" s="1"/>
  <c r="R27" i="10"/>
  <c r="U27" i="10" s="1"/>
  <c r="S31" i="10"/>
  <c r="V31" i="10" s="1"/>
  <c r="S2" i="10"/>
  <c r="V2" i="10" s="1"/>
  <c r="S6" i="10"/>
  <c r="V6" i="10" s="1"/>
  <c r="R12" i="10"/>
  <c r="U12" i="10" s="1"/>
  <c r="R15" i="10"/>
  <c r="U15" i="10" s="1"/>
  <c r="S17" i="10"/>
  <c r="V17" i="10" s="1"/>
  <c r="R24" i="10"/>
  <c r="U24" i="10" s="1"/>
  <c r="R28" i="10"/>
  <c r="U28" i="10" s="1"/>
  <c r="R32" i="10"/>
  <c r="U32" i="10" s="1"/>
  <c r="R36" i="10"/>
  <c r="U36" i="10" s="1"/>
  <c r="R39" i="10"/>
  <c r="U39" i="10" s="1"/>
  <c r="R43" i="10"/>
  <c r="U43" i="10" s="1"/>
  <c r="S48" i="10"/>
  <c r="V48" i="10" s="1"/>
  <c r="R3" i="10"/>
  <c r="U3" i="10" s="1"/>
  <c r="R7" i="10"/>
  <c r="U7" i="10" s="1"/>
  <c r="R10" i="10"/>
  <c r="U10" i="10" s="1"/>
  <c r="R18" i="10"/>
  <c r="U18" i="10" s="1"/>
  <c r="R21" i="10"/>
  <c r="U21" i="10" s="1"/>
  <c r="T48" i="10"/>
  <c r="R49" i="10"/>
  <c r="Y19" i="10" s="1"/>
  <c r="S7" i="10"/>
  <c r="V7" i="10" s="1"/>
  <c r="S10" i="10"/>
  <c r="V10" i="10" s="1"/>
  <c r="R13" i="10"/>
  <c r="U13" i="10" s="1"/>
  <c r="S18" i="10"/>
  <c r="V18" i="10" s="1"/>
  <c r="S21" i="10"/>
  <c r="V21" i="10" s="1"/>
  <c r="R25" i="10"/>
  <c r="U25" i="10" s="1"/>
  <c r="R29" i="10"/>
  <c r="U29" i="10" s="1"/>
  <c r="R33" i="10"/>
  <c r="U33" i="10" s="1"/>
  <c r="R40" i="10"/>
  <c r="U40" i="10" s="1"/>
  <c r="R44" i="10"/>
  <c r="U44" i="10" s="1"/>
  <c r="S49" i="10"/>
  <c r="Y20" i="10" s="1"/>
  <c r="S13" i="10"/>
  <c r="V13" i="10" s="1"/>
  <c r="R16" i="10"/>
  <c r="U16" i="10" s="1"/>
  <c r="R19" i="10"/>
  <c r="U19" i="10" s="1"/>
  <c r="S29" i="10"/>
  <c r="V29" i="10" s="1"/>
  <c r="S40" i="10"/>
  <c r="V40" i="10" s="1"/>
  <c r="S44" i="10"/>
  <c r="V44" i="10" s="1"/>
  <c r="R4" i="10"/>
  <c r="U4" i="10" s="1"/>
  <c r="R8" i="10"/>
  <c r="U8" i="10" s="1"/>
  <c r="S4" i="10"/>
  <c r="V4" i="10" s="1"/>
  <c r="S8" i="10"/>
  <c r="V8" i="10" s="1"/>
  <c r="S16" i="10"/>
  <c r="V16" i="10" s="1"/>
  <c r="S19" i="10"/>
  <c r="V19" i="10" s="1"/>
  <c r="S45" i="9"/>
  <c r="V45" i="9" s="1"/>
  <c r="T8" i="9"/>
  <c r="T41" i="9"/>
  <c r="T44" i="9"/>
  <c r="T3" i="9"/>
  <c r="T39" i="9"/>
  <c r="T30" i="9"/>
  <c r="T34" i="9"/>
  <c r="T13" i="9"/>
  <c r="T20" i="9"/>
  <c r="T7" i="9"/>
  <c r="T14" i="9"/>
  <c r="S27" i="9"/>
  <c r="V27" i="9" s="1"/>
  <c r="T25" i="9"/>
  <c r="S31" i="9"/>
  <c r="V31" i="9" s="1"/>
  <c r="S35" i="9"/>
  <c r="V35" i="9" s="1"/>
  <c r="T31" i="9"/>
  <c r="U38" i="9"/>
  <c r="T18" i="9"/>
  <c r="S44" i="9"/>
  <c r="V44" i="9" s="1"/>
  <c r="R6" i="9"/>
  <c r="U6" i="9" s="1"/>
  <c r="S33" i="9"/>
  <c r="V33" i="9" s="1"/>
  <c r="T32" i="9"/>
  <c r="R44" i="9"/>
  <c r="U44" i="9" s="1"/>
  <c r="R32" i="9"/>
  <c r="U32" i="9" s="1"/>
  <c r="T45" i="9"/>
  <c r="T49" i="9"/>
  <c r="Y21" i="9" s="1"/>
  <c r="R49" i="9"/>
  <c r="Y19" i="9" s="1"/>
  <c r="T43" i="9"/>
  <c r="S41" i="9"/>
  <c r="V41" i="9" s="1"/>
  <c r="T40" i="9"/>
  <c r="S40" i="9"/>
  <c r="V40" i="9" s="1"/>
  <c r="T48" i="9"/>
  <c r="U47" i="9"/>
  <c r="T46" i="9"/>
  <c r="R43" i="9"/>
  <c r="U43" i="9" s="1"/>
  <c r="T42" i="9"/>
  <c r="R39" i="9"/>
  <c r="U39" i="9" s="1"/>
  <c r="S48" i="9"/>
  <c r="V48" i="9" s="1"/>
  <c r="S46" i="9"/>
  <c r="V46" i="9" s="1"/>
  <c r="S42" i="9"/>
  <c r="V42" i="9" s="1"/>
  <c r="U37" i="9"/>
  <c r="S36" i="9"/>
  <c r="V36" i="9" s="1"/>
  <c r="T36" i="9"/>
  <c r="T33" i="9"/>
  <c r="S32" i="9"/>
  <c r="V32" i="9" s="1"/>
  <c r="T35" i="9"/>
  <c r="S34" i="9"/>
  <c r="V34" i="9" s="1"/>
  <c r="R5" i="9"/>
  <c r="U5" i="9" s="1"/>
  <c r="S18" i="9"/>
  <c r="V18" i="9" s="1"/>
  <c r="T26" i="9"/>
  <c r="T5" i="9"/>
  <c r="T10" i="9"/>
  <c r="S11" i="9"/>
  <c r="V11" i="9" s="1"/>
  <c r="R13" i="9"/>
  <c r="U13" i="9" s="1"/>
  <c r="S15" i="9"/>
  <c r="V15" i="9" s="1"/>
  <c r="T11" i="9"/>
  <c r="S13" i="9"/>
  <c r="V13" i="9" s="1"/>
  <c r="T15" i="9"/>
  <c r="S28" i="9"/>
  <c r="V28" i="9" s="1"/>
  <c r="T28" i="9"/>
  <c r="T27" i="9"/>
  <c r="S26" i="9"/>
  <c r="V26" i="9" s="1"/>
  <c r="T22" i="9"/>
  <c r="S22" i="9"/>
  <c r="V22" i="9" s="1"/>
  <c r="R18" i="9"/>
  <c r="U18" i="9" s="1"/>
  <c r="R23" i="9"/>
  <c r="U23" i="9" s="1"/>
  <c r="T23" i="9"/>
  <c r="S21" i="9"/>
  <c r="V21" i="9" s="1"/>
  <c r="T21" i="9"/>
  <c r="T19" i="9"/>
  <c r="R19" i="9"/>
  <c r="U19" i="9" s="1"/>
  <c r="T17" i="9"/>
  <c r="T16" i="9"/>
  <c r="R16" i="9"/>
  <c r="U16" i="9" s="1"/>
  <c r="R12" i="9"/>
  <c r="U12" i="9" s="1"/>
  <c r="T12" i="9"/>
  <c r="S10" i="9"/>
  <c r="V10" i="9" s="1"/>
  <c r="R10" i="9"/>
  <c r="U10" i="9" s="1"/>
  <c r="S9" i="9"/>
  <c r="V9" i="9" s="1"/>
  <c r="T9" i="9"/>
  <c r="T6" i="9"/>
  <c r="T4" i="9"/>
  <c r="S4" i="9"/>
  <c r="V4" i="9" s="1"/>
  <c r="R14" i="9"/>
  <c r="U14" i="9" s="1"/>
  <c r="R20" i="9"/>
  <c r="U20" i="9" s="1"/>
  <c r="T24" i="9"/>
  <c r="R25" i="9"/>
  <c r="U25" i="9" s="1"/>
  <c r="T29" i="9"/>
  <c r="R30" i="9"/>
  <c r="U30" i="9" s="1"/>
  <c r="R29" i="9"/>
  <c r="U29" i="9" s="1"/>
  <c r="R7" i="9"/>
  <c r="U7" i="9" s="1"/>
  <c r="S24" i="9"/>
  <c r="V24" i="9" s="1"/>
  <c r="R3" i="9"/>
  <c r="U3" i="9" s="1"/>
  <c r="R8" i="9"/>
  <c r="U8" i="9" s="1"/>
  <c r="S14" i="9"/>
  <c r="V14" i="9" s="1"/>
  <c r="R17" i="9"/>
  <c r="U17" i="9" s="1"/>
  <c r="S20" i="9"/>
  <c r="V20" i="9" s="1"/>
  <c r="S25" i="9"/>
  <c r="V25" i="9" s="1"/>
  <c r="S30" i="9"/>
  <c r="V30" i="9" s="1"/>
  <c r="R2" i="9"/>
  <c r="U2" i="9" s="1"/>
  <c r="S2" i="9"/>
  <c r="V2" i="9" s="1"/>
  <c r="S7" i="9"/>
  <c r="V7" i="9" s="1"/>
  <c r="S3" i="9"/>
  <c r="V3" i="9" s="1"/>
  <c r="S8" i="9"/>
  <c r="V8" i="9" s="1"/>
  <c r="AC38" i="11" l="1"/>
  <c r="AG22" i="11" s="1"/>
  <c r="T38" i="11"/>
  <c r="V38" i="11"/>
  <c r="U38" i="11"/>
  <c r="V50" i="9"/>
  <c r="Y10" i="9" s="1"/>
  <c r="Y15" i="9" s="1"/>
  <c r="U50" i="9"/>
  <c r="Y9" i="9" s="1"/>
  <c r="Y14" i="9" s="1"/>
  <c r="T50" i="9"/>
  <c r="Y16" i="9" s="1"/>
  <c r="T50" i="10"/>
  <c r="Y16" i="10" s="1"/>
  <c r="U50" i="10"/>
  <c r="Y9" i="10" s="1"/>
  <c r="Y14" i="10" s="1"/>
  <c r="V50" i="10"/>
  <c r="Y10" i="10" s="1"/>
  <c r="Y15" i="10" s="1"/>
  <c r="AG28" i="11" l="1"/>
  <c r="AG23" i="11"/>
  <c r="Y11" i="10"/>
  <c r="Y1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<sst xmlns="http://schemas.openxmlformats.org/spreadsheetml/2006/main" count="548" uniqueCount="68">
  <si>
    <t>Feeder</t>
  </si>
  <si>
    <t>Sub</t>
  </si>
  <si>
    <t>Rn^2</t>
  </si>
  <si>
    <t>Xn^2</t>
  </si>
  <si>
    <t>Req</t>
  </si>
  <si>
    <t>Total</t>
  </si>
  <si>
    <t>sub</t>
  </si>
  <si>
    <t>Fdr1</t>
  </si>
  <si>
    <t>Fdr2</t>
  </si>
  <si>
    <t>Fdr3</t>
  </si>
  <si>
    <t>Fdr4</t>
  </si>
  <si>
    <t>Fdr5</t>
  </si>
  <si>
    <t>From Inv</t>
  </si>
  <si>
    <t>To Inv</t>
  </si>
  <si>
    <t>Length (m)</t>
  </si>
  <si>
    <t>Number of 
inverters</t>
  </si>
  <si>
    <t>P
(MW)</t>
  </si>
  <si>
    <t>FLA
(A)</t>
  </si>
  <si>
    <t>Conductor
construction</t>
  </si>
  <si>
    <t>Cable size(mm^2)</t>
  </si>
  <si>
    <t>Type</t>
  </si>
  <si>
    <t>Length
(10% margin)(km)</t>
  </si>
  <si>
    <t>R
(ohms/km)</t>
  </si>
  <si>
    <t>X
(ohms/km)</t>
  </si>
  <si>
    <t>B
(ohms/km)</t>
  </si>
  <si>
    <t>R
(actual)</t>
  </si>
  <si>
    <t>X
(actual)</t>
  </si>
  <si>
    <t>B
(actual)</t>
  </si>
  <si>
    <t>3X1C</t>
  </si>
  <si>
    <t>AL</t>
  </si>
  <si>
    <t>Xeq</t>
  </si>
  <si>
    <t>Zeq</t>
  </si>
  <si>
    <t>Rpu</t>
  </si>
  <si>
    <t>zbase</t>
  </si>
  <si>
    <t>Xpu</t>
  </si>
  <si>
    <t>Imax(in grnd)(A)</t>
  </si>
  <si>
    <t>Imax(in grnd)(A) at 0.85DF</t>
  </si>
  <si>
    <t>C(uF/km)</t>
  </si>
  <si>
    <t>Bpu</t>
  </si>
  <si>
    <t>Fdr6</t>
  </si>
  <si>
    <t>Total Inv</t>
  </si>
  <si>
    <t>Tx</t>
  </si>
  <si>
    <t>outgoing 
feeder</t>
  </si>
  <si>
    <t>PP0</t>
  </si>
  <si>
    <t>PP2</t>
  </si>
  <si>
    <t>PP5</t>
  </si>
  <si>
    <t>33/3.00 AAAC/1120</t>
  </si>
  <si>
    <t>Nitrogen</t>
  </si>
  <si>
    <t>sub to Tx</t>
  </si>
  <si>
    <t>agg_cable</t>
  </si>
  <si>
    <t>R
ohms
(actual)</t>
  </si>
  <si>
    <t>X
ohms
(actual)</t>
  </si>
  <si>
    <t>Vbase</t>
  </si>
  <si>
    <t>Chk</t>
  </si>
  <si>
    <t>R+
(ohms/km)</t>
  </si>
  <si>
    <t>X+
(ohms/km)</t>
  </si>
  <si>
    <t>R+
ohms
(actual)</t>
  </si>
  <si>
    <t>X+
ohms
(actual)</t>
  </si>
  <si>
    <t>R+n^2</t>
  </si>
  <si>
    <t>X+n^2</t>
  </si>
  <si>
    <t>R0
(ohms/km)</t>
  </si>
  <si>
    <t>X0
(ohms/km)</t>
  </si>
  <si>
    <t>R0
ohms
(actual)</t>
  </si>
  <si>
    <t>X0
ohms
(actual)</t>
  </si>
  <si>
    <t>R0n^2</t>
  </si>
  <si>
    <t>X0n^2</t>
  </si>
  <si>
    <t>Total(pos seq)</t>
  </si>
  <si>
    <t>Total(zero 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</si>
</sst>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6" borderId="3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3" borderId="0" xfId="1"/>
    <xf numFmtId="0" fontId="3" fillId="0" borderId="1" xfId="2"/>
    <xf numFmtId="0" fontId="6" fillId="6" borderId="3" xfId="5"/>
    <xf numFmtId="0" fontId="4" fillId="4" borderId="2" xfId="3"/>
    <xf numFmtId="0" fontId="0" fillId="0" borderId="3" xfId="0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3" fillId="0" borderId="1" xfId="2" applyAlignment="1">
      <alignment wrapText="1"/>
    </xf>
    <xf numFmtId="0" fontId="5" fillId="5" borderId="2" xfId="4"/>
    <xf numFmtId="0" fontId="0" fillId="11" borderId="3" xfId="0" applyFill="1" applyBorder="1"/>
    <xf numFmtId="0" fontId="3" fillId="0" borderId="1" xfId="2" applyFill="1" applyBorder="1" applyAlignment="1">
      <alignment wrapText="1"/>
    </xf>
    <xf numFmtId="0" fontId="7" fillId="0" borderId="0" xfId="0" applyFont="1"/>
  </cellXfs>
  <cellStyles count="6">
    <cellStyle name="Calculation" xfId="4" builtinId="22"/>
    <cellStyle name="Heading 2" xfId="2" builtinId="17"/>
    <cellStyle name="Input" xfId="3" builtinId="20"/>
    <cellStyle name="Neutral" xfId="1" builtinId="28"/>
    <cellStyle name="Normal" xfId="0" builtinId="0"/>
    <cellStyle name="Parameters" xfId="5" xr:uid="{D55D8310-C4FF-4F46-8335-7AFCBFCB8BA6}"/>
  </cellStyles>
  <dxfs count="1"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colors>
    <mruColors>
      <color rgb="FFFF33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542925</xdr:colOff>
      <xdr:row>0</xdr:row>
      <xdr:rowOff>495300</xdr:rowOff>
    </xdr:from>
    <xdr:to>
      <xdr:col>26</xdr:col>
      <xdr:colOff>548965</xdr:colOff>
      <xdr:row>5</xdr:row>
      <xdr:rowOff>30175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20DDD-EDEE-4094-87BF-4EDDE2503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54150" y="495300"/>
          <a:ext cx="3749365" cy="877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423863</xdr:colOff>
      <xdr:row>0</xdr:row>
      <xdr:rowOff>0</xdr:rowOff>
    </xdr:from>
    <xdr:to>
      <xdr:col>36</xdr:col>
      <xdr:colOff>506103</xdr:colOff>
      <xdr:row>3</xdr:row>
      <xdr:rowOff>92087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2ED516-C71B-4395-9CDD-BB2999D9D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21676" y="0"/>
          <a:ext cx="3968440" cy="868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542925</xdr:colOff>
      <xdr:row>0</xdr:row>
      <xdr:rowOff>495300</xdr:rowOff>
    </xdr:from>
    <xdr:to>
      <xdr:col>26</xdr:col>
      <xdr:colOff>548965</xdr:colOff>
      <xdr:row>51</xdr:row>
      <xdr:rowOff>115900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A3349-4ED6-428C-BF0D-9CBC0D644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54150" y="495300"/>
          <a:ext cx="3749365" cy="877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D13EDC-776B-42F1-89B2-7035A7666A2C}" name="CableTyp" displayName="CableTyp" ref="A1:J7" totalsRowShown="0" headerRowBorderDxfId="0" headerRowCellStyle="Heading 2">
  <autoFilter ref="A1:J7" xr:uid="{E1D13EDC-776B-42F1-89B2-7035A7666A2C}"/>
  <tableColumns count="10">
    <tableColumn id="2" xr3:uid="{245CF67D-38CB-4694-877B-295D93D03CDA}" name="Cable size(mm^2)"/>
    <tableColumn id="9" xr3:uid="{8EAC0F55-0F06-44CD-95D5-9377BC680618}" name="Type"/>
    <tableColumn id="3" xr3:uid="{4CFD13D7-7AFA-4866-B5DD-7048A7A3B0D2}" name="Imax(in grnd)(A)"/>
    <tableColumn id="4" xr3:uid="{D16EF7FD-9A29-4F38-89BF-B5D6565674C6}" name="Imax(in grnd)(A) at 0.85DF">
      <calculatedColumnFormula>0.85*C2</calculatedColumnFormula>
    </tableColumn>
    <tableColumn id="5" xr3:uid="{305A4D7E-D42E-418C-BD57-8AA3BBBBB99F}" name="R_x000a_(ohms/km)"/>
    <tableColumn id="6" xr3:uid="{B7230BCC-A86E-45C2-89DB-7DDEF94E42D7}" name="X_x000a_(ohms/km)"/>
    <tableColumn id="7" xr3:uid="{8A1D8965-42B7-46E8-8C3C-62DF9F3FA056}" name="C(uF/km)"/>
    <tableColumn id="8" xr3:uid="{0FB8FE8E-3431-4F48-9945-D0D859FB5FFE}" name="B_x000a_(ohms/km)">
      <calculatedColumnFormula>2*PI()*50*G2*10^-6</calculatedColumnFormula>
    </tableColumn>
    <tableColumn id="10" xr3:uid="{AEC9F621-9DC4-428D-A86B-EADE5147FBA4}" name="R0_x000a_(ohms/km)"/>
    <tableColumn id="11" xr3:uid="{BDF316AC-F30D-427A-881E-5F31199A87A9}" name="X0_x000a_(ohms/km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96CC-7C7A-4E43-ADB3-ECA52027292C}">
  <dimension ref="A1:Z50"/>
  <sheetViews>
    <sheetView topLeftCell="D1" workbookViewId="0">
      <selection activeCell="D1" sqref="D1"/>
    </sheetView>
  </sheetViews>
  <sheetFormatPr defaultRowHeight="14.25" x14ac:dyDescent="0.45"/>
  <cols>
    <col min="7" max="7" width="12.73046875" customWidth="1"/>
    <col min="9" max="9" width="11.59765625" hidden="1" customWidth="1"/>
    <col min="10" max="10" width="11.1328125" customWidth="1"/>
    <col min="14" max="14" width="10.1328125" customWidth="1"/>
    <col min="15" max="16" width="10.265625" customWidth="1"/>
    <col min="17" max="17" width="10" customWidth="1"/>
    <col min="20" max="20" width="11.59765625" bestFit="1" customWidth="1"/>
    <col min="25" max="25" width="16" customWidth="1"/>
    <col min="26" max="26" width="21.86328125" bestFit="1" customWidth="1"/>
  </cols>
  <sheetData>
    <row r="1" spans="1:26" ht="45.75" customHeight="1" x14ac:dyDescent="0.45">
      <c r="A1" t="s">
        <v>0</v>
      </c>
      <c r="B1" t="s">
        <v>12</v>
      </c>
      <c r="C1" t="s">
        <v>13</v>
      </c>
      <c r="D1" s="1" t="s">
        <v>15</v>
      </c>
      <c r="E1" s="1" t="s">
        <v>16</v>
      </c>
      <c r="F1" t="s">
        <v>14</v>
      </c>
      <c r="G1" s="1" t="s">
        <v>21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35</v>
      </c>
      <c r="M1" s="1" t="s">
        <v>36</v>
      </c>
      <c r="N1" s="1" t="s">
        <v>22</v>
      </c>
      <c r="O1" s="1" t="s">
        <v>23</v>
      </c>
      <c r="P1" s="1" t="s">
        <v>37</v>
      </c>
      <c r="Q1" s="1" t="s">
        <v>24</v>
      </c>
      <c r="R1" s="1" t="s">
        <v>50</v>
      </c>
      <c r="S1" s="1" t="s">
        <v>51</v>
      </c>
      <c r="T1" s="1" t="s">
        <v>27</v>
      </c>
      <c r="U1" s="1" t="s">
        <v>2</v>
      </c>
      <c r="V1" s="1" t="s">
        <v>3</v>
      </c>
    </row>
    <row r="2" spans="1:26" x14ac:dyDescent="0.45">
      <c r="A2" t="s">
        <v>7</v>
      </c>
      <c r="B2">
        <v>1</v>
      </c>
      <c r="C2">
        <v>2</v>
      </c>
      <c r="D2">
        <v>1</v>
      </c>
      <c r="E2">
        <f>D2*4.2</f>
        <v>4.2</v>
      </c>
      <c r="F2">
        <v>280</v>
      </c>
      <c r="G2">
        <f>(F2+(0.1*F2))/1000</f>
        <v>0.308</v>
      </c>
      <c r="H2">
        <f>(E2/(SQRT(3)*33))*1000</f>
        <v>73.480943351406921</v>
      </c>
      <c r="I2" t="s">
        <v>28</v>
      </c>
      <c r="J2">
        <v>185</v>
      </c>
      <c r="K2" t="s">
        <v>29</v>
      </c>
      <c r="L2">
        <v>330</v>
      </c>
      <c r="M2">
        <f>0.85*L2</f>
        <v>280.5</v>
      </c>
      <c r="N2">
        <v>0.21099999999999999</v>
      </c>
      <c r="O2">
        <v>0.14499999999999999</v>
      </c>
      <c r="P2">
        <v>0.20200000000000001</v>
      </c>
      <c r="Q2">
        <f>2*PI()*50*P2*10^-6</f>
        <v>6.3460171602513821E-5</v>
      </c>
      <c r="R2">
        <f>N2*G2</f>
        <v>6.498799999999999E-2</v>
      </c>
      <c r="S2">
        <f>O2*G2</f>
        <v>4.4659999999999998E-2</v>
      </c>
      <c r="T2">
        <f>G2*Q2</f>
        <v>1.9545732853574257E-5</v>
      </c>
      <c r="U2">
        <f>R2*D2^2</f>
        <v>6.498799999999999E-2</v>
      </c>
      <c r="V2">
        <f>S2*D2^2</f>
        <v>4.4659999999999998E-2</v>
      </c>
    </row>
    <row r="3" spans="1:26" x14ac:dyDescent="0.45">
      <c r="A3" t="s">
        <v>7</v>
      </c>
      <c r="B3">
        <v>2</v>
      </c>
      <c r="C3">
        <v>3</v>
      </c>
      <c r="D3">
        <v>2</v>
      </c>
      <c r="E3">
        <f t="shared" ref="E3:E49" si="0">D3*4.2</f>
        <v>8.4</v>
      </c>
      <c r="F3">
        <v>450</v>
      </c>
      <c r="G3">
        <f t="shared" ref="G3:G37" si="1">(F3+(0.1*F3))/1000</f>
        <v>0.495</v>
      </c>
      <c r="H3">
        <f t="shared" ref="H3:H37" si="2">(E3/(SQRT(3)*33))*1000</f>
        <v>146.96188670281384</v>
      </c>
      <c r="I3" t="s">
        <v>28</v>
      </c>
      <c r="J3">
        <v>185</v>
      </c>
      <c r="K3" t="s">
        <v>29</v>
      </c>
      <c r="L3">
        <v>330</v>
      </c>
      <c r="M3">
        <f t="shared" ref="M3:M49" si="3">0.85*L3</f>
        <v>280.5</v>
      </c>
      <c r="N3">
        <v>0.21099999999999999</v>
      </c>
      <c r="O3">
        <v>0.14499999999999999</v>
      </c>
      <c r="P3">
        <v>0.20200000000000001</v>
      </c>
      <c r="Q3">
        <f>2*PI()*50*P3*10^-6</f>
        <v>6.3460171602513821E-5</v>
      </c>
      <c r="R3">
        <f>N3*G3</f>
        <v>0.104445</v>
      </c>
      <c r="S3">
        <f>O3*G3</f>
        <v>7.1774999999999992E-2</v>
      </c>
      <c r="T3">
        <f>G3*Q3</f>
        <v>3.1412784943244338E-5</v>
      </c>
      <c r="U3">
        <f>R3*D3^2</f>
        <v>0.41777999999999998</v>
      </c>
      <c r="V3">
        <f>S3*D3^2</f>
        <v>0.28709999999999997</v>
      </c>
    </row>
    <row r="4" spans="1:26" x14ac:dyDescent="0.45">
      <c r="A4" t="s">
        <v>7</v>
      </c>
      <c r="B4">
        <v>3</v>
      </c>
      <c r="C4">
        <v>4</v>
      </c>
      <c r="D4">
        <v>3</v>
      </c>
      <c r="E4">
        <f t="shared" si="0"/>
        <v>12.600000000000001</v>
      </c>
      <c r="F4">
        <v>375</v>
      </c>
      <c r="G4">
        <f t="shared" si="1"/>
        <v>0.41249999999999998</v>
      </c>
      <c r="H4">
        <f t="shared" si="2"/>
        <v>220.44283005422079</v>
      </c>
      <c r="I4" t="s">
        <v>28</v>
      </c>
      <c r="J4">
        <v>185</v>
      </c>
      <c r="K4" t="s">
        <v>29</v>
      </c>
      <c r="L4">
        <v>330</v>
      </c>
      <c r="M4">
        <f t="shared" si="3"/>
        <v>280.5</v>
      </c>
      <c r="N4">
        <v>0.21099999999999999</v>
      </c>
      <c r="O4">
        <v>0.14499999999999999</v>
      </c>
      <c r="P4">
        <v>0.20200000000000001</v>
      </c>
      <c r="Q4">
        <f t="shared" ref="Q4:Q37" si="4">2*PI()*50*P4*10^-6</f>
        <v>6.3460171602513821E-5</v>
      </c>
      <c r="R4">
        <f t="shared" ref="R4:R36" si="5">N4*G4</f>
        <v>8.703749999999999E-2</v>
      </c>
      <c r="S4">
        <f t="shared" ref="S4:S36" si="6">O4*G4</f>
        <v>5.9812499999999991E-2</v>
      </c>
      <c r="T4">
        <f t="shared" ref="T4:T36" si="7">G4*Q4</f>
        <v>2.6177320786036948E-5</v>
      </c>
      <c r="U4">
        <f t="shared" ref="U4:U37" si="8">R4*D4^2</f>
        <v>0.78333749999999991</v>
      </c>
      <c r="V4">
        <f t="shared" ref="V4:V37" si="9">S4*D4^2</f>
        <v>0.53831249999999997</v>
      </c>
    </row>
    <row r="5" spans="1:26" x14ac:dyDescent="0.45">
      <c r="A5" t="s">
        <v>7</v>
      </c>
      <c r="B5">
        <v>4</v>
      </c>
      <c r="C5">
        <v>5</v>
      </c>
      <c r="D5">
        <v>4</v>
      </c>
      <c r="E5">
        <f t="shared" si="0"/>
        <v>16.8</v>
      </c>
      <c r="F5">
        <v>299</v>
      </c>
      <c r="G5">
        <f t="shared" si="1"/>
        <v>0.32889999999999997</v>
      </c>
      <c r="H5">
        <f t="shared" si="2"/>
        <v>293.92377340562768</v>
      </c>
      <c r="I5" t="s">
        <v>28</v>
      </c>
      <c r="J5">
        <v>300</v>
      </c>
      <c r="K5" t="s">
        <v>29</v>
      </c>
      <c r="L5">
        <v>421</v>
      </c>
      <c r="M5">
        <f t="shared" si="3"/>
        <v>357.84999999999997</v>
      </c>
      <c r="N5">
        <v>0.129</v>
      </c>
      <c r="O5">
        <v>0.13600000000000001</v>
      </c>
      <c r="P5">
        <v>0.24199999999999999</v>
      </c>
      <c r="Q5">
        <f t="shared" si="4"/>
        <v>7.6026542216872997E-5</v>
      </c>
      <c r="R5">
        <f t="shared" si="5"/>
        <v>4.2428099999999996E-2</v>
      </c>
      <c r="S5">
        <f t="shared" si="6"/>
        <v>4.4730399999999997E-2</v>
      </c>
      <c r="T5">
        <f t="shared" si="7"/>
        <v>2.5005129735129525E-5</v>
      </c>
      <c r="U5">
        <f t="shared" si="8"/>
        <v>0.67884959999999994</v>
      </c>
      <c r="V5">
        <f t="shared" si="9"/>
        <v>0.71568639999999994</v>
      </c>
    </row>
    <row r="6" spans="1:26" x14ac:dyDescent="0.45">
      <c r="A6" t="s">
        <v>7</v>
      </c>
      <c r="B6">
        <v>5</v>
      </c>
      <c r="C6">
        <v>6</v>
      </c>
      <c r="D6">
        <v>5</v>
      </c>
      <c r="E6">
        <f t="shared" si="0"/>
        <v>21</v>
      </c>
      <c r="F6">
        <v>835</v>
      </c>
      <c r="G6">
        <f t="shared" si="1"/>
        <v>0.91849999999999998</v>
      </c>
      <c r="H6">
        <f t="shared" si="2"/>
        <v>367.40471675703463</v>
      </c>
      <c r="I6" t="s">
        <v>28</v>
      </c>
      <c r="J6">
        <v>400</v>
      </c>
      <c r="K6" t="s">
        <v>29</v>
      </c>
      <c r="L6">
        <v>475</v>
      </c>
      <c r="M6">
        <f t="shared" si="3"/>
        <v>403.75</v>
      </c>
      <c r="N6">
        <v>0.10100000000000001</v>
      </c>
      <c r="O6">
        <v>0.13100000000000001</v>
      </c>
      <c r="P6">
        <v>0.26700000000000002</v>
      </c>
      <c r="Q6">
        <f>2*PI()*50*P6*10^-6</f>
        <v>8.3880523850847483E-5</v>
      </c>
      <c r="R6">
        <f>N6*G6</f>
        <v>9.2768500000000004E-2</v>
      </c>
      <c r="S6">
        <f>O6*G6</f>
        <v>0.1203235</v>
      </c>
      <c r="T6">
        <f>G6*Q6</f>
        <v>7.7044261157003415E-5</v>
      </c>
      <c r="U6">
        <f>R6*D6^2</f>
        <v>2.3192124999999999</v>
      </c>
      <c r="V6">
        <f>S6*D6^2</f>
        <v>3.0080874999999998</v>
      </c>
    </row>
    <row r="7" spans="1:26" x14ac:dyDescent="0.45">
      <c r="A7" t="s">
        <v>7</v>
      </c>
      <c r="B7">
        <v>6</v>
      </c>
      <c r="C7">
        <v>7</v>
      </c>
      <c r="D7">
        <v>6</v>
      </c>
      <c r="E7">
        <f t="shared" si="0"/>
        <v>25.200000000000003</v>
      </c>
      <c r="F7">
        <v>196</v>
      </c>
      <c r="G7">
        <f t="shared" si="1"/>
        <v>0.21559999999999999</v>
      </c>
      <c r="H7">
        <f t="shared" si="2"/>
        <v>440.88566010844158</v>
      </c>
      <c r="I7" t="s">
        <v>28</v>
      </c>
      <c r="J7">
        <v>630</v>
      </c>
      <c r="K7" t="s">
        <v>29</v>
      </c>
      <c r="L7">
        <v>593</v>
      </c>
      <c r="M7">
        <f t="shared" si="3"/>
        <v>504.05</v>
      </c>
      <c r="N7">
        <v>6.2899999999999998E-2</v>
      </c>
      <c r="O7">
        <v>0.123</v>
      </c>
      <c r="P7">
        <v>0.32900000000000001</v>
      </c>
      <c r="Q7">
        <f t="shared" si="4"/>
        <v>1.033583983031042E-4</v>
      </c>
      <c r="R7">
        <f t="shared" si="5"/>
        <v>1.3561239999999999E-2</v>
      </c>
      <c r="S7">
        <f t="shared" si="6"/>
        <v>2.6518799999999999E-2</v>
      </c>
      <c r="T7">
        <f t="shared" si="7"/>
        <v>2.2284070674149264E-5</v>
      </c>
      <c r="U7">
        <f t="shared" si="8"/>
        <v>0.48820463999999997</v>
      </c>
      <c r="V7">
        <f t="shared" si="9"/>
        <v>0.95467679999999999</v>
      </c>
    </row>
    <row r="8" spans="1:26" x14ac:dyDescent="0.45">
      <c r="A8" t="s">
        <v>7</v>
      </c>
      <c r="B8">
        <v>7</v>
      </c>
      <c r="C8" t="s">
        <v>6</v>
      </c>
      <c r="D8">
        <v>7</v>
      </c>
      <c r="E8">
        <f t="shared" si="0"/>
        <v>29.400000000000002</v>
      </c>
      <c r="F8">
        <v>7</v>
      </c>
      <c r="G8">
        <f t="shared" si="1"/>
        <v>7.7000000000000002E-3</v>
      </c>
      <c r="H8">
        <f t="shared" si="2"/>
        <v>514.36660345984853</v>
      </c>
      <c r="I8" t="s">
        <v>28</v>
      </c>
      <c r="J8">
        <v>800</v>
      </c>
      <c r="K8" t="s">
        <v>29</v>
      </c>
      <c r="L8">
        <v>654</v>
      </c>
      <c r="M8">
        <f t="shared" si="3"/>
        <v>555.9</v>
      </c>
      <c r="N8">
        <v>5.0700000000000002E-2</v>
      </c>
      <c r="O8">
        <v>0.11899999999999999</v>
      </c>
      <c r="P8">
        <v>0.36599999999999999</v>
      </c>
      <c r="Q8">
        <f t="shared" si="4"/>
        <v>1.1498229112138642E-4</v>
      </c>
      <c r="R8">
        <f t="shared" si="5"/>
        <v>3.9039000000000001E-4</v>
      </c>
      <c r="S8">
        <f t="shared" si="6"/>
        <v>9.1629999999999999E-4</v>
      </c>
      <c r="T8">
        <f t="shared" si="7"/>
        <v>8.8536364163467539E-7</v>
      </c>
      <c r="U8">
        <f t="shared" si="8"/>
        <v>1.9129110000000001E-2</v>
      </c>
      <c r="V8">
        <f t="shared" si="9"/>
        <v>4.48987E-2</v>
      </c>
      <c r="X8" t="s">
        <v>40</v>
      </c>
      <c r="Y8">
        <v>42</v>
      </c>
    </row>
    <row r="9" spans="1:26" x14ac:dyDescent="0.45">
      <c r="A9" t="s">
        <v>8</v>
      </c>
      <c r="B9">
        <v>8</v>
      </c>
      <c r="C9">
        <v>9</v>
      </c>
      <c r="D9">
        <v>1</v>
      </c>
      <c r="E9">
        <f t="shared" si="0"/>
        <v>4.2</v>
      </c>
      <c r="F9">
        <v>236</v>
      </c>
      <c r="G9">
        <f t="shared" si="1"/>
        <v>0.2596</v>
      </c>
      <c r="H9">
        <f t="shared" si="2"/>
        <v>73.480943351406921</v>
      </c>
      <c r="I9" t="s">
        <v>28</v>
      </c>
      <c r="J9">
        <v>185</v>
      </c>
      <c r="K9" t="s">
        <v>29</v>
      </c>
      <c r="L9">
        <v>330</v>
      </c>
      <c r="M9">
        <f t="shared" si="3"/>
        <v>280.5</v>
      </c>
      <c r="N9">
        <v>0.21099999999999999</v>
      </c>
      <c r="O9">
        <v>0.14499999999999999</v>
      </c>
      <c r="P9">
        <v>0.20200000000000001</v>
      </c>
      <c r="Q9">
        <f t="shared" si="4"/>
        <v>6.3460171602513821E-5</v>
      </c>
      <c r="R9">
        <f t="shared" si="5"/>
        <v>5.4775600000000001E-2</v>
      </c>
      <c r="S9">
        <f t="shared" si="6"/>
        <v>3.7641999999999995E-2</v>
      </c>
      <c r="T9">
        <f t="shared" si="7"/>
        <v>1.6474260548012586E-5</v>
      </c>
      <c r="U9">
        <f t="shared" si="8"/>
        <v>5.4775600000000001E-2</v>
      </c>
      <c r="V9">
        <f t="shared" si="9"/>
        <v>3.7641999999999995E-2</v>
      </c>
      <c r="X9" t="s">
        <v>4</v>
      </c>
      <c r="Y9">
        <f>U50/Y8^2</f>
        <v>1.4945902182539675E-2</v>
      </c>
      <c r="Z9" t="str">
        <f>"Sum(Rn^2)/(total_invs)^2)"</f>
        <v>Sum(Rn^2)/(total_invs)^2)</v>
      </c>
    </row>
    <row r="10" spans="1:26" x14ac:dyDescent="0.45">
      <c r="A10" t="s">
        <v>8</v>
      </c>
      <c r="B10">
        <v>9</v>
      </c>
      <c r="C10">
        <v>10</v>
      </c>
      <c r="D10">
        <v>2</v>
      </c>
      <c r="E10">
        <f t="shared" si="0"/>
        <v>8.4</v>
      </c>
      <c r="F10">
        <v>150</v>
      </c>
      <c r="G10">
        <f t="shared" si="1"/>
        <v>0.16500000000000001</v>
      </c>
      <c r="H10">
        <f t="shared" si="2"/>
        <v>146.96188670281384</v>
      </c>
      <c r="I10" t="s">
        <v>28</v>
      </c>
      <c r="J10">
        <v>185</v>
      </c>
      <c r="K10" t="s">
        <v>29</v>
      </c>
      <c r="L10">
        <v>330</v>
      </c>
      <c r="M10">
        <f t="shared" si="3"/>
        <v>280.5</v>
      </c>
      <c r="N10">
        <v>0.21099999999999999</v>
      </c>
      <c r="O10">
        <v>0.14499999999999999</v>
      </c>
      <c r="P10">
        <v>0.20200000000000001</v>
      </c>
      <c r="Q10">
        <f t="shared" si="4"/>
        <v>6.3460171602513821E-5</v>
      </c>
      <c r="R10">
        <f t="shared" si="5"/>
        <v>3.4814999999999999E-2</v>
      </c>
      <c r="S10">
        <f t="shared" si="6"/>
        <v>2.3924999999999998E-2</v>
      </c>
      <c r="T10">
        <f t="shared" si="7"/>
        <v>1.0470928314414781E-5</v>
      </c>
      <c r="U10">
        <f t="shared" si="8"/>
        <v>0.13925999999999999</v>
      </c>
      <c r="V10">
        <f t="shared" si="9"/>
        <v>9.5699999999999993E-2</v>
      </c>
      <c r="X10" t="s">
        <v>30</v>
      </c>
      <c r="Y10">
        <f>V50/Y8^2</f>
        <v>2.8052196712018147E-2</v>
      </c>
      <c r="Z10" t="str">
        <f>"Sum(Xn^2)/(total_invs)^2)"</f>
        <v>Sum(Xn^2)/(total_invs)^2)</v>
      </c>
    </row>
    <row r="11" spans="1:26" x14ac:dyDescent="0.45">
      <c r="A11" t="s">
        <v>8</v>
      </c>
      <c r="B11">
        <v>10</v>
      </c>
      <c r="C11">
        <v>11</v>
      </c>
      <c r="D11">
        <v>3</v>
      </c>
      <c r="E11">
        <f t="shared" si="0"/>
        <v>12.600000000000001</v>
      </c>
      <c r="F11">
        <v>244</v>
      </c>
      <c r="G11">
        <f t="shared" si="1"/>
        <v>0.26839999999999997</v>
      </c>
      <c r="H11">
        <f t="shared" si="2"/>
        <v>220.44283005422079</v>
      </c>
      <c r="I11" t="s">
        <v>28</v>
      </c>
      <c r="J11">
        <v>185</v>
      </c>
      <c r="K11" t="s">
        <v>29</v>
      </c>
      <c r="L11">
        <v>330</v>
      </c>
      <c r="M11">
        <f t="shared" si="3"/>
        <v>280.5</v>
      </c>
      <c r="N11">
        <v>0.21099999999999999</v>
      </c>
      <c r="O11">
        <v>0.14499999999999999</v>
      </c>
      <c r="P11">
        <v>0.20200000000000001</v>
      </c>
      <c r="Q11">
        <f t="shared" si="4"/>
        <v>6.3460171602513821E-5</v>
      </c>
      <c r="R11">
        <f t="shared" si="5"/>
        <v>5.6632399999999992E-2</v>
      </c>
      <c r="S11">
        <f t="shared" si="6"/>
        <v>3.8917999999999994E-2</v>
      </c>
      <c r="T11">
        <f t="shared" si="7"/>
        <v>1.7032710058114708E-5</v>
      </c>
      <c r="U11">
        <f t="shared" si="8"/>
        <v>0.50969159999999991</v>
      </c>
      <c r="V11">
        <f t="shared" si="9"/>
        <v>0.35026199999999996</v>
      </c>
      <c r="X11" t="s">
        <v>31</v>
      </c>
      <c r="Y11">
        <f>SQRT(Y9^2+Y10^2)</f>
        <v>3.1785306863703643E-2</v>
      </c>
    </row>
    <row r="12" spans="1:26" x14ac:dyDescent="0.45">
      <c r="A12" t="s">
        <v>8</v>
      </c>
      <c r="B12">
        <v>12</v>
      </c>
      <c r="C12">
        <v>11</v>
      </c>
      <c r="D12">
        <v>1</v>
      </c>
      <c r="E12">
        <f t="shared" si="0"/>
        <v>4.2</v>
      </c>
      <c r="F12">
        <v>38</v>
      </c>
      <c r="G12">
        <f t="shared" si="1"/>
        <v>4.1799999999999997E-2</v>
      </c>
      <c r="H12">
        <f t="shared" si="2"/>
        <v>73.480943351406921</v>
      </c>
      <c r="I12" t="s">
        <v>28</v>
      </c>
      <c r="J12">
        <v>185</v>
      </c>
      <c r="K12" t="s">
        <v>29</v>
      </c>
      <c r="L12">
        <v>330</v>
      </c>
      <c r="M12">
        <f t="shared" si="3"/>
        <v>280.5</v>
      </c>
      <c r="N12">
        <v>0.21099999999999999</v>
      </c>
      <c r="O12">
        <v>0.14499999999999999</v>
      </c>
      <c r="P12">
        <v>0.20200000000000001</v>
      </c>
      <c r="Q12">
        <f>2*PI()*50*P12*10^-6</f>
        <v>6.3460171602513821E-5</v>
      </c>
      <c r="R12">
        <f>N12*G12</f>
        <v>8.8197999999999992E-3</v>
      </c>
      <c r="S12">
        <f>O12*G12</f>
        <v>6.0609999999999995E-3</v>
      </c>
      <c r="T12">
        <f>G12*Q12</f>
        <v>2.6526351729850776E-6</v>
      </c>
      <c r="U12">
        <f>R12*D12^2</f>
        <v>8.8197999999999992E-3</v>
      </c>
      <c r="V12">
        <f>S12*D12^2</f>
        <v>6.0609999999999995E-3</v>
      </c>
      <c r="X12" t="s">
        <v>49</v>
      </c>
    </row>
    <row r="13" spans="1:26" x14ac:dyDescent="0.45">
      <c r="A13" t="s">
        <v>8</v>
      </c>
      <c r="B13">
        <v>11</v>
      </c>
      <c r="C13">
        <v>13</v>
      </c>
      <c r="D13">
        <v>5</v>
      </c>
      <c r="E13">
        <f t="shared" si="0"/>
        <v>21</v>
      </c>
      <c r="F13">
        <v>223</v>
      </c>
      <c r="G13">
        <f t="shared" si="1"/>
        <v>0.24530000000000002</v>
      </c>
      <c r="H13">
        <f t="shared" si="2"/>
        <v>367.40471675703463</v>
      </c>
      <c r="I13" t="s">
        <v>28</v>
      </c>
      <c r="J13">
        <v>400</v>
      </c>
      <c r="K13" t="s">
        <v>29</v>
      </c>
      <c r="L13">
        <v>475</v>
      </c>
      <c r="M13">
        <f t="shared" si="3"/>
        <v>403.75</v>
      </c>
      <c r="N13">
        <v>0.10100000000000001</v>
      </c>
      <c r="O13">
        <v>0.13100000000000001</v>
      </c>
      <c r="P13">
        <v>0.26700000000000002</v>
      </c>
      <c r="Q13">
        <f t="shared" si="4"/>
        <v>8.3880523850847483E-5</v>
      </c>
      <c r="R13">
        <f t="shared" si="5"/>
        <v>2.4775300000000004E-2</v>
      </c>
      <c r="S13">
        <f t="shared" si="6"/>
        <v>3.2134300000000005E-2</v>
      </c>
      <c r="T13">
        <f t="shared" si="7"/>
        <v>2.0575892500612889E-5</v>
      </c>
      <c r="U13">
        <f t="shared" si="8"/>
        <v>0.61938250000000006</v>
      </c>
      <c r="V13">
        <f t="shared" si="9"/>
        <v>0.80335750000000017</v>
      </c>
      <c r="X13" t="s">
        <v>33</v>
      </c>
      <c r="Y13">
        <f>33^2/100</f>
        <v>10.89</v>
      </c>
    </row>
    <row r="14" spans="1:26" x14ac:dyDescent="0.45">
      <c r="A14" t="s">
        <v>8</v>
      </c>
      <c r="B14">
        <v>13</v>
      </c>
      <c r="C14">
        <v>14</v>
      </c>
      <c r="D14">
        <v>6</v>
      </c>
      <c r="E14">
        <f t="shared" si="0"/>
        <v>25.200000000000003</v>
      </c>
      <c r="F14">
        <v>587</v>
      </c>
      <c r="G14">
        <f t="shared" si="1"/>
        <v>0.64570000000000005</v>
      </c>
      <c r="H14">
        <f t="shared" si="2"/>
        <v>440.88566010844158</v>
      </c>
      <c r="I14" t="s">
        <v>28</v>
      </c>
      <c r="J14">
        <v>630</v>
      </c>
      <c r="K14" t="s">
        <v>29</v>
      </c>
      <c r="L14">
        <v>593</v>
      </c>
      <c r="M14">
        <f t="shared" si="3"/>
        <v>504.05</v>
      </c>
      <c r="N14">
        <v>6.2899999999999998E-2</v>
      </c>
      <c r="O14">
        <v>0.123</v>
      </c>
      <c r="P14">
        <v>0.32900000000000001</v>
      </c>
      <c r="Q14">
        <f t="shared" si="4"/>
        <v>1.033583983031042E-4</v>
      </c>
      <c r="R14">
        <f t="shared" si="5"/>
        <v>4.0614530000000003E-2</v>
      </c>
      <c r="S14">
        <f t="shared" si="6"/>
        <v>7.9421100000000008E-2</v>
      </c>
      <c r="T14">
        <f t="shared" si="7"/>
        <v>6.6738517784314391E-5</v>
      </c>
      <c r="U14">
        <f t="shared" si="8"/>
        <v>1.46212308</v>
      </c>
      <c r="V14">
        <f t="shared" si="9"/>
        <v>2.8591596000000004</v>
      </c>
      <c r="X14" t="s">
        <v>32</v>
      </c>
      <c r="Y14">
        <f>Y9/Y13</f>
        <v>1.3724428083140196E-3</v>
      </c>
    </row>
    <row r="15" spans="1:26" x14ac:dyDescent="0.45">
      <c r="A15" t="s">
        <v>8</v>
      </c>
      <c r="B15">
        <v>14</v>
      </c>
      <c r="C15" t="s">
        <v>6</v>
      </c>
      <c r="D15">
        <v>7</v>
      </c>
      <c r="E15">
        <f t="shared" si="0"/>
        <v>29.400000000000002</v>
      </c>
      <c r="F15">
        <v>342</v>
      </c>
      <c r="G15">
        <f t="shared" si="1"/>
        <v>0.37619999999999998</v>
      </c>
      <c r="H15">
        <f t="shared" si="2"/>
        <v>514.36660345984853</v>
      </c>
      <c r="I15" t="s">
        <v>28</v>
      </c>
      <c r="J15">
        <v>800</v>
      </c>
      <c r="K15" t="s">
        <v>29</v>
      </c>
      <c r="L15">
        <v>654</v>
      </c>
      <c r="M15">
        <f t="shared" si="3"/>
        <v>555.9</v>
      </c>
      <c r="N15">
        <v>5.0700000000000002E-2</v>
      </c>
      <c r="O15">
        <v>0.11899999999999999</v>
      </c>
      <c r="P15">
        <v>0.36599999999999999</v>
      </c>
      <c r="Q15">
        <f t="shared" si="4"/>
        <v>1.1498229112138642E-4</v>
      </c>
      <c r="R15">
        <f t="shared" si="5"/>
        <v>1.9073340000000001E-2</v>
      </c>
      <c r="S15">
        <f t="shared" si="6"/>
        <v>4.4767799999999996E-2</v>
      </c>
      <c r="T15">
        <f t="shared" si="7"/>
        <v>4.3256337919865566E-5</v>
      </c>
      <c r="U15">
        <f t="shared" si="8"/>
        <v>0.9345936600000001</v>
      </c>
      <c r="V15">
        <f t="shared" si="9"/>
        <v>2.1936221999999996</v>
      </c>
      <c r="X15" t="s">
        <v>34</v>
      </c>
      <c r="Y15">
        <f>Y10/Y13</f>
        <v>2.5759592940328875E-3</v>
      </c>
    </row>
    <row r="16" spans="1:26" x14ac:dyDescent="0.45">
      <c r="A16" t="s">
        <v>9</v>
      </c>
      <c r="B16">
        <v>15</v>
      </c>
      <c r="C16">
        <v>16</v>
      </c>
      <c r="D16">
        <v>1</v>
      </c>
      <c r="E16">
        <f t="shared" si="0"/>
        <v>4.2</v>
      </c>
      <c r="F16">
        <v>385</v>
      </c>
      <c r="G16">
        <f t="shared" si="1"/>
        <v>0.42349999999999999</v>
      </c>
      <c r="H16">
        <f t="shared" si="2"/>
        <v>73.480943351406921</v>
      </c>
      <c r="I16" t="s">
        <v>28</v>
      </c>
      <c r="J16">
        <v>185</v>
      </c>
      <c r="K16" t="s">
        <v>29</v>
      </c>
      <c r="L16">
        <v>330</v>
      </c>
      <c r="M16">
        <f t="shared" si="3"/>
        <v>280.5</v>
      </c>
      <c r="N16">
        <v>0.21099999999999999</v>
      </c>
      <c r="O16">
        <v>0.14499999999999999</v>
      </c>
      <c r="P16">
        <v>0.20200000000000001</v>
      </c>
      <c r="Q16">
        <f t="shared" si="4"/>
        <v>6.3460171602513821E-5</v>
      </c>
      <c r="R16">
        <f t="shared" si="5"/>
        <v>8.9358499999999993E-2</v>
      </c>
      <c r="S16">
        <f t="shared" si="6"/>
        <v>6.1407499999999997E-2</v>
      </c>
      <c r="T16">
        <f t="shared" si="7"/>
        <v>2.6875382673664603E-5</v>
      </c>
      <c r="U16">
        <f t="shared" si="8"/>
        <v>8.9358499999999993E-2</v>
      </c>
      <c r="V16">
        <f t="shared" si="9"/>
        <v>6.1407499999999997E-2</v>
      </c>
      <c r="X16" t="s">
        <v>38</v>
      </c>
      <c r="Y16">
        <f>T50*Y13</f>
        <v>1.7891766085229712E-2</v>
      </c>
      <c r="Z16" t="str">
        <f>"sum(Bactual)*zbase"</f>
        <v>sum(Bactual)*zbase</v>
      </c>
    </row>
    <row r="17" spans="1:25" x14ac:dyDescent="0.45">
      <c r="A17" t="s">
        <v>9</v>
      </c>
      <c r="B17">
        <v>16</v>
      </c>
      <c r="C17">
        <v>17</v>
      </c>
      <c r="D17">
        <v>2</v>
      </c>
      <c r="E17">
        <f t="shared" si="0"/>
        <v>8.4</v>
      </c>
      <c r="F17">
        <v>125</v>
      </c>
      <c r="G17">
        <f t="shared" si="1"/>
        <v>0.13750000000000001</v>
      </c>
      <c r="H17">
        <f t="shared" si="2"/>
        <v>146.96188670281384</v>
      </c>
      <c r="I17" t="s">
        <v>28</v>
      </c>
      <c r="J17">
        <v>185</v>
      </c>
      <c r="K17" t="s">
        <v>29</v>
      </c>
      <c r="L17">
        <v>330</v>
      </c>
      <c r="M17">
        <f t="shared" si="3"/>
        <v>280.5</v>
      </c>
      <c r="N17">
        <v>0.21099999999999999</v>
      </c>
      <c r="O17">
        <v>0.14499999999999999</v>
      </c>
      <c r="P17">
        <v>0.20200000000000001</v>
      </c>
      <c r="Q17">
        <f t="shared" si="4"/>
        <v>6.3460171602513821E-5</v>
      </c>
      <c r="R17">
        <f t="shared" si="5"/>
        <v>2.90125E-2</v>
      </c>
      <c r="S17">
        <f t="shared" si="6"/>
        <v>1.99375E-2</v>
      </c>
      <c r="T17">
        <f t="shared" si="7"/>
        <v>8.7257735953456517E-6</v>
      </c>
      <c r="U17">
        <f t="shared" si="8"/>
        <v>0.11605</v>
      </c>
      <c r="V17">
        <f t="shared" si="9"/>
        <v>7.9750000000000001E-2</v>
      </c>
    </row>
    <row r="18" spans="1:25" x14ac:dyDescent="0.45">
      <c r="A18" t="s">
        <v>9</v>
      </c>
      <c r="B18">
        <v>17</v>
      </c>
      <c r="C18">
        <v>18</v>
      </c>
      <c r="D18">
        <v>3</v>
      </c>
      <c r="E18">
        <f t="shared" si="0"/>
        <v>12.600000000000001</v>
      </c>
      <c r="F18">
        <v>270</v>
      </c>
      <c r="G18">
        <f t="shared" si="1"/>
        <v>0.29699999999999999</v>
      </c>
      <c r="H18">
        <f t="shared" si="2"/>
        <v>220.44283005422079</v>
      </c>
      <c r="I18" t="s">
        <v>28</v>
      </c>
      <c r="J18">
        <v>185</v>
      </c>
      <c r="K18" t="s">
        <v>29</v>
      </c>
      <c r="L18">
        <v>330</v>
      </c>
      <c r="M18">
        <f t="shared" si="3"/>
        <v>280.5</v>
      </c>
      <c r="N18">
        <v>0.21099999999999999</v>
      </c>
      <c r="O18">
        <v>0.14499999999999999</v>
      </c>
      <c r="P18">
        <v>0.20200000000000001</v>
      </c>
      <c r="Q18">
        <f t="shared" si="4"/>
        <v>6.3460171602513821E-5</v>
      </c>
      <c r="R18">
        <f t="shared" si="5"/>
        <v>6.2667E-2</v>
      </c>
      <c r="S18">
        <f t="shared" si="6"/>
        <v>4.3064999999999992E-2</v>
      </c>
      <c r="T18">
        <f t="shared" si="7"/>
        <v>1.8847670965946605E-5</v>
      </c>
      <c r="U18">
        <f t="shared" si="8"/>
        <v>0.56400300000000003</v>
      </c>
      <c r="V18">
        <f t="shared" si="9"/>
        <v>0.38758499999999996</v>
      </c>
      <c r="X18" t="s">
        <v>48</v>
      </c>
    </row>
    <row r="19" spans="1:25" x14ac:dyDescent="0.45">
      <c r="A19" t="s">
        <v>9</v>
      </c>
      <c r="B19">
        <v>21</v>
      </c>
      <c r="C19">
        <v>20</v>
      </c>
      <c r="D19">
        <v>1</v>
      </c>
      <c r="E19">
        <f t="shared" si="0"/>
        <v>4.2</v>
      </c>
      <c r="F19">
        <v>219</v>
      </c>
      <c r="G19">
        <f t="shared" si="1"/>
        <v>0.2409</v>
      </c>
      <c r="H19">
        <f t="shared" si="2"/>
        <v>73.480943351406921</v>
      </c>
      <c r="I19" t="s">
        <v>28</v>
      </c>
      <c r="J19">
        <v>185</v>
      </c>
      <c r="K19" t="s">
        <v>29</v>
      </c>
      <c r="L19">
        <v>330</v>
      </c>
      <c r="M19">
        <f t="shared" si="3"/>
        <v>280.5</v>
      </c>
      <c r="N19">
        <v>0.21099999999999999</v>
      </c>
      <c r="O19">
        <v>0.14499999999999999</v>
      </c>
      <c r="P19">
        <v>0.20200000000000001</v>
      </c>
      <c r="Q19">
        <f t="shared" si="4"/>
        <v>6.3460171602513821E-5</v>
      </c>
      <c r="R19">
        <f t="shared" si="5"/>
        <v>5.0829899999999997E-2</v>
      </c>
      <c r="S19">
        <f t="shared" si="6"/>
        <v>3.4930499999999996E-2</v>
      </c>
      <c r="T19">
        <f t="shared" si="7"/>
        <v>1.528755533904558E-5</v>
      </c>
      <c r="U19">
        <f t="shared" si="8"/>
        <v>5.0829899999999997E-2</v>
      </c>
      <c r="V19">
        <f t="shared" si="9"/>
        <v>3.4930499999999996E-2</v>
      </c>
      <c r="X19" t="s">
        <v>32</v>
      </c>
      <c r="Y19">
        <f>R49/Y13</f>
        <v>4.6287878787878789E-3</v>
      </c>
    </row>
    <row r="20" spans="1:25" x14ac:dyDescent="0.45">
      <c r="A20" t="s">
        <v>9</v>
      </c>
      <c r="B20">
        <v>20</v>
      </c>
      <c r="C20">
        <v>19</v>
      </c>
      <c r="D20">
        <v>2</v>
      </c>
      <c r="E20">
        <f t="shared" si="0"/>
        <v>8.4</v>
      </c>
      <c r="F20">
        <v>141</v>
      </c>
      <c r="G20">
        <f t="shared" si="1"/>
        <v>0.15509999999999999</v>
      </c>
      <c r="H20">
        <f t="shared" si="2"/>
        <v>146.96188670281384</v>
      </c>
      <c r="I20" t="s">
        <v>28</v>
      </c>
      <c r="J20">
        <v>185</v>
      </c>
      <c r="K20" t="s">
        <v>29</v>
      </c>
      <c r="L20">
        <v>330</v>
      </c>
      <c r="M20">
        <f t="shared" si="3"/>
        <v>280.5</v>
      </c>
      <c r="N20">
        <v>0.21099999999999999</v>
      </c>
      <c r="O20">
        <v>0.14499999999999999</v>
      </c>
      <c r="P20">
        <v>0.20200000000000001</v>
      </c>
      <c r="Q20">
        <f t="shared" si="4"/>
        <v>6.3460171602513821E-5</v>
      </c>
      <c r="R20">
        <f t="shared" si="5"/>
        <v>3.2726099999999994E-2</v>
      </c>
      <c r="S20">
        <f t="shared" si="6"/>
        <v>2.2489499999999996E-2</v>
      </c>
      <c r="T20">
        <f t="shared" si="7"/>
        <v>9.842672615549893E-6</v>
      </c>
      <c r="U20">
        <f t="shared" si="8"/>
        <v>0.13090439999999998</v>
      </c>
      <c r="V20">
        <f t="shared" si="9"/>
        <v>8.9957999999999982E-2</v>
      </c>
      <c r="X20" t="s">
        <v>34</v>
      </c>
      <c r="Y20">
        <f>S49/Y13</f>
        <v>1.3648989898989898E-2</v>
      </c>
    </row>
    <row r="21" spans="1:25" x14ac:dyDescent="0.45">
      <c r="A21" t="s">
        <v>9</v>
      </c>
      <c r="B21">
        <v>19</v>
      </c>
      <c r="C21">
        <v>18</v>
      </c>
      <c r="D21">
        <v>3</v>
      </c>
      <c r="E21">
        <f t="shared" si="0"/>
        <v>12.600000000000001</v>
      </c>
      <c r="F21">
        <v>130</v>
      </c>
      <c r="G21">
        <f t="shared" si="1"/>
        <v>0.14299999999999999</v>
      </c>
      <c r="H21">
        <f t="shared" si="2"/>
        <v>220.44283005422079</v>
      </c>
      <c r="I21" t="s">
        <v>28</v>
      </c>
      <c r="J21">
        <v>185</v>
      </c>
      <c r="K21" t="s">
        <v>29</v>
      </c>
      <c r="L21">
        <v>330</v>
      </c>
      <c r="M21">
        <f t="shared" si="3"/>
        <v>280.5</v>
      </c>
      <c r="N21">
        <v>0.21099999999999999</v>
      </c>
      <c r="O21">
        <v>0.14499999999999999</v>
      </c>
      <c r="P21">
        <v>0.20200000000000001</v>
      </c>
      <c r="Q21">
        <f t="shared" si="4"/>
        <v>6.3460171602513821E-5</v>
      </c>
      <c r="R21">
        <f t="shared" si="5"/>
        <v>3.0172999999999995E-2</v>
      </c>
      <c r="S21">
        <f t="shared" si="6"/>
        <v>2.0734999999999996E-2</v>
      </c>
      <c r="T21">
        <f t="shared" si="7"/>
        <v>9.0748045391594755E-6</v>
      </c>
      <c r="U21">
        <f t="shared" si="8"/>
        <v>0.27155699999999994</v>
      </c>
      <c r="V21">
        <f t="shared" si="9"/>
        <v>0.18661499999999998</v>
      </c>
      <c r="X21" t="s">
        <v>38</v>
      </c>
      <c r="Y21">
        <f>T49*Y13</f>
        <v>1.8881486362411499E-3</v>
      </c>
    </row>
    <row r="22" spans="1:25" x14ac:dyDescent="0.45">
      <c r="A22" t="s">
        <v>9</v>
      </c>
      <c r="B22">
        <v>18</v>
      </c>
      <c r="C22">
        <v>22</v>
      </c>
      <c r="D22">
        <v>7</v>
      </c>
      <c r="E22">
        <f t="shared" si="0"/>
        <v>29.400000000000002</v>
      </c>
      <c r="F22">
        <v>1248</v>
      </c>
      <c r="G22">
        <f t="shared" si="1"/>
        <v>1.3728</v>
      </c>
      <c r="H22">
        <f t="shared" si="2"/>
        <v>514.36660345984853</v>
      </c>
      <c r="I22" t="s">
        <v>28</v>
      </c>
      <c r="J22">
        <v>800</v>
      </c>
      <c r="K22" t="s">
        <v>29</v>
      </c>
      <c r="L22">
        <v>654</v>
      </c>
      <c r="M22">
        <f t="shared" si="3"/>
        <v>555.9</v>
      </c>
      <c r="N22">
        <v>5.0700000000000002E-2</v>
      </c>
      <c r="O22">
        <v>0.11899999999999999</v>
      </c>
      <c r="P22">
        <v>0.36599999999999999</v>
      </c>
      <c r="Q22">
        <f t="shared" si="4"/>
        <v>1.1498229112138642E-4</v>
      </c>
      <c r="R22">
        <f t="shared" si="5"/>
        <v>6.9600960000000003E-2</v>
      </c>
      <c r="S22">
        <f t="shared" si="6"/>
        <v>0.16336319999999999</v>
      </c>
      <c r="T22">
        <f t="shared" si="7"/>
        <v>1.5784768925143928E-4</v>
      </c>
      <c r="U22">
        <f t="shared" si="8"/>
        <v>3.4104470400000002</v>
      </c>
      <c r="V22">
        <f t="shared" si="9"/>
        <v>8.0047967999999994</v>
      </c>
    </row>
    <row r="23" spans="1:25" x14ac:dyDescent="0.45">
      <c r="A23" t="s">
        <v>9</v>
      </c>
      <c r="B23">
        <v>22</v>
      </c>
      <c r="C23" t="s">
        <v>6</v>
      </c>
      <c r="D23">
        <v>8</v>
      </c>
      <c r="E23">
        <f t="shared" si="0"/>
        <v>33.6</v>
      </c>
      <c r="F23">
        <v>100</v>
      </c>
      <c r="G23">
        <f t="shared" si="1"/>
        <v>0.11</v>
      </c>
      <c r="H23">
        <f t="shared" si="2"/>
        <v>587.84754681125537</v>
      </c>
      <c r="I23" t="s">
        <v>28</v>
      </c>
      <c r="J23">
        <v>1000</v>
      </c>
      <c r="K23" t="s">
        <v>29</v>
      </c>
      <c r="L23">
        <v>733</v>
      </c>
      <c r="M23">
        <f t="shared" si="3"/>
        <v>623.04999999999995</v>
      </c>
      <c r="N23">
        <v>3.9E-2</v>
      </c>
      <c r="O23">
        <v>0.115</v>
      </c>
      <c r="P23">
        <v>0.42699999999999999</v>
      </c>
      <c r="Q23">
        <f t="shared" si="4"/>
        <v>1.3414600630828416E-4</v>
      </c>
      <c r="R23">
        <f t="shared" si="5"/>
        <v>4.2900000000000004E-3</v>
      </c>
      <c r="S23">
        <f t="shared" si="6"/>
        <v>1.265E-2</v>
      </c>
      <c r="T23">
        <f t="shared" si="7"/>
        <v>1.4756060693911257E-5</v>
      </c>
      <c r="U23">
        <f t="shared" si="8"/>
        <v>0.27456000000000003</v>
      </c>
      <c r="V23">
        <f t="shared" si="9"/>
        <v>0.80959999999999999</v>
      </c>
    </row>
    <row r="24" spans="1:25" x14ac:dyDescent="0.45">
      <c r="A24" t="s">
        <v>10</v>
      </c>
      <c r="B24">
        <v>23</v>
      </c>
      <c r="C24">
        <v>25</v>
      </c>
      <c r="D24">
        <v>1</v>
      </c>
      <c r="E24">
        <f t="shared" si="0"/>
        <v>4.2</v>
      </c>
      <c r="F24">
        <v>397</v>
      </c>
      <c r="G24">
        <f t="shared" si="1"/>
        <v>0.43669999999999998</v>
      </c>
      <c r="H24">
        <f t="shared" si="2"/>
        <v>73.480943351406921</v>
      </c>
      <c r="I24" t="s">
        <v>28</v>
      </c>
      <c r="J24">
        <v>185</v>
      </c>
      <c r="K24" t="s">
        <v>29</v>
      </c>
      <c r="L24">
        <v>330</v>
      </c>
      <c r="M24">
        <f t="shared" si="3"/>
        <v>280.5</v>
      </c>
      <c r="N24">
        <v>0.21099999999999999</v>
      </c>
      <c r="O24">
        <v>0.14499999999999999</v>
      </c>
      <c r="P24">
        <v>0.20200000000000001</v>
      </c>
      <c r="Q24">
        <f t="shared" si="4"/>
        <v>6.3460171602513821E-5</v>
      </c>
      <c r="R24">
        <f t="shared" si="5"/>
        <v>9.2143699999999995E-2</v>
      </c>
      <c r="S24">
        <f t="shared" si="6"/>
        <v>6.3321499999999989E-2</v>
      </c>
      <c r="T24">
        <f t="shared" si="7"/>
        <v>2.7713056938817783E-5</v>
      </c>
      <c r="U24">
        <f t="shared" si="8"/>
        <v>9.2143699999999995E-2</v>
      </c>
      <c r="V24">
        <f t="shared" si="9"/>
        <v>6.3321499999999989E-2</v>
      </c>
    </row>
    <row r="25" spans="1:25" x14ac:dyDescent="0.45">
      <c r="A25" t="s">
        <v>10</v>
      </c>
      <c r="B25">
        <v>24</v>
      </c>
      <c r="C25">
        <v>23</v>
      </c>
      <c r="D25">
        <v>1</v>
      </c>
      <c r="E25">
        <f t="shared" si="0"/>
        <v>4.2</v>
      </c>
      <c r="F25">
        <v>121</v>
      </c>
      <c r="G25">
        <f t="shared" si="1"/>
        <v>0.1331</v>
      </c>
      <c r="H25">
        <f t="shared" si="2"/>
        <v>73.480943351406921</v>
      </c>
      <c r="I25" t="s">
        <v>28</v>
      </c>
      <c r="J25">
        <v>185</v>
      </c>
      <c r="K25" t="s">
        <v>29</v>
      </c>
      <c r="L25">
        <v>330</v>
      </c>
      <c r="M25">
        <f t="shared" si="3"/>
        <v>280.5</v>
      </c>
      <c r="N25">
        <v>0.21099999999999999</v>
      </c>
      <c r="O25">
        <v>0.14499999999999999</v>
      </c>
      <c r="P25">
        <v>0.20200000000000001</v>
      </c>
      <c r="Q25">
        <f t="shared" si="4"/>
        <v>6.3460171602513821E-5</v>
      </c>
      <c r="R25">
        <f t="shared" si="5"/>
        <v>2.8084099999999997E-2</v>
      </c>
      <c r="S25">
        <f t="shared" si="6"/>
        <v>1.9299499999999997E-2</v>
      </c>
      <c r="T25">
        <f t="shared" si="7"/>
        <v>8.4465488402945892E-6</v>
      </c>
      <c r="U25">
        <f t="shared" si="8"/>
        <v>2.8084099999999997E-2</v>
      </c>
      <c r="V25">
        <f t="shared" si="9"/>
        <v>1.9299499999999997E-2</v>
      </c>
    </row>
    <row r="26" spans="1:25" x14ac:dyDescent="0.45">
      <c r="A26" t="s">
        <v>10</v>
      </c>
      <c r="B26">
        <v>25</v>
      </c>
      <c r="C26">
        <v>26</v>
      </c>
      <c r="D26">
        <v>3</v>
      </c>
      <c r="E26">
        <f t="shared" si="0"/>
        <v>12.600000000000001</v>
      </c>
      <c r="F26">
        <v>124</v>
      </c>
      <c r="G26">
        <f t="shared" si="1"/>
        <v>0.13639999999999999</v>
      </c>
      <c r="H26">
        <f t="shared" si="2"/>
        <v>220.44283005422079</v>
      </c>
      <c r="I26" t="s">
        <v>28</v>
      </c>
      <c r="J26">
        <v>185</v>
      </c>
      <c r="K26" t="s">
        <v>29</v>
      </c>
      <c r="L26">
        <v>330</v>
      </c>
      <c r="M26">
        <f t="shared" si="3"/>
        <v>280.5</v>
      </c>
      <c r="N26">
        <v>0.21099999999999999</v>
      </c>
      <c r="O26">
        <v>0.14499999999999999</v>
      </c>
      <c r="P26">
        <v>0.20200000000000001</v>
      </c>
      <c r="Q26">
        <f t="shared" si="4"/>
        <v>6.3460171602513821E-5</v>
      </c>
      <c r="R26">
        <f t="shared" si="5"/>
        <v>2.8780399999999998E-2</v>
      </c>
      <c r="S26">
        <f t="shared" si="6"/>
        <v>1.9777999999999997E-2</v>
      </c>
      <c r="T26">
        <f t="shared" si="7"/>
        <v>8.6559674065828852E-6</v>
      </c>
      <c r="U26">
        <f t="shared" si="8"/>
        <v>0.25902359999999996</v>
      </c>
      <c r="V26">
        <f t="shared" si="9"/>
        <v>0.17800199999999997</v>
      </c>
    </row>
    <row r="27" spans="1:25" x14ac:dyDescent="0.45">
      <c r="A27" t="s">
        <v>10</v>
      </c>
      <c r="B27">
        <v>26</v>
      </c>
      <c r="C27">
        <v>27</v>
      </c>
      <c r="D27">
        <v>4</v>
      </c>
      <c r="E27">
        <f t="shared" si="0"/>
        <v>16.8</v>
      </c>
      <c r="F27">
        <v>370</v>
      </c>
      <c r="G27">
        <f t="shared" si="1"/>
        <v>0.40699999999999997</v>
      </c>
      <c r="H27">
        <f t="shared" si="2"/>
        <v>293.92377340562768</v>
      </c>
      <c r="I27" t="s">
        <v>28</v>
      </c>
      <c r="J27">
        <v>300</v>
      </c>
      <c r="K27" t="s">
        <v>29</v>
      </c>
      <c r="L27">
        <v>421</v>
      </c>
      <c r="M27">
        <f t="shared" si="3"/>
        <v>357.84999999999997</v>
      </c>
      <c r="N27">
        <v>0.129</v>
      </c>
      <c r="O27">
        <v>0.13600000000000001</v>
      </c>
      <c r="P27">
        <v>0.24199999999999999</v>
      </c>
      <c r="Q27">
        <f t="shared" si="4"/>
        <v>7.6026542216872997E-5</v>
      </c>
      <c r="R27">
        <f t="shared" si="5"/>
        <v>5.2503000000000001E-2</v>
      </c>
      <c r="S27">
        <f t="shared" si="6"/>
        <v>5.5351999999999998E-2</v>
      </c>
      <c r="T27">
        <f t="shared" si="7"/>
        <v>3.0942802682267309E-5</v>
      </c>
      <c r="U27">
        <f t="shared" si="8"/>
        <v>0.84004800000000002</v>
      </c>
      <c r="V27">
        <f t="shared" si="9"/>
        <v>0.88563199999999997</v>
      </c>
    </row>
    <row r="28" spans="1:25" x14ac:dyDescent="0.45">
      <c r="A28" t="s">
        <v>10</v>
      </c>
      <c r="B28">
        <v>27</v>
      </c>
      <c r="C28">
        <v>28</v>
      </c>
      <c r="D28">
        <v>5</v>
      </c>
      <c r="E28">
        <f t="shared" si="0"/>
        <v>21</v>
      </c>
      <c r="F28">
        <v>1059</v>
      </c>
      <c r="G28">
        <f t="shared" si="1"/>
        <v>1.1649</v>
      </c>
      <c r="H28">
        <f t="shared" si="2"/>
        <v>367.40471675703463</v>
      </c>
      <c r="I28" t="s">
        <v>28</v>
      </c>
      <c r="J28">
        <v>400</v>
      </c>
      <c r="K28" t="s">
        <v>29</v>
      </c>
      <c r="L28">
        <v>475</v>
      </c>
      <c r="M28">
        <f t="shared" si="3"/>
        <v>403.75</v>
      </c>
      <c r="N28">
        <v>0.10100000000000001</v>
      </c>
      <c r="O28">
        <v>0.13100000000000001</v>
      </c>
      <c r="P28">
        <v>0.26700000000000002</v>
      </c>
      <c r="Q28">
        <f t="shared" si="4"/>
        <v>8.3880523850847483E-5</v>
      </c>
      <c r="R28">
        <f t="shared" si="5"/>
        <v>0.11765490000000001</v>
      </c>
      <c r="S28">
        <f t="shared" si="6"/>
        <v>0.15260190000000001</v>
      </c>
      <c r="T28">
        <f t="shared" si="7"/>
        <v>9.7712422233852241E-5</v>
      </c>
      <c r="U28">
        <f t="shared" si="8"/>
        <v>2.9413724999999999</v>
      </c>
      <c r="V28">
        <f t="shared" si="9"/>
        <v>3.8150475000000004</v>
      </c>
    </row>
    <row r="29" spans="1:25" x14ac:dyDescent="0.45">
      <c r="A29" t="s">
        <v>10</v>
      </c>
      <c r="B29">
        <v>29</v>
      </c>
      <c r="C29">
        <v>28</v>
      </c>
      <c r="D29">
        <v>1</v>
      </c>
      <c r="E29">
        <f t="shared" si="0"/>
        <v>4.2</v>
      </c>
      <c r="F29">
        <v>116</v>
      </c>
      <c r="G29">
        <f t="shared" si="1"/>
        <v>0.12759999999999999</v>
      </c>
      <c r="H29">
        <f t="shared" si="2"/>
        <v>73.480943351406921</v>
      </c>
      <c r="I29" t="s">
        <v>28</v>
      </c>
      <c r="J29">
        <v>185</v>
      </c>
      <c r="K29" t="s">
        <v>29</v>
      </c>
      <c r="L29">
        <v>330</v>
      </c>
      <c r="M29">
        <f t="shared" si="3"/>
        <v>280.5</v>
      </c>
      <c r="N29">
        <v>0.21099999999999999</v>
      </c>
      <c r="O29">
        <v>0.14499999999999999</v>
      </c>
      <c r="P29">
        <v>0.20200000000000001</v>
      </c>
      <c r="Q29">
        <f t="shared" si="4"/>
        <v>6.3460171602513821E-5</v>
      </c>
      <c r="R29">
        <f t="shared" si="5"/>
        <v>2.6923599999999999E-2</v>
      </c>
      <c r="S29">
        <f t="shared" si="6"/>
        <v>1.8501999999999998E-2</v>
      </c>
      <c r="T29">
        <f t="shared" si="7"/>
        <v>8.0975178964807637E-6</v>
      </c>
      <c r="U29">
        <f t="shared" si="8"/>
        <v>2.6923599999999999E-2</v>
      </c>
      <c r="V29">
        <f t="shared" si="9"/>
        <v>1.8501999999999998E-2</v>
      </c>
    </row>
    <row r="30" spans="1:25" x14ac:dyDescent="0.45">
      <c r="A30" t="s">
        <v>10</v>
      </c>
      <c r="B30">
        <v>28</v>
      </c>
      <c r="C30" t="s">
        <v>6</v>
      </c>
      <c r="D30">
        <v>7</v>
      </c>
      <c r="E30">
        <f t="shared" si="0"/>
        <v>29.400000000000002</v>
      </c>
      <c r="F30">
        <v>262</v>
      </c>
      <c r="G30">
        <f t="shared" si="1"/>
        <v>0.28820000000000001</v>
      </c>
      <c r="H30">
        <f t="shared" si="2"/>
        <v>514.36660345984853</v>
      </c>
      <c r="I30" t="s">
        <v>28</v>
      </c>
      <c r="J30">
        <v>800</v>
      </c>
      <c r="K30" t="s">
        <v>29</v>
      </c>
      <c r="L30">
        <v>654</v>
      </c>
      <c r="M30">
        <f t="shared" si="3"/>
        <v>555.9</v>
      </c>
      <c r="N30">
        <v>5.0700000000000002E-2</v>
      </c>
      <c r="O30">
        <v>0.11899999999999999</v>
      </c>
      <c r="P30">
        <v>0.36599999999999999</v>
      </c>
      <c r="Q30">
        <f t="shared" si="4"/>
        <v>1.1498229112138642E-4</v>
      </c>
      <c r="R30">
        <f t="shared" si="5"/>
        <v>1.4611740000000002E-2</v>
      </c>
      <c r="S30">
        <f t="shared" si="6"/>
        <v>3.4295800000000001E-2</v>
      </c>
      <c r="T30">
        <f t="shared" si="7"/>
        <v>3.3137896301183566E-5</v>
      </c>
      <c r="U30">
        <f t="shared" si="8"/>
        <v>0.71597526000000011</v>
      </c>
      <c r="V30">
        <f t="shared" si="9"/>
        <v>1.6804942</v>
      </c>
    </row>
    <row r="31" spans="1:25" x14ac:dyDescent="0.45">
      <c r="A31" t="s">
        <v>11</v>
      </c>
      <c r="B31">
        <v>30</v>
      </c>
      <c r="C31">
        <v>31</v>
      </c>
      <c r="D31">
        <v>1</v>
      </c>
      <c r="E31">
        <f t="shared" si="0"/>
        <v>4.2</v>
      </c>
      <c r="F31">
        <v>133</v>
      </c>
      <c r="G31">
        <f t="shared" si="1"/>
        <v>0.14630000000000001</v>
      </c>
      <c r="H31">
        <f t="shared" si="2"/>
        <v>73.480943351406921</v>
      </c>
      <c r="I31" t="s">
        <v>28</v>
      </c>
      <c r="J31">
        <v>185</v>
      </c>
      <c r="K31" t="s">
        <v>29</v>
      </c>
      <c r="L31">
        <v>330</v>
      </c>
      <c r="M31">
        <f t="shared" si="3"/>
        <v>280.5</v>
      </c>
      <c r="N31">
        <v>0.21099999999999999</v>
      </c>
      <c r="O31">
        <v>0.14499999999999999</v>
      </c>
      <c r="P31">
        <v>0.20200000000000001</v>
      </c>
      <c r="Q31">
        <f t="shared" si="4"/>
        <v>6.3460171602513821E-5</v>
      </c>
      <c r="R31">
        <f t="shared" si="5"/>
        <v>3.0869300000000002E-2</v>
      </c>
      <c r="S31">
        <f t="shared" si="6"/>
        <v>2.12135E-2</v>
      </c>
      <c r="T31">
        <f t="shared" si="7"/>
        <v>9.2842231054477732E-6</v>
      </c>
      <c r="U31">
        <f t="shared" si="8"/>
        <v>3.0869300000000002E-2</v>
      </c>
      <c r="V31">
        <f t="shared" si="9"/>
        <v>2.12135E-2</v>
      </c>
    </row>
    <row r="32" spans="1:25" x14ac:dyDescent="0.45">
      <c r="A32" t="s">
        <v>11</v>
      </c>
      <c r="B32">
        <v>31</v>
      </c>
      <c r="C32">
        <v>32</v>
      </c>
      <c r="D32">
        <v>2</v>
      </c>
      <c r="E32">
        <f t="shared" si="0"/>
        <v>8.4</v>
      </c>
      <c r="F32">
        <v>130</v>
      </c>
      <c r="G32">
        <f t="shared" si="1"/>
        <v>0.14299999999999999</v>
      </c>
      <c r="H32">
        <f t="shared" si="2"/>
        <v>146.96188670281384</v>
      </c>
      <c r="J32">
        <v>185</v>
      </c>
      <c r="K32" t="s">
        <v>29</v>
      </c>
      <c r="L32">
        <v>330</v>
      </c>
      <c r="M32">
        <f t="shared" si="3"/>
        <v>280.5</v>
      </c>
      <c r="N32">
        <v>0.21099999999999999</v>
      </c>
      <c r="O32">
        <v>0.14499999999999999</v>
      </c>
      <c r="P32">
        <v>0.20200000000000001</v>
      </c>
      <c r="Q32">
        <f t="shared" si="4"/>
        <v>6.3460171602513821E-5</v>
      </c>
      <c r="R32">
        <f t="shared" si="5"/>
        <v>3.0172999999999995E-2</v>
      </c>
      <c r="S32">
        <f t="shared" si="6"/>
        <v>2.0734999999999996E-2</v>
      </c>
      <c r="T32">
        <f t="shared" si="7"/>
        <v>9.0748045391594755E-6</v>
      </c>
      <c r="U32">
        <f t="shared" si="8"/>
        <v>0.12069199999999998</v>
      </c>
      <c r="V32">
        <f t="shared" si="9"/>
        <v>8.2939999999999986E-2</v>
      </c>
    </row>
    <row r="33" spans="1:22" x14ac:dyDescent="0.45">
      <c r="A33" t="s">
        <v>11</v>
      </c>
      <c r="B33">
        <v>32</v>
      </c>
      <c r="C33">
        <v>35</v>
      </c>
      <c r="D33">
        <v>3</v>
      </c>
      <c r="E33">
        <f t="shared" si="0"/>
        <v>12.600000000000001</v>
      </c>
      <c r="F33">
        <v>233</v>
      </c>
      <c r="G33">
        <f t="shared" si="1"/>
        <v>0.25630000000000003</v>
      </c>
      <c r="H33">
        <f t="shared" si="2"/>
        <v>220.44283005422079</v>
      </c>
      <c r="J33">
        <v>185</v>
      </c>
      <c r="K33" t="s">
        <v>29</v>
      </c>
      <c r="L33">
        <v>330</v>
      </c>
      <c r="M33">
        <f t="shared" si="3"/>
        <v>280.5</v>
      </c>
      <c r="N33">
        <v>0.21099999999999999</v>
      </c>
      <c r="O33">
        <v>0.14499999999999999</v>
      </c>
      <c r="P33">
        <v>0.20200000000000001</v>
      </c>
      <c r="Q33">
        <f t="shared" si="4"/>
        <v>6.3460171602513821E-5</v>
      </c>
      <c r="R33">
        <f t="shared" si="5"/>
        <v>5.4079300000000004E-2</v>
      </c>
      <c r="S33">
        <f t="shared" si="6"/>
        <v>3.7163500000000002E-2</v>
      </c>
      <c r="T33">
        <f t="shared" si="7"/>
        <v>1.6264841981724294E-5</v>
      </c>
      <c r="U33">
        <f t="shared" si="8"/>
        <v>0.48671370000000003</v>
      </c>
      <c r="V33">
        <f t="shared" si="9"/>
        <v>0.33447150000000003</v>
      </c>
    </row>
    <row r="34" spans="1:22" x14ac:dyDescent="0.45">
      <c r="A34" t="s">
        <v>11</v>
      </c>
      <c r="B34">
        <v>33</v>
      </c>
      <c r="C34">
        <v>34</v>
      </c>
      <c r="D34">
        <v>1</v>
      </c>
      <c r="E34">
        <f t="shared" si="0"/>
        <v>4.2</v>
      </c>
      <c r="F34">
        <v>113</v>
      </c>
      <c r="G34">
        <f t="shared" si="1"/>
        <v>0.12429999999999999</v>
      </c>
      <c r="H34">
        <f t="shared" si="2"/>
        <v>73.480943351406921</v>
      </c>
      <c r="J34">
        <v>185</v>
      </c>
      <c r="K34" t="s">
        <v>29</v>
      </c>
      <c r="L34">
        <v>330</v>
      </c>
      <c r="M34">
        <f t="shared" si="3"/>
        <v>280.5</v>
      </c>
      <c r="N34">
        <v>0.21099999999999999</v>
      </c>
      <c r="O34">
        <v>0.14499999999999999</v>
      </c>
      <c r="P34">
        <v>0.20200000000000001</v>
      </c>
      <c r="Q34">
        <f t="shared" si="4"/>
        <v>6.3460171602513821E-5</v>
      </c>
      <c r="R34">
        <f t="shared" si="5"/>
        <v>2.6227299999999999E-2</v>
      </c>
      <c r="S34">
        <f t="shared" si="6"/>
        <v>1.8023499999999998E-2</v>
      </c>
      <c r="T34">
        <f t="shared" si="7"/>
        <v>7.8880993301924677E-6</v>
      </c>
      <c r="U34">
        <f t="shared" si="8"/>
        <v>2.6227299999999999E-2</v>
      </c>
      <c r="V34">
        <f t="shared" si="9"/>
        <v>1.8023499999999998E-2</v>
      </c>
    </row>
    <row r="35" spans="1:22" x14ac:dyDescent="0.45">
      <c r="A35" t="s">
        <v>11</v>
      </c>
      <c r="B35">
        <v>34</v>
      </c>
      <c r="C35">
        <v>35</v>
      </c>
      <c r="D35">
        <v>2</v>
      </c>
      <c r="E35">
        <f t="shared" si="0"/>
        <v>8.4</v>
      </c>
      <c r="F35">
        <v>233</v>
      </c>
      <c r="G35">
        <f t="shared" si="1"/>
        <v>0.25630000000000003</v>
      </c>
      <c r="H35">
        <f t="shared" si="2"/>
        <v>146.96188670281384</v>
      </c>
      <c r="J35">
        <v>185</v>
      </c>
      <c r="K35" t="s">
        <v>29</v>
      </c>
      <c r="L35">
        <v>330</v>
      </c>
      <c r="M35">
        <f t="shared" si="3"/>
        <v>280.5</v>
      </c>
      <c r="N35">
        <v>0.21099999999999999</v>
      </c>
      <c r="O35">
        <v>0.14499999999999999</v>
      </c>
      <c r="P35">
        <v>0.20200000000000001</v>
      </c>
      <c r="Q35">
        <f t="shared" si="4"/>
        <v>6.3460171602513821E-5</v>
      </c>
      <c r="R35">
        <f t="shared" si="5"/>
        <v>5.4079300000000004E-2</v>
      </c>
      <c r="S35">
        <f t="shared" si="6"/>
        <v>3.7163500000000002E-2</v>
      </c>
      <c r="T35">
        <f t="shared" si="7"/>
        <v>1.6264841981724294E-5</v>
      </c>
      <c r="U35">
        <f t="shared" si="8"/>
        <v>0.21631720000000002</v>
      </c>
      <c r="V35">
        <f t="shared" si="9"/>
        <v>0.14865400000000001</v>
      </c>
    </row>
    <row r="36" spans="1:22" x14ac:dyDescent="0.45">
      <c r="A36" t="s">
        <v>11</v>
      </c>
      <c r="B36">
        <v>35</v>
      </c>
      <c r="C36" t="s">
        <v>43</v>
      </c>
      <c r="D36">
        <v>6</v>
      </c>
      <c r="E36">
        <f t="shared" si="0"/>
        <v>25.200000000000003</v>
      </c>
      <c r="F36">
        <v>82</v>
      </c>
      <c r="G36">
        <f t="shared" si="1"/>
        <v>9.0200000000000002E-2</v>
      </c>
      <c r="H36">
        <f t="shared" si="2"/>
        <v>440.88566010844158</v>
      </c>
      <c r="J36">
        <v>630</v>
      </c>
      <c r="K36" t="s">
        <v>29</v>
      </c>
      <c r="L36">
        <v>593</v>
      </c>
      <c r="M36">
        <f t="shared" si="3"/>
        <v>504.05</v>
      </c>
      <c r="N36">
        <v>6.2899999999999998E-2</v>
      </c>
      <c r="O36">
        <v>0.123</v>
      </c>
      <c r="P36">
        <v>0.32900000000000001</v>
      </c>
      <c r="Q36">
        <f t="shared" si="4"/>
        <v>1.033583983031042E-4</v>
      </c>
      <c r="R36">
        <f t="shared" si="5"/>
        <v>5.6735800000000001E-3</v>
      </c>
      <c r="S36">
        <f t="shared" si="6"/>
        <v>1.10946E-2</v>
      </c>
      <c r="T36">
        <f t="shared" si="7"/>
        <v>9.3229275269399984E-6</v>
      </c>
      <c r="U36">
        <f t="shared" si="8"/>
        <v>0.20424887999999999</v>
      </c>
      <c r="V36">
        <f t="shared" si="9"/>
        <v>0.39940559999999997</v>
      </c>
    </row>
    <row r="37" spans="1:22" x14ac:dyDescent="0.45">
      <c r="A37" s="4" t="s">
        <v>11</v>
      </c>
      <c r="B37" s="4" t="s">
        <v>43</v>
      </c>
      <c r="C37" s="4" t="s">
        <v>44</v>
      </c>
      <c r="D37" s="4">
        <v>6</v>
      </c>
      <c r="E37" s="4">
        <f t="shared" si="0"/>
        <v>25.200000000000003</v>
      </c>
      <c r="F37" s="4">
        <v>1136</v>
      </c>
      <c r="G37" s="4">
        <f t="shared" si="1"/>
        <v>1.2495999999999998</v>
      </c>
      <c r="H37" s="4">
        <f t="shared" si="2"/>
        <v>440.88566010844158</v>
      </c>
      <c r="J37" s="4" t="s">
        <v>46</v>
      </c>
      <c r="K37" s="4" t="s">
        <v>47</v>
      </c>
      <c r="L37" s="4">
        <v>615</v>
      </c>
      <c r="M37" s="4">
        <f>L37*0.85</f>
        <v>522.75</v>
      </c>
      <c r="N37" s="4">
        <v>0</v>
      </c>
      <c r="O37" s="4">
        <v>0</v>
      </c>
      <c r="P37" s="4">
        <v>0</v>
      </c>
      <c r="Q37" s="4">
        <f t="shared" si="4"/>
        <v>0</v>
      </c>
      <c r="R37" s="4">
        <v>3.9475999999999999E-3</v>
      </c>
      <c r="S37" s="4">
        <v>3.3340000000000002E-2</v>
      </c>
      <c r="T37" s="4">
        <v>5.4710000000000003E-5</v>
      </c>
      <c r="U37" s="4">
        <f t="shared" si="8"/>
        <v>0.14211360000000001</v>
      </c>
      <c r="V37" s="4">
        <f t="shared" si="9"/>
        <v>1.20024</v>
      </c>
    </row>
    <row r="38" spans="1:22" x14ac:dyDescent="0.45">
      <c r="A38" s="4" t="s">
        <v>11</v>
      </c>
      <c r="B38" s="4" t="s">
        <v>44</v>
      </c>
      <c r="C38" s="4" t="s">
        <v>45</v>
      </c>
      <c r="D38" s="4">
        <v>6</v>
      </c>
      <c r="E38" s="4">
        <f t="shared" si="0"/>
        <v>25.200000000000003</v>
      </c>
      <c r="F38" s="4">
        <v>4566</v>
      </c>
      <c r="G38" s="4">
        <f t="shared" ref="G38:G49" si="10">(F38+(0.1*F38))/1000</f>
        <v>5.0226000000000006</v>
      </c>
      <c r="H38" s="4">
        <f t="shared" ref="H38:H49" si="11">(E38/(SQRT(3)*33))*1000</f>
        <v>440.88566010844158</v>
      </c>
      <c r="J38" s="4" t="s">
        <v>46</v>
      </c>
      <c r="K38" s="4" t="s">
        <v>47</v>
      </c>
      <c r="L38" s="4">
        <v>615</v>
      </c>
      <c r="M38" s="4">
        <f t="shared" ref="M38" si="12">L38*0.85</f>
        <v>522.75</v>
      </c>
      <c r="N38" s="4">
        <v>0</v>
      </c>
      <c r="O38" s="4">
        <v>0</v>
      </c>
      <c r="P38" s="4">
        <v>0</v>
      </c>
      <c r="Q38" s="4">
        <f t="shared" ref="Q38:Q48" si="13">2*PI()*50*P38*10^-6</f>
        <v>0</v>
      </c>
      <c r="R38" s="4">
        <v>1.5869999999999999E-2</v>
      </c>
      <c r="S38" s="4">
        <v>0.13400000000000001</v>
      </c>
      <c r="T38" s="4">
        <v>2.2000000000000001E-4</v>
      </c>
      <c r="U38" s="4">
        <f t="shared" ref="U38:U48" si="14">R38*D38^2</f>
        <v>0.57131999999999994</v>
      </c>
      <c r="V38" s="4">
        <f t="shared" ref="V38:V48" si="15">S38*D38^2</f>
        <v>4.8239999999999998</v>
      </c>
    </row>
    <row r="39" spans="1:22" x14ac:dyDescent="0.45">
      <c r="A39" t="s">
        <v>11</v>
      </c>
      <c r="B39" t="s">
        <v>45</v>
      </c>
      <c r="C39" t="s">
        <v>6</v>
      </c>
      <c r="D39">
        <v>6</v>
      </c>
      <c r="E39">
        <f t="shared" si="0"/>
        <v>25.200000000000003</v>
      </c>
      <c r="F39">
        <v>188</v>
      </c>
      <c r="G39">
        <f t="shared" si="10"/>
        <v>0.20680000000000001</v>
      </c>
      <c r="H39">
        <f t="shared" si="11"/>
        <v>440.88566010844158</v>
      </c>
      <c r="J39">
        <v>630</v>
      </c>
      <c r="K39" t="s">
        <v>29</v>
      </c>
      <c r="L39">
        <v>593</v>
      </c>
      <c r="M39">
        <f t="shared" si="3"/>
        <v>504.05</v>
      </c>
      <c r="N39">
        <v>6.2899999999999998E-2</v>
      </c>
      <c r="O39">
        <v>0.123</v>
      </c>
      <c r="P39">
        <v>0.32900000000000001</v>
      </c>
      <c r="Q39">
        <f t="shared" si="13"/>
        <v>1.033583983031042E-4</v>
      </c>
      <c r="R39">
        <f t="shared" ref="R39:R48" si="16">N39*G39</f>
        <v>1.300772E-2</v>
      </c>
      <c r="S39">
        <f t="shared" ref="S39:S48" si="17">O39*G39</f>
        <v>2.5436400000000001E-2</v>
      </c>
      <c r="T39">
        <f t="shared" ref="T39:T48" si="18">G39*Q39</f>
        <v>2.1374516769081949E-5</v>
      </c>
      <c r="U39">
        <f t="shared" si="14"/>
        <v>0.46827792000000001</v>
      </c>
      <c r="V39">
        <f t="shared" si="15"/>
        <v>0.91571040000000004</v>
      </c>
    </row>
    <row r="40" spans="1:22" x14ac:dyDescent="0.45">
      <c r="A40" t="s">
        <v>39</v>
      </c>
      <c r="B40">
        <v>36</v>
      </c>
      <c r="C40">
        <v>37</v>
      </c>
      <c r="D40">
        <v>1</v>
      </c>
      <c r="E40">
        <f t="shared" si="0"/>
        <v>4.2</v>
      </c>
      <c r="F40">
        <v>188</v>
      </c>
      <c r="G40">
        <f t="shared" si="10"/>
        <v>0.20680000000000001</v>
      </c>
      <c r="H40">
        <f t="shared" si="11"/>
        <v>73.480943351406921</v>
      </c>
      <c r="J40">
        <v>185</v>
      </c>
      <c r="K40" t="s">
        <v>29</v>
      </c>
      <c r="L40">
        <v>330</v>
      </c>
      <c r="M40">
        <f t="shared" si="3"/>
        <v>280.5</v>
      </c>
      <c r="N40">
        <v>0.21099999999999999</v>
      </c>
      <c r="O40">
        <v>0.14499999999999999</v>
      </c>
      <c r="P40">
        <v>0.20200000000000001</v>
      </c>
      <c r="Q40">
        <f t="shared" si="13"/>
        <v>6.3460171602513821E-5</v>
      </c>
      <c r="R40">
        <f t="shared" si="16"/>
        <v>4.3634800000000001E-2</v>
      </c>
      <c r="S40">
        <f t="shared" si="17"/>
        <v>2.9985999999999999E-2</v>
      </c>
      <c r="T40">
        <f t="shared" si="18"/>
        <v>1.3123563487399859E-5</v>
      </c>
      <c r="U40">
        <f t="shared" si="14"/>
        <v>4.3634800000000001E-2</v>
      </c>
      <c r="V40">
        <f t="shared" si="15"/>
        <v>2.9985999999999999E-2</v>
      </c>
    </row>
    <row r="41" spans="1:22" x14ac:dyDescent="0.45">
      <c r="A41" t="s">
        <v>39</v>
      </c>
      <c r="B41">
        <v>37</v>
      </c>
      <c r="C41">
        <v>38</v>
      </c>
      <c r="D41">
        <v>2</v>
      </c>
      <c r="E41">
        <f t="shared" si="0"/>
        <v>8.4</v>
      </c>
      <c r="F41">
        <v>250</v>
      </c>
      <c r="G41">
        <f t="shared" si="10"/>
        <v>0.27500000000000002</v>
      </c>
      <c r="H41">
        <f t="shared" si="11"/>
        <v>146.96188670281384</v>
      </c>
      <c r="J41">
        <v>185</v>
      </c>
      <c r="K41" t="s">
        <v>29</v>
      </c>
      <c r="L41">
        <v>330</v>
      </c>
      <c r="M41">
        <f t="shared" si="3"/>
        <v>280.5</v>
      </c>
      <c r="N41">
        <v>0.21099999999999999</v>
      </c>
      <c r="O41">
        <v>0.14499999999999999</v>
      </c>
      <c r="P41">
        <v>0.20200000000000001</v>
      </c>
      <c r="Q41">
        <f t="shared" si="13"/>
        <v>6.3460171602513821E-5</v>
      </c>
      <c r="R41">
        <f t="shared" si="16"/>
        <v>5.8025E-2</v>
      </c>
      <c r="S41">
        <f t="shared" si="17"/>
        <v>3.9875000000000001E-2</v>
      </c>
      <c r="T41">
        <f t="shared" si="18"/>
        <v>1.7451547190691303E-5</v>
      </c>
      <c r="U41">
        <f t="shared" si="14"/>
        <v>0.2321</v>
      </c>
      <c r="V41">
        <f t="shared" si="15"/>
        <v>0.1595</v>
      </c>
    </row>
    <row r="42" spans="1:22" x14ac:dyDescent="0.45">
      <c r="A42" t="s">
        <v>39</v>
      </c>
      <c r="B42">
        <v>38</v>
      </c>
      <c r="C42">
        <v>39</v>
      </c>
      <c r="D42">
        <v>3</v>
      </c>
      <c r="E42">
        <f t="shared" si="0"/>
        <v>12.600000000000001</v>
      </c>
      <c r="F42">
        <v>282</v>
      </c>
      <c r="G42">
        <f t="shared" si="10"/>
        <v>0.31019999999999998</v>
      </c>
      <c r="H42">
        <f t="shared" si="11"/>
        <v>220.44283005422079</v>
      </c>
      <c r="J42">
        <v>185</v>
      </c>
      <c r="K42" t="s">
        <v>29</v>
      </c>
      <c r="L42">
        <v>330</v>
      </c>
      <c r="M42">
        <f t="shared" si="3"/>
        <v>280.5</v>
      </c>
      <c r="N42">
        <v>0.21099999999999999</v>
      </c>
      <c r="O42">
        <v>0.14499999999999999</v>
      </c>
      <c r="P42">
        <v>0.20200000000000001</v>
      </c>
      <c r="Q42">
        <f t="shared" si="13"/>
        <v>6.3460171602513821E-5</v>
      </c>
      <c r="R42">
        <f t="shared" si="16"/>
        <v>6.5452199999999988E-2</v>
      </c>
      <c r="S42">
        <f t="shared" si="17"/>
        <v>4.4978999999999991E-2</v>
      </c>
      <c r="T42">
        <f t="shared" si="18"/>
        <v>1.9685345231099786E-5</v>
      </c>
      <c r="U42">
        <f t="shared" si="14"/>
        <v>0.58906979999999987</v>
      </c>
      <c r="V42">
        <f t="shared" si="15"/>
        <v>0.40481099999999992</v>
      </c>
    </row>
    <row r="43" spans="1:22" x14ac:dyDescent="0.45">
      <c r="A43" t="s">
        <v>39</v>
      </c>
      <c r="B43">
        <v>39</v>
      </c>
      <c r="C43">
        <v>40</v>
      </c>
      <c r="D43">
        <v>4</v>
      </c>
      <c r="E43">
        <f t="shared" si="0"/>
        <v>16.8</v>
      </c>
      <c r="F43">
        <v>266</v>
      </c>
      <c r="G43">
        <f t="shared" si="10"/>
        <v>0.29260000000000003</v>
      </c>
      <c r="H43">
        <f t="shared" si="11"/>
        <v>293.92377340562768</v>
      </c>
      <c r="J43">
        <v>300</v>
      </c>
      <c r="K43" t="s">
        <v>29</v>
      </c>
      <c r="L43">
        <v>421</v>
      </c>
      <c r="M43">
        <f t="shared" si="3"/>
        <v>357.84999999999997</v>
      </c>
      <c r="N43">
        <v>0.129</v>
      </c>
      <c r="O43">
        <v>0.13600000000000001</v>
      </c>
      <c r="P43">
        <v>0.24199999999999999</v>
      </c>
      <c r="Q43">
        <f t="shared" si="13"/>
        <v>7.6026542216872997E-5</v>
      </c>
      <c r="R43">
        <f t="shared" si="16"/>
        <v>3.7745400000000005E-2</v>
      </c>
      <c r="S43">
        <f t="shared" si="17"/>
        <v>3.9793600000000005E-2</v>
      </c>
      <c r="T43">
        <f t="shared" si="18"/>
        <v>2.2245366252657042E-5</v>
      </c>
      <c r="U43">
        <f t="shared" si="14"/>
        <v>0.60392640000000009</v>
      </c>
      <c r="V43">
        <f t="shared" si="15"/>
        <v>0.63669760000000009</v>
      </c>
    </row>
    <row r="44" spans="1:22" x14ac:dyDescent="0.45">
      <c r="A44" t="s">
        <v>39</v>
      </c>
      <c r="B44">
        <v>40</v>
      </c>
      <c r="C44">
        <v>41</v>
      </c>
      <c r="D44">
        <v>5</v>
      </c>
      <c r="E44">
        <f t="shared" si="0"/>
        <v>21</v>
      </c>
      <c r="F44">
        <v>902</v>
      </c>
      <c r="G44">
        <f t="shared" si="10"/>
        <v>0.99220000000000008</v>
      </c>
      <c r="H44">
        <f t="shared" si="11"/>
        <v>367.40471675703463</v>
      </c>
      <c r="J44">
        <v>400</v>
      </c>
      <c r="K44" t="s">
        <v>29</v>
      </c>
      <c r="L44">
        <v>475</v>
      </c>
      <c r="M44">
        <f t="shared" si="3"/>
        <v>403.75</v>
      </c>
      <c r="N44">
        <v>0.10100000000000001</v>
      </c>
      <c r="O44">
        <v>0.13100000000000001</v>
      </c>
      <c r="P44">
        <v>0.26700000000000002</v>
      </c>
      <c r="Q44">
        <f t="shared" si="13"/>
        <v>8.3880523850847483E-5</v>
      </c>
      <c r="R44">
        <f t="shared" si="16"/>
        <v>0.10021220000000002</v>
      </c>
      <c r="S44">
        <f t="shared" si="17"/>
        <v>0.12997820000000002</v>
      </c>
      <c r="T44">
        <f t="shared" si="18"/>
        <v>8.322625576481088E-5</v>
      </c>
      <c r="U44">
        <f t="shared" si="14"/>
        <v>2.5053050000000003</v>
      </c>
      <c r="V44">
        <f t="shared" si="15"/>
        <v>3.2494550000000002</v>
      </c>
    </row>
    <row r="45" spans="1:22" x14ac:dyDescent="0.45">
      <c r="A45" t="s">
        <v>39</v>
      </c>
      <c r="B45">
        <v>41</v>
      </c>
      <c r="C45">
        <v>42</v>
      </c>
      <c r="D45">
        <v>6</v>
      </c>
      <c r="E45">
        <f t="shared" si="0"/>
        <v>25.200000000000003</v>
      </c>
      <c r="F45">
        <v>191</v>
      </c>
      <c r="G45">
        <f t="shared" si="10"/>
        <v>0.21009999999999998</v>
      </c>
      <c r="H45">
        <f t="shared" si="11"/>
        <v>440.88566010844158</v>
      </c>
      <c r="J45">
        <v>630</v>
      </c>
      <c r="K45" t="s">
        <v>29</v>
      </c>
      <c r="L45">
        <v>593</v>
      </c>
      <c r="M45">
        <f t="shared" si="3"/>
        <v>504.05</v>
      </c>
      <c r="N45">
        <v>6.2899999999999998E-2</v>
      </c>
      <c r="O45">
        <v>0.123</v>
      </c>
      <c r="P45">
        <v>0.32900000000000001</v>
      </c>
      <c r="Q45">
        <f t="shared" si="13"/>
        <v>1.033583983031042E-4</v>
      </c>
      <c r="R45">
        <f t="shared" si="16"/>
        <v>1.3215289999999998E-2</v>
      </c>
      <c r="S45">
        <f t="shared" si="17"/>
        <v>2.5842299999999999E-2</v>
      </c>
      <c r="T45">
        <f t="shared" si="18"/>
        <v>2.1715599483482191E-5</v>
      </c>
      <c r="U45">
        <f t="shared" si="14"/>
        <v>0.47575043999999989</v>
      </c>
      <c r="V45">
        <f t="shared" si="15"/>
        <v>0.93032279999999989</v>
      </c>
    </row>
    <row r="46" spans="1:22" x14ac:dyDescent="0.45">
      <c r="A46" t="s">
        <v>39</v>
      </c>
      <c r="B46">
        <v>42</v>
      </c>
      <c r="C46" t="s">
        <v>44</v>
      </c>
      <c r="D46">
        <v>7</v>
      </c>
      <c r="E46">
        <f t="shared" si="0"/>
        <v>29.400000000000002</v>
      </c>
      <c r="F46">
        <v>16</v>
      </c>
      <c r="G46">
        <f t="shared" si="10"/>
        <v>1.7600000000000001E-2</v>
      </c>
      <c r="H46">
        <f t="shared" si="11"/>
        <v>514.36660345984853</v>
      </c>
      <c r="J46">
        <v>800</v>
      </c>
      <c r="K46" t="s">
        <v>29</v>
      </c>
      <c r="L46">
        <v>654</v>
      </c>
      <c r="M46">
        <f t="shared" si="3"/>
        <v>555.9</v>
      </c>
      <c r="N46">
        <v>5.0700000000000002E-2</v>
      </c>
      <c r="O46">
        <v>0.11899999999999999</v>
      </c>
      <c r="P46">
        <v>0.36599999999999999</v>
      </c>
      <c r="Q46">
        <f t="shared" si="13"/>
        <v>1.1498229112138642E-4</v>
      </c>
      <c r="R46">
        <f t="shared" si="16"/>
        <v>8.9232000000000005E-4</v>
      </c>
      <c r="S46">
        <f t="shared" si="17"/>
        <v>2.0944000000000002E-3</v>
      </c>
      <c r="T46">
        <f t="shared" si="18"/>
        <v>2.023688323736401E-6</v>
      </c>
      <c r="U46">
        <f t="shared" si="14"/>
        <v>4.3723680000000001E-2</v>
      </c>
      <c r="V46">
        <f t="shared" si="15"/>
        <v>0.10262560000000001</v>
      </c>
    </row>
    <row r="47" spans="1:22" x14ac:dyDescent="0.45">
      <c r="A47" s="4" t="s">
        <v>39</v>
      </c>
      <c r="B47" s="4" t="s">
        <v>44</v>
      </c>
      <c r="C47" s="4" t="s">
        <v>45</v>
      </c>
      <c r="D47" s="4">
        <v>7</v>
      </c>
      <c r="E47" s="4">
        <f t="shared" si="0"/>
        <v>29.400000000000002</v>
      </c>
      <c r="F47" s="4">
        <v>4566</v>
      </c>
      <c r="G47" s="4">
        <f t="shared" si="10"/>
        <v>5.0226000000000006</v>
      </c>
      <c r="H47" s="4">
        <f t="shared" si="11"/>
        <v>514.36660345984853</v>
      </c>
      <c r="J47" s="4" t="s">
        <v>46</v>
      </c>
      <c r="K47" s="4" t="s">
        <v>47</v>
      </c>
      <c r="L47" s="4">
        <v>615</v>
      </c>
      <c r="M47" s="4">
        <f t="shared" ref="M47" si="19">L47*0.85</f>
        <v>522.75</v>
      </c>
      <c r="N47" s="4">
        <v>0</v>
      </c>
      <c r="O47" s="4">
        <v>0</v>
      </c>
      <c r="P47" s="4">
        <v>0</v>
      </c>
      <c r="Q47" s="4">
        <f t="shared" si="13"/>
        <v>0</v>
      </c>
      <c r="R47" s="4">
        <v>1.5900000000000001E-2</v>
      </c>
      <c r="S47" s="4">
        <v>0.13400000000000001</v>
      </c>
      <c r="T47" s="4">
        <v>2.2000000000000001E-4</v>
      </c>
      <c r="U47" s="4">
        <f t="shared" si="14"/>
        <v>0.77910000000000001</v>
      </c>
      <c r="V47" s="4">
        <f t="shared" si="15"/>
        <v>6.5660000000000007</v>
      </c>
    </row>
    <row r="48" spans="1:22" x14ac:dyDescent="0.45">
      <c r="A48" t="s">
        <v>39</v>
      </c>
      <c r="B48" t="s">
        <v>45</v>
      </c>
      <c r="C48" t="s">
        <v>6</v>
      </c>
      <c r="D48">
        <v>7</v>
      </c>
      <c r="E48">
        <f t="shared" si="0"/>
        <v>29.400000000000002</v>
      </c>
      <c r="F48">
        <v>188</v>
      </c>
      <c r="G48">
        <f t="shared" si="10"/>
        <v>0.20680000000000001</v>
      </c>
      <c r="H48">
        <f t="shared" si="11"/>
        <v>514.36660345984853</v>
      </c>
      <c r="J48">
        <v>800</v>
      </c>
      <c r="K48" t="s">
        <v>29</v>
      </c>
      <c r="L48">
        <v>654</v>
      </c>
      <c r="M48">
        <f t="shared" si="3"/>
        <v>555.9</v>
      </c>
      <c r="N48">
        <v>5.0700000000000002E-2</v>
      </c>
      <c r="O48">
        <v>0.11899999999999999</v>
      </c>
      <c r="P48">
        <v>0.36599999999999999</v>
      </c>
      <c r="Q48">
        <f t="shared" si="13"/>
        <v>1.1498229112138642E-4</v>
      </c>
      <c r="R48">
        <f t="shared" si="16"/>
        <v>1.0484760000000001E-2</v>
      </c>
      <c r="S48">
        <f t="shared" si="17"/>
        <v>2.4609200000000001E-2</v>
      </c>
      <c r="T48">
        <f t="shared" si="18"/>
        <v>2.3778337803902711E-5</v>
      </c>
      <c r="U48">
        <f t="shared" si="14"/>
        <v>0.51375324</v>
      </c>
      <c r="V48">
        <f t="shared" si="15"/>
        <v>1.2058508000000001</v>
      </c>
    </row>
    <row r="49" spans="1:23" ht="28.5" x14ac:dyDescent="0.45">
      <c r="A49" s="3" t="s">
        <v>42</v>
      </c>
      <c r="B49" s="2" t="s">
        <v>1</v>
      </c>
      <c r="C49" s="2" t="s">
        <v>41</v>
      </c>
      <c r="D49" s="2">
        <v>42</v>
      </c>
      <c r="E49" s="2">
        <f t="shared" si="0"/>
        <v>176.4</v>
      </c>
      <c r="F49" s="2">
        <v>1175</v>
      </c>
      <c r="G49" s="2">
        <f t="shared" si="10"/>
        <v>1.2925</v>
      </c>
      <c r="H49" s="2">
        <f t="shared" si="11"/>
        <v>3086.199620759091</v>
      </c>
      <c r="I49" s="2"/>
      <c r="J49" s="2">
        <v>1000</v>
      </c>
      <c r="K49" s="2" t="s">
        <v>29</v>
      </c>
      <c r="L49" s="2">
        <v>733</v>
      </c>
      <c r="M49" s="2">
        <f t="shared" si="3"/>
        <v>623.04999999999995</v>
      </c>
      <c r="N49" s="2">
        <v>3.9E-2</v>
      </c>
      <c r="O49" s="2">
        <v>0.115</v>
      </c>
      <c r="P49" s="2">
        <v>0.42699999999999999</v>
      </c>
      <c r="Q49" s="2">
        <f>2*PI()*50*P49*10^-6</f>
        <v>1.3414600630828416E-4</v>
      </c>
      <c r="R49" s="2">
        <f>N49*G49</f>
        <v>5.0407500000000001E-2</v>
      </c>
      <c r="S49" s="2">
        <f>O49*G49</f>
        <v>0.14863750000000001</v>
      </c>
      <c r="T49" s="2">
        <f>G49*Q49</f>
        <v>1.7338371315345728E-4</v>
      </c>
      <c r="U49" s="2"/>
      <c r="V49" s="2"/>
      <c r="W49" s="2">
        <f>H49/4</f>
        <v>771.54990518977274</v>
      </c>
    </row>
    <row r="50" spans="1:23" x14ac:dyDescent="0.45">
      <c r="S50" t="s">
        <v>5</v>
      </c>
      <c r="T50">
        <f>SUM(T2:T48)</f>
        <v>1.6429537268346842E-3</v>
      </c>
      <c r="U50">
        <f t="shared" ref="U50:V50" si="20">SUM(U2:U48)</f>
        <v>26.364571449999985</v>
      </c>
      <c r="V50">
        <f t="shared" si="20"/>
        <v>49.484075000000011</v>
      </c>
    </row>
  </sheetData>
  <autoFilter ref="A1:Z50" xr:uid="{9CD896CC-7C7A-4E43-ADB3-ECA52027292C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2F3E-5D08-4D98-8B39-5E1AA2B95044}">
  <dimension ref="A1:J7"/>
  <sheetViews>
    <sheetView workbookViewId="0">
      <selection activeCell="I1" sqref="I1"/>
    </sheetView>
  </sheetViews>
  <sheetFormatPr defaultRowHeight="14.25" x14ac:dyDescent="0.45"/>
  <cols>
    <col min="1" max="2" width="19.796875" customWidth="1"/>
    <col min="3" max="3" width="18.46484375" customWidth="1"/>
    <col min="4" max="4" width="28.19921875" customWidth="1"/>
    <col min="7" max="7" width="11.6640625" customWidth="1"/>
    <col min="9" max="9" width="10.265625" customWidth="1"/>
    <col min="10" max="10" width="10.53125" customWidth="1"/>
  </cols>
  <sheetData>
    <row r="1" spans="1:10" ht="30.4" customHeight="1" thickBot="1" x14ac:dyDescent="0.55000000000000004">
      <c r="A1" s="5" t="s">
        <v>19</v>
      </c>
      <c r="B1" s="5" t="s">
        <v>20</v>
      </c>
      <c r="C1" s="5" t="s">
        <v>35</v>
      </c>
      <c r="D1" s="5" t="s">
        <v>36</v>
      </c>
      <c r="E1" s="5" t="s">
        <v>22</v>
      </c>
      <c r="F1" s="5" t="s">
        <v>23</v>
      </c>
      <c r="G1" s="5" t="s">
        <v>37</v>
      </c>
      <c r="H1" s="5" t="s">
        <v>24</v>
      </c>
      <c r="I1" s="16" t="s">
        <v>60</v>
      </c>
      <c r="J1" s="16" t="s">
        <v>61</v>
      </c>
    </row>
    <row r="2" spans="1:10" ht="14.65" thickTop="1" x14ac:dyDescent="0.45">
      <c r="A2">
        <v>185</v>
      </c>
      <c r="B2" t="s">
        <v>29</v>
      </c>
      <c r="C2">
        <v>330</v>
      </c>
      <c r="D2">
        <f>0.85*C2</f>
        <v>280.5</v>
      </c>
      <c r="E2">
        <v>0.21099999999999999</v>
      </c>
      <c r="F2">
        <v>0.14499999999999999</v>
      </c>
      <c r="G2">
        <v>0.20200000000000001</v>
      </c>
      <c r="H2">
        <f>2*PI()*50*G2*10^-6</f>
        <v>6.3460171602513821E-5</v>
      </c>
      <c r="I2">
        <v>0.42799999999999999</v>
      </c>
      <c r="J2">
        <v>7.0300000000000001E-2</v>
      </c>
    </row>
    <row r="3" spans="1:10" x14ac:dyDescent="0.45">
      <c r="A3">
        <v>240</v>
      </c>
      <c r="B3" t="s">
        <v>29</v>
      </c>
      <c r="H3">
        <f t="shared" ref="H3:H7" si="0">2*PI()*50*G3*10^-6</f>
        <v>0</v>
      </c>
    </row>
    <row r="4" spans="1:10" x14ac:dyDescent="0.45">
      <c r="A4">
        <v>300</v>
      </c>
      <c r="B4" t="s">
        <v>29</v>
      </c>
      <c r="C4">
        <v>421</v>
      </c>
      <c r="D4">
        <f t="shared" ref="D4:D7" si="1">0.85*C4</f>
        <v>357.84999999999997</v>
      </c>
      <c r="E4">
        <v>0.129</v>
      </c>
      <c r="F4">
        <v>0.13600000000000001</v>
      </c>
      <c r="G4">
        <v>0.24199999999999999</v>
      </c>
      <c r="H4">
        <f t="shared" si="0"/>
        <v>7.6026542216872997E-5</v>
      </c>
      <c r="I4">
        <v>0.36399999999999999</v>
      </c>
      <c r="J4">
        <v>6.2199999999999998E-2</v>
      </c>
    </row>
    <row r="5" spans="1:10" x14ac:dyDescent="0.45">
      <c r="A5">
        <v>400</v>
      </c>
      <c r="B5" t="s">
        <v>29</v>
      </c>
      <c r="C5">
        <v>475</v>
      </c>
      <c r="D5">
        <f t="shared" si="1"/>
        <v>403.75</v>
      </c>
      <c r="E5">
        <v>0.10100000000000001</v>
      </c>
      <c r="F5">
        <v>0.13100000000000001</v>
      </c>
      <c r="G5">
        <v>0.26700000000000002</v>
      </c>
      <c r="H5">
        <f t="shared" si="0"/>
        <v>8.3880523850847483E-5</v>
      </c>
      <c r="I5">
        <v>0.34200000000000003</v>
      </c>
      <c r="J5">
        <v>5.7299999999999997E-2</v>
      </c>
    </row>
    <row r="6" spans="1:10" x14ac:dyDescent="0.45">
      <c r="A6">
        <v>630</v>
      </c>
      <c r="B6" t="s">
        <v>29</v>
      </c>
      <c r="C6">
        <v>593</v>
      </c>
      <c r="D6">
        <f t="shared" si="1"/>
        <v>504.05</v>
      </c>
      <c r="E6">
        <v>6.2899999999999998E-2</v>
      </c>
      <c r="F6">
        <v>0.123</v>
      </c>
      <c r="G6">
        <v>0.32900000000000001</v>
      </c>
      <c r="H6">
        <f t="shared" si="0"/>
        <v>1.033583983031042E-4</v>
      </c>
      <c r="I6">
        <v>0.312</v>
      </c>
      <c r="J6">
        <v>5.04E-2</v>
      </c>
    </row>
    <row r="7" spans="1:10" x14ac:dyDescent="0.45">
      <c r="A7">
        <v>800</v>
      </c>
      <c r="B7" t="s">
        <v>29</v>
      </c>
      <c r="C7">
        <v>654</v>
      </c>
      <c r="D7">
        <f t="shared" si="1"/>
        <v>555.9</v>
      </c>
      <c r="E7">
        <v>5.0700000000000002E-2</v>
      </c>
      <c r="F7">
        <v>0.11899999999999999</v>
      </c>
      <c r="G7">
        <v>0.36599999999999999</v>
      </c>
      <c r="H7">
        <f t="shared" si="0"/>
        <v>1.1498229112138642E-4</v>
      </c>
      <c r="I7">
        <v>0.30099999999999999</v>
      </c>
      <c r="J7">
        <v>4.7E-2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6BD5-1579-4F95-A3D6-EAD392D056E5}">
  <dimension ref="A1:AH38"/>
  <sheetViews>
    <sheetView tabSelected="1" topLeftCell="L1" workbookViewId="0">
      <selection activeCell="AC2" sqref="AC2"/>
    </sheetView>
  </sheetViews>
  <sheetFormatPr defaultRowHeight="14.25" x14ac:dyDescent="0.45"/>
  <cols>
    <col min="1" max="1" width="9.1328125" style="8"/>
    <col min="4" max="4" width="18.3984375" customWidth="1"/>
    <col min="6" max="6" width="13.6640625" customWidth="1"/>
    <col min="9" max="9" width="11.3984375" bestFit="1" customWidth="1"/>
  </cols>
  <sheetData>
    <row r="1" spans="1:34" ht="32.25" customHeight="1" thickBot="1" x14ac:dyDescent="0.55000000000000004">
      <c r="A1" s="5" t="s">
        <v>0</v>
      </c>
      <c r="B1" s="5" t="s">
        <v>12</v>
      </c>
      <c r="C1" s="5" t="s">
        <v>13</v>
      </c>
      <c r="D1" s="13" t="s">
        <v>15</v>
      </c>
      <c r="E1" s="5" t="s">
        <v>16</v>
      </c>
      <c r="F1" s="5" t="s">
        <v>14</v>
      </c>
      <c r="G1" s="5" t="s">
        <v>21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35</v>
      </c>
      <c r="M1" s="5" t="s">
        <v>36</v>
      </c>
      <c r="N1" s="13" t="s">
        <v>54</v>
      </c>
      <c r="O1" s="13" t="s">
        <v>55</v>
      </c>
      <c r="P1" s="5" t="s">
        <v>37</v>
      </c>
      <c r="Q1" s="5" t="s">
        <v>24</v>
      </c>
      <c r="R1" s="13" t="s">
        <v>56</v>
      </c>
      <c r="S1" s="13" t="s">
        <v>57</v>
      </c>
      <c r="T1" s="5" t="s">
        <v>27</v>
      </c>
      <c r="U1" s="5" t="s">
        <v>58</v>
      </c>
      <c r="V1" s="5" t="s">
        <v>59</v>
      </c>
      <c r="W1" s="5" t="s">
        <v>53</v>
      </c>
      <c r="X1" s="13" t="s">
        <v>60</v>
      </c>
      <c r="Y1" s="13" t="s">
        <v>61</v>
      </c>
      <c r="Z1" s="13" t="s">
        <v>62</v>
      </c>
      <c r="AA1" s="13" t="s">
        <v>63</v>
      </c>
      <c r="AB1" s="5" t="s">
        <v>64</v>
      </c>
      <c r="AC1" s="5" t="s">
        <v>65</v>
      </c>
    </row>
    <row r="2" spans="1:34" ht="14.65" thickTop="1" x14ac:dyDescent="0.45">
      <c r="A2" s="9" t="s">
        <v>7</v>
      </c>
      <c r="B2">
        <v>1</v>
      </c>
      <c r="C2">
        <v>2</v>
      </c>
      <c r="D2">
        <v>1</v>
      </c>
      <c r="E2">
        <f>D2*4.2</f>
        <v>4.2</v>
      </c>
      <c r="F2">
        <v>15</v>
      </c>
      <c r="G2">
        <f>(F2+(0.1*F2))/1000</f>
        <v>1.6500000000000001E-2</v>
      </c>
      <c r="H2">
        <f>(E2/(SQRT(3)*33))*1000</f>
        <v>73.480943351406921</v>
      </c>
      <c r="I2" t="s">
        <v>28</v>
      </c>
      <c r="J2">
        <v>185</v>
      </c>
      <c r="K2" t="s">
        <v>29</v>
      </c>
      <c r="L2">
        <f>_xlfn.XLOOKUP(J2&amp;K2,CableTyp[Cable size(mm^2)] &amp;CableTyp[Type],CableTyp[Imax(in grnd)(A)])</f>
        <v>330</v>
      </c>
      <c r="M2" cm="1">
        <f t="array" ref="M2">_xlfn.SINGLE(_xlfn.XLOOKUP(J2&amp;K2,CableTyp[Cable size(mm^2)] &amp;CableTyp[Type],CableTyp[Imax(in grnd)(A) at 0.85DF]))</f>
        <v>280.5</v>
      </c>
      <c r="N2" cm="1">
        <f t="array" ref="N2">_xlfn.SINGLE(_xlfn.XLOOKUP(J2&amp;K2,CableTyp[Cable size(mm^2)] &amp;CableTyp[Type],CableTyp[R
(ohms/km)]))</f>
        <v>0.21099999999999999</v>
      </c>
      <c r="O2" cm="1">
        <f t="array" ref="O2">_xlfn.SINGLE(_xlfn.XLOOKUP(J2&amp;K2,CableTyp[Cable size(mm^2)] &amp;CableTyp[Type],CableTyp[X
(ohms/km)]))</f>
        <v>0.14499999999999999</v>
      </c>
      <c r="P2" cm="1">
        <f t="array" ref="P2">_xlfn.SINGLE(_xlfn.XLOOKUP(J2&amp;K2,CableTyp[Cable size(mm^2)] &amp;CableTyp[Type],CableTyp[C(uF/km)]))</f>
        <v>0.20200000000000001</v>
      </c>
      <c r="Q2">
        <f>2*PI()*50*P2*10^-6</f>
        <v>6.3460171602513821E-5</v>
      </c>
      <c r="R2">
        <f>N2*G2</f>
        <v>3.4815000000000002E-3</v>
      </c>
      <c r="S2">
        <f>O2*G2</f>
        <v>2.3925000000000001E-3</v>
      </c>
      <c r="T2">
        <f>G2*Q2</f>
        <v>1.0470928314414781E-6</v>
      </c>
      <c r="U2">
        <f>R2*D2^2</f>
        <v>3.4815000000000002E-3</v>
      </c>
      <c r="V2">
        <f>S2*D2^2</f>
        <v>2.3925000000000001E-3</v>
      </c>
      <c r="W2">
        <f>MATCH(Q2,CableTyp[B
(ohms/km)],0)</f>
        <v>1</v>
      </c>
      <c r="X2" cm="1">
        <f t="array" ref="X2">_xlfn.SINGLE(_xlfn.XLOOKUP(J2&amp;K2,CableTyp[Cable size(mm^2)] &amp;CableTyp[Type],CableTyp[R0
(ohms/km)]))</f>
        <v>0.42799999999999999</v>
      </c>
      <c r="Y2" cm="1">
        <f t="array" ref="Y2">_xlfn.SINGLE(_xlfn.XLOOKUP(J2&amp;K2,CableTyp[Cable size(mm^2)] &amp;CableTyp[Type],CableTyp[X0
(ohms/km)]))</f>
        <v>7.0300000000000001E-2</v>
      </c>
      <c r="Z2">
        <f>X2*G2</f>
        <v>7.0620000000000006E-3</v>
      </c>
      <c r="AA2">
        <f>Y2*G2</f>
        <v>1.1599500000000001E-3</v>
      </c>
      <c r="AB2">
        <f>Z2*D2^2</f>
        <v>7.0620000000000006E-3</v>
      </c>
      <c r="AC2">
        <f>AA2*D2^2</f>
        <v>1.1599500000000001E-3</v>
      </c>
    </row>
    <row r="3" spans="1:34" x14ac:dyDescent="0.45">
      <c r="A3" s="9" t="s">
        <v>7</v>
      </c>
      <c r="B3">
        <v>2</v>
      </c>
      <c r="C3">
        <v>3</v>
      </c>
      <c r="D3">
        <v>2</v>
      </c>
      <c r="E3">
        <f t="shared" ref="E3:E37" si="0">D3*4.2</f>
        <v>8.4</v>
      </c>
      <c r="F3">
        <v>233</v>
      </c>
      <c r="G3">
        <f t="shared" ref="G3:G37" si="1">(F3+(0.1*F3))/1000</f>
        <v>0.25630000000000003</v>
      </c>
      <c r="H3">
        <f t="shared" ref="H3:H37" si="2">(E3/(SQRT(3)*33))*1000</f>
        <v>146.96188670281384</v>
      </c>
      <c r="I3" t="s">
        <v>28</v>
      </c>
      <c r="J3">
        <v>185</v>
      </c>
      <c r="K3" t="s">
        <v>29</v>
      </c>
      <c r="L3">
        <f>_xlfn.XLOOKUP(J3&amp;K3,CableTyp[Cable size(mm^2)] &amp;CableTyp[Type],CableTyp[Imax(in grnd)(A)])</f>
        <v>330</v>
      </c>
      <c r="M3" cm="1">
        <f t="array" ref="M3">_xlfn.SINGLE(_xlfn.XLOOKUP(J3&amp;K3,CableTyp[Cable size(mm^2)] &amp;CableTyp[Type],CableTyp[Imax(in grnd)(A) at 0.85DF]))</f>
        <v>280.5</v>
      </c>
      <c r="N3" cm="1">
        <f t="array" ref="N3">_xlfn.SINGLE(_xlfn.XLOOKUP(J3&amp;K3,CableTyp[Cable size(mm^2)] &amp;CableTyp[Type],CableTyp[R
(ohms/km)]))</f>
        <v>0.21099999999999999</v>
      </c>
      <c r="O3" cm="1">
        <f t="array" ref="O3">_xlfn.SINGLE(_xlfn.XLOOKUP(J3&amp;K3,CableTyp[Cable size(mm^2)] &amp;CableTyp[Type],CableTyp[X
(ohms/km)]))</f>
        <v>0.14499999999999999</v>
      </c>
      <c r="P3" cm="1">
        <f t="array" ref="P3">_xlfn.SINGLE(_xlfn.XLOOKUP(J3&amp;K3,CableTyp[Cable size(mm^2)] &amp;CableTyp[Type],CableTyp[C(uF/km)]))</f>
        <v>0.20200000000000001</v>
      </c>
      <c r="Q3">
        <f t="shared" ref="Q3:Q37" si="3">2*PI()*50*P3*10^-6</f>
        <v>6.3460171602513821E-5</v>
      </c>
      <c r="R3">
        <f>N3*G3</f>
        <v>5.4079300000000004E-2</v>
      </c>
      <c r="S3">
        <f>O3*G3</f>
        <v>3.7163500000000002E-2</v>
      </c>
      <c r="T3">
        <f>G3*Q3</f>
        <v>1.6264841981724294E-5</v>
      </c>
      <c r="U3">
        <f>R3*D3^2</f>
        <v>0.21631720000000002</v>
      </c>
      <c r="V3">
        <f>S3*D3^2</f>
        <v>0.14865400000000001</v>
      </c>
      <c r="W3">
        <f>MATCH(Q3,CableTyp[B
(ohms/km)],0)</f>
        <v>1</v>
      </c>
      <c r="X3" cm="1">
        <f t="array" ref="X3">_xlfn.SINGLE(_xlfn.XLOOKUP(J3&amp;K3,CableTyp[Cable size(mm^2)] &amp;CableTyp[Type],CableTyp[R0
(ohms/km)]))</f>
        <v>0.42799999999999999</v>
      </c>
      <c r="Y3" cm="1">
        <f t="array" ref="Y3">_xlfn.SINGLE(_xlfn.XLOOKUP(J3&amp;K3,CableTyp[Cable size(mm^2)] &amp;CableTyp[Type],CableTyp[X0
(ohms/km)]))</f>
        <v>7.0300000000000001E-2</v>
      </c>
      <c r="Z3">
        <f t="shared" ref="Z3:Z37" si="4">X3*G3</f>
        <v>0.10969640000000001</v>
      </c>
      <c r="AA3">
        <f t="shared" ref="AA3:AA37" si="5">Y3*G3</f>
        <v>1.8017890000000002E-2</v>
      </c>
      <c r="AB3">
        <f t="shared" ref="AB3:AB37" si="6">Z3*D3^2</f>
        <v>0.43878560000000005</v>
      </c>
      <c r="AC3">
        <f t="shared" ref="AC3:AC37" si="7">AA3*D3^2</f>
        <v>7.2071560000000007E-2</v>
      </c>
    </row>
    <row r="4" spans="1:34" x14ac:dyDescent="0.45">
      <c r="A4" s="9" t="s">
        <v>7</v>
      </c>
      <c r="B4">
        <v>4</v>
      </c>
      <c r="C4">
        <v>3</v>
      </c>
      <c r="D4">
        <v>1</v>
      </c>
      <c r="E4">
        <f t="shared" si="0"/>
        <v>4.2</v>
      </c>
      <c r="F4">
        <v>15</v>
      </c>
      <c r="G4">
        <f t="shared" si="1"/>
        <v>1.6500000000000001E-2</v>
      </c>
      <c r="H4">
        <f t="shared" si="2"/>
        <v>73.480943351406921</v>
      </c>
      <c r="I4" t="s">
        <v>28</v>
      </c>
      <c r="J4">
        <v>185</v>
      </c>
      <c r="K4" t="s">
        <v>29</v>
      </c>
      <c r="L4">
        <f>_xlfn.XLOOKUP(J4&amp;K4,CableTyp[Cable size(mm^2)] &amp;CableTyp[Type],CableTyp[Imax(in grnd)(A)])</f>
        <v>330</v>
      </c>
      <c r="M4" cm="1">
        <f t="array" ref="M4">_xlfn.SINGLE(_xlfn.XLOOKUP(J4&amp;K4,CableTyp[Cable size(mm^2)] &amp;CableTyp[Type],CableTyp[Imax(in grnd)(A) at 0.85DF]))</f>
        <v>280.5</v>
      </c>
      <c r="N4" cm="1">
        <f t="array" ref="N4">_xlfn.SINGLE(_xlfn.XLOOKUP(J4&amp;K4,CableTyp[Cable size(mm^2)] &amp;CableTyp[Type],CableTyp[R
(ohms/km)]))</f>
        <v>0.21099999999999999</v>
      </c>
      <c r="O4" cm="1">
        <f t="array" ref="O4">_xlfn.SINGLE(_xlfn.XLOOKUP(J4&amp;K4,CableTyp[Cable size(mm^2)] &amp;CableTyp[Type],CableTyp[X
(ohms/km)]))</f>
        <v>0.14499999999999999</v>
      </c>
      <c r="P4" cm="1">
        <f t="array" ref="P4">_xlfn.SINGLE(_xlfn.XLOOKUP(J4&amp;K4,CableTyp[Cable size(mm^2)] &amp;CableTyp[Type],CableTyp[C(uF/km)]))</f>
        <v>0.20200000000000001</v>
      </c>
      <c r="Q4">
        <f t="shared" si="3"/>
        <v>6.3460171602513821E-5</v>
      </c>
      <c r="R4">
        <f t="shared" ref="R4:R31" si="8">N4*G4</f>
        <v>3.4815000000000002E-3</v>
      </c>
      <c r="S4">
        <f t="shared" ref="S4:S31" si="9">O4*G4</f>
        <v>2.3925000000000001E-3</v>
      </c>
      <c r="T4">
        <f t="shared" ref="T4:T31" si="10">G4*Q4</f>
        <v>1.0470928314414781E-6</v>
      </c>
      <c r="U4">
        <f t="shared" ref="U4:U37" si="11">R4*D4^2</f>
        <v>3.4815000000000002E-3</v>
      </c>
      <c r="V4">
        <f t="shared" ref="V4:V37" si="12">S4*D4^2</f>
        <v>2.3925000000000001E-3</v>
      </c>
      <c r="W4">
        <f>MATCH(Q4,CableTyp[B
(ohms/km)],0)</f>
        <v>1</v>
      </c>
      <c r="X4" cm="1">
        <f t="array" ref="X4">_xlfn.SINGLE(_xlfn.XLOOKUP(J4&amp;K4,CableTyp[Cable size(mm^2)] &amp;CableTyp[Type],CableTyp[R0
(ohms/km)]))</f>
        <v>0.42799999999999999</v>
      </c>
      <c r="Y4" cm="1">
        <f t="array" ref="Y4">_xlfn.SINGLE(_xlfn.XLOOKUP(J4&amp;K4,CableTyp[Cable size(mm^2)] &amp;CableTyp[Type],CableTyp[X0
(ohms/km)]))</f>
        <v>7.0300000000000001E-2</v>
      </c>
      <c r="Z4">
        <f t="shared" si="4"/>
        <v>7.0620000000000006E-3</v>
      </c>
      <c r="AA4">
        <f t="shared" si="5"/>
        <v>1.1599500000000001E-3</v>
      </c>
      <c r="AB4">
        <f t="shared" si="6"/>
        <v>7.0620000000000006E-3</v>
      </c>
      <c r="AC4">
        <f t="shared" si="7"/>
        <v>1.1599500000000001E-3</v>
      </c>
    </row>
    <row r="5" spans="1:34" x14ac:dyDescent="0.45">
      <c r="A5" s="9" t="s">
        <v>7</v>
      </c>
      <c r="B5">
        <v>3</v>
      </c>
      <c r="C5">
        <v>5</v>
      </c>
      <c r="D5">
        <v>4</v>
      </c>
      <c r="E5">
        <f t="shared" si="0"/>
        <v>16.8</v>
      </c>
      <c r="F5">
        <v>32</v>
      </c>
      <c r="G5">
        <f t="shared" si="1"/>
        <v>3.5200000000000002E-2</v>
      </c>
      <c r="H5">
        <f t="shared" si="2"/>
        <v>293.92377340562768</v>
      </c>
      <c r="I5" t="s">
        <v>28</v>
      </c>
      <c r="J5">
        <v>300</v>
      </c>
      <c r="K5" t="s">
        <v>29</v>
      </c>
      <c r="L5">
        <f>_xlfn.XLOOKUP(J5&amp;K5,CableTyp[Cable size(mm^2)] &amp;CableTyp[Type],CableTyp[Imax(in grnd)(A)])</f>
        <v>421</v>
      </c>
      <c r="M5" cm="1">
        <f t="array" ref="M5">_xlfn.SINGLE(_xlfn.XLOOKUP(J5&amp;K5,CableTyp[Cable size(mm^2)] &amp;CableTyp[Type],CableTyp[Imax(in grnd)(A) at 0.85DF]))</f>
        <v>357.84999999999997</v>
      </c>
      <c r="N5" cm="1">
        <f t="array" ref="N5">_xlfn.SINGLE(_xlfn.XLOOKUP(J5&amp;K5,CableTyp[Cable size(mm^2)] &amp;CableTyp[Type],CableTyp[R
(ohms/km)]))</f>
        <v>0.129</v>
      </c>
      <c r="O5" cm="1">
        <f t="array" ref="O5">_xlfn.SINGLE(_xlfn.XLOOKUP(J5&amp;K5,CableTyp[Cable size(mm^2)] &amp;CableTyp[Type],CableTyp[X
(ohms/km)]))</f>
        <v>0.13600000000000001</v>
      </c>
      <c r="P5" cm="1">
        <f t="array" ref="P5">_xlfn.SINGLE(_xlfn.XLOOKUP(J5&amp;K5,CableTyp[Cable size(mm^2)] &amp;CableTyp[Type],CableTyp[C(uF/km)]))</f>
        <v>0.24199999999999999</v>
      </c>
      <c r="Q5">
        <f t="shared" si="3"/>
        <v>7.6026542216872997E-5</v>
      </c>
      <c r="R5">
        <f t="shared" si="8"/>
        <v>4.5408000000000002E-3</v>
      </c>
      <c r="S5">
        <f t="shared" si="9"/>
        <v>4.787200000000001E-3</v>
      </c>
      <c r="T5">
        <f t="shared" si="10"/>
        <v>2.6761342860339298E-6</v>
      </c>
      <c r="U5">
        <f t="shared" si="11"/>
        <v>7.2652800000000003E-2</v>
      </c>
      <c r="V5">
        <f t="shared" si="12"/>
        <v>7.6595200000000016E-2</v>
      </c>
      <c r="W5">
        <f>MATCH(Q5,CableTyp[B
(ohms/km)],0)</f>
        <v>3</v>
      </c>
      <c r="X5" cm="1">
        <f t="array" ref="X5">_xlfn.SINGLE(_xlfn.XLOOKUP(J5&amp;K5,CableTyp[Cable size(mm^2)] &amp;CableTyp[Type],CableTyp[R0
(ohms/km)]))</f>
        <v>0.36399999999999999</v>
      </c>
      <c r="Y5" cm="1">
        <f t="array" ref="Y5">_xlfn.SINGLE(_xlfn.XLOOKUP(J5&amp;K5,CableTyp[Cable size(mm^2)] &amp;CableTyp[Type],CableTyp[X0
(ohms/km)]))</f>
        <v>6.2199999999999998E-2</v>
      </c>
      <c r="Z5">
        <f t="shared" si="4"/>
        <v>1.2812800000000001E-2</v>
      </c>
      <c r="AA5">
        <f t="shared" si="5"/>
        <v>2.18944E-3</v>
      </c>
      <c r="AB5">
        <f t="shared" si="6"/>
        <v>0.20500480000000001</v>
      </c>
      <c r="AC5">
        <f t="shared" si="7"/>
        <v>3.5031039999999999E-2</v>
      </c>
    </row>
    <row r="6" spans="1:34" x14ac:dyDescent="0.45">
      <c r="A6" s="9" t="s">
        <v>7</v>
      </c>
      <c r="B6">
        <v>6</v>
      </c>
      <c r="C6">
        <v>5</v>
      </c>
      <c r="D6">
        <v>1</v>
      </c>
      <c r="E6">
        <f t="shared" ref="E6" si="13">D6*4.2</f>
        <v>4.2</v>
      </c>
      <c r="F6">
        <v>15</v>
      </c>
      <c r="G6">
        <f t="shared" ref="G6" si="14">(F6+(0.1*F6))/1000</f>
        <v>1.6500000000000001E-2</v>
      </c>
      <c r="H6">
        <f t="shared" ref="H6" si="15">(E6/(SQRT(3)*33))*1000</f>
        <v>73.480943351406921</v>
      </c>
      <c r="I6" t="s">
        <v>28</v>
      </c>
      <c r="J6">
        <v>185</v>
      </c>
      <c r="K6" t="s">
        <v>29</v>
      </c>
      <c r="L6">
        <f>_xlfn.XLOOKUP(J6&amp;K6,CableTyp[Cable size(mm^2)] &amp;CableTyp[Type],CableTyp[Imax(in grnd)(A)])</f>
        <v>330</v>
      </c>
      <c r="M6" cm="1">
        <f t="array" ref="M6">_xlfn.SINGLE(_xlfn.XLOOKUP(J6&amp;K6,CableTyp[Cable size(mm^2)] &amp;CableTyp[Type],CableTyp[Imax(in grnd)(A) at 0.85DF]))</f>
        <v>280.5</v>
      </c>
      <c r="N6" cm="1">
        <f t="array" ref="N6">_xlfn.SINGLE(_xlfn.XLOOKUP(J6&amp;K6,CableTyp[Cable size(mm^2)] &amp;CableTyp[Type],CableTyp[R
(ohms/km)]))</f>
        <v>0.21099999999999999</v>
      </c>
      <c r="O6" cm="1">
        <f t="array" ref="O6">_xlfn.SINGLE(_xlfn.XLOOKUP(J6&amp;K6,CableTyp[Cable size(mm^2)] &amp;CableTyp[Type],CableTyp[X
(ohms/km)]))</f>
        <v>0.14499999999999999</v>
      </c>
      <c r="P6" cm="1">
        <f t="array" ref="P6">_xlfn.SINGLE(_xlfn.XLOOKUP(J6&amp;K6,CableTyp[Cable size(mm^2)] &amp;CableTyp[Type],CableTyp[C(uF/km)]))</f>
        <v>0.20200000000000001</v>
      </c>
      <c r="Q6">
        <f t="shared" si="3"/>
        <v>6.3460171602513821E-5</v>
      </c>
      <c r="R6">
        <f t="shared" ref="R6" si="16">N6*G6</f>
        <v>3.4815000000000002E-3</v>
      </c>
      <c r="S6">
        <f t="shared" ref="S6" si="17">O6*G6</f>
        <v>2.3925000000000001E-3</v>
      </c>
      <c r="T6">
        <f t="shared" ref="T6" si="18">G6*Q6</f>
        <v>1.0470928314414781E-6</v>
      </c>
      <c r="U6">
        <f t="shared" ref="U6" si="19">R6*D6^2</f>
        <v>3.4815000000000002E-3</v>
      </c>
      <c r="V6">
        <f t="shared" ref="V6" si="20">S6*D6^2</f>
        <v>2.3925000000000001E-3</v>
      </c>
      <c r="W6">
        <f>MATCH(Q6,CableTyp[B
(ohms/km)],0)</f>
        <v>1</v>
      </c>
      <c r="X6" cm="1">
        <f t="array" ref="X6">_xlfn.SINGLE(_xlfn.XLOOKUP(J6&amp;K6,CableTyp[Cable size(mm^2)] &amp;CableTyp[Type],CableTyp[R0
(ohms/km)]))</f>
        <v>0.42799999999999999</v>
      </c>
      <c r="Y6" cm="1">
        <f t="array" ref="Y6">_xlfn.SINGLE(_xlfn.XLOOKUP(J6&amp;K6,CableTyp[Cable size(mm^2)] &amp;CableTyp[Type],CableTyp[X0
(ohms/km)]))</f>
        <v>7.0300000000000001E-2</v>
      </c>
      <c r="Z6">
        <f t="shared" si="4"/>
        <v>7.0620000000000006E-3</v>
      </c>
      <c r="AA6">
        <f t="shared" si="5"/>
        <v>1.1599500000000001E-3</v>
      </c>
      <c r="AB6">
        <f t="shared" si="6"/>
        <v>7.0620000000000006E-3</v>
      </c>
      <c r="AC6">
        <f t="shared" si="7"/>
        <v>1.1599500000000001E-3</v>
      </c>
      <c r="AF6" s="17" t="str">
        <f>"+ve Seq"</f>
        <v>+ve Seq</v>
      </c>
    </row>
    <row r="7" spans="1:34" x14ac:dyDescent="0.45">
      <c r="A7" s="9" t="s">
        <v>7</v>
      </c>
      <c r="B7">
        <v>5</v>
      </c>
      <c r="C7" t="s">
        <v>6</v>
      </c>
      <c r="D7">
        <v>6</v>
      </c>
      <c r="E7">
        <f t="shared" si="0"/>
        <v>25.200000000000003</v>
      </c>
      <c r="F7">
        <v>2066</v>
      </c>
      <c r="G7">
        <f t="shared" si="1"/>
        <v>2.2725999999999997</v>
      </c>
      <c r="H7">
        <f t="shared" si="2"/>
        <v>440.88566010844158</v>
      </c>
      <c r="I7" t="s">
        <v>28</v>
      </c>
      <c r="J7">
        <v>630</v>
      </c>
      <c r="K7" t="s">
        <v>29</v>
      </c>
      <c r="L7">
        <f>_xlfn.XLOOKUP(J7&amp;K7,CableTyp[Cable size(mm^2)] &amp;CableTyp[Type],CableTyp[Imax(in grnd)(A)])</f>
        <v>593</v>
      </c>
      <c r="M7" cm="1">
        <f t="array" ref="M7">_xlfn.SINGLE(_xlfn.XLOOKUP(J7&amp;K7,CableTyp[Cable size(mm^2)] &amp;CableTyp[Type],CableTyp[Imax(in grnd)(A) at 0.85DF]))</f>
        <v>504.05</v>
      </c>
      <c r="N7" cm="1">
        <f t="array" ref="N7">_xlfn.SINGLE(_xlfn.XLOOKUP(J7&amp;K7,CableTyp[Cable size(mm^2)] &amp;CableTyp[Type],CableTyp[R
(ohms/km)]))</f>
        <v>6.2899999999999998E-2</v>
      </c>
      <c r="O7" cm="1">
        <f t="array" ref="O7">_xlfn.SINGLE(_xlfn.XLOOKUP(J7&amp;K7,CableTyp[Cable size(mm^2)] &amp;CableTyp[Type],CableTyp[X
(ohms/km)]))</f>
        <v>0.123</v>
      </c>
      <c r="P7" cm="1">
        <f t="array" ref="P7">_xlfn.SINGLE(_xlfn.XLOOKUP(J7&amp;K7,CableTyp[Cable size(mm^2)] &amp;CableTyp[Type],CableTyp[C(uF/km)]))</f>
        <v>0.32900000000000001</v>
      </c>
      <c r="Q7">
        <f t="shared" si="3"/>
        <v>1.033583983031042E-4</v>
      </c>
      <c r="R7">
        <f t="shared" si="8"/>
        <v>0.14294653999999998</v>
      </c>
      <c r="S7">
        <f t="shared" si="9"/>
        <v>0.27952979999999994</v>
      </c>
      <c r="T7">
        <f t="shared" si="10"/>
        <v>2.3489229598363457E-4</v>
      </c>
      <c r="U7">
        <f t="shared" si="11"/>
        <v>5.1460754399999997</v>
      </c>
      <c r="V7">
        <f t="shared" si="12"/>
        <v>10.063072799999997</v>
      </c>
      <c r="W7">
        <f>MATCH(Q7,CableTyp[B
(ohms/km)],0)</f>
        <v>5</v>
      </c>
      <c r="X7" cm="1">
        <f t="array" ref="X7">_xlfn.SINGLE(_xlfn.XLOOKUP(J7&amp;K7,CableTyp[Cable size(mm^2)] &amp;CableTyp[Type],CableTyp[R0
(ohms/km)]))</f>
        <v>0.312</v>
      </c>
      <c r="Y7" cm="1">
        <f t="array" ref="Y7">_xlfn.SINGLE(_xlfn.XLOOKUP(J7&amp;K7,CableTyp[Cable size(mm^2)] &amp;CableTyp[Type],CableTyp[X0
(ohms/km)]))</f>
        <v>5.04E-2</v>
      </c>
      <c r="Z7">
        <f t="shared" si="4"/>
        <v>0.70905119999999988</v>
      </c>
      <c r="AA7">
        <f t="shared" si="5"/>
        <v>0.11453903999999998</v>
      </c>
      <c r="AB7">
        <f t="shared" si="6"/>
        <v>25.525843199999997</v>
      </c>
      <c r="AC7">
        <f t="shared" si="7"/>
        <v>4.1234054399999991</v>
      </c>
      <c r="AF7" s="6" t="s">
        <v>40</v>
      </c>
      <c r="AG7" s="7">
        <v>36</v>
      </c>
    </row>
    <row r="8" spans="1:34" x14ac:dyDescent="0.45">
      <c r="A8" s="11" t="s">
        <v>8</v>
      </c>
      <c r="B8">
        <v>10</v>
      </c>
      <c r="C8">
        <v>9</v>
      </c>
      <c r="D8">
        <v>1</v>
      </c>
      <c r="E8">
        <v>4.2</v>
      </c>
      <c r="F8">
        <v>15</v>
      </c>
      <c r="G8">
        <f t="shared" ref="G8" si="21">(F8+(0.1*F8))/1000</f>
        <v>1.6500000000000001E-2</v>
      </c>
      <c r="H8">
        <f t="shared" ref="H8" si="22">(E8/(SQRT(3)*33))*1000</f>
        <v>73.480943351406921</v>
      </c>
      <c r="I8" t="s">
        <v>28</v>
      </c>
      <c r="J8">
        <v>185</v>
      </c>
      <c r="K8" t="s">
        <v>29</v>
      </c>
      <c r="L8">
        <f>_xlfn.XLOOKUP(J8&amp;K8,CableTyp[Cable size(mm^2)] &amp;CableTyp[Type],CableTyp[Imax(in grnd)(A)])</f>
        <v>330</v>
      </c>
      <c r="M8" cm="1">
        <f t="array" ref="M8">_xlfn.SINGLE(_xlfn.XLOOKUP(J8&amp;K8,CableTyp[Cable size(mm^2)] &amp;CableTyp[Type],CableTyp[Imax(in grnd)(A) at 0.85DF]))</f>
        <v>280.5</v>
      </c>
      <c r="N8" cm="1">
        <f t="array" ref="N8">_xlfn.SINGLE(_xlfn.XLOOKUP(J8&amp;K8,CableTyp[Cable size(mm^2)] &amp;CableTyp[Type],CableTyp[R
(ohms/km)]))</f>
        <v>0.21099999999999999</v>
      </c>
      <c r="O8" cm="1">
        <f t="array" ref="O8">_xlfn.SINGLE(_xlfn.XLOOKUP(J8&amp;K8,CableTyp[Cable size(mm^2)] &amp;CableTyp[Type],CableTyp[X
(ohms/km)]))</f>
        <v>0.14499999999999999</v>
      </c>
      <c r="P8" cm="1">
        <f t="array" ref="P8">_xlfn.SINGLE(_xlfn.XLOOKUP(J8&amp;K8,CableTyp[Cable size(mm^2)] &amp;CableTyp[Type],CableTyp[C(uF/km)]))</f>
        <v>0.20200000000000001</v>
      </c>
      <c r="Q8">
        <f t="shared" si="3"/>
        <v>6.3460171602513821E-5</v>
      </c>
      <c r="R8">
        <f t="shared" ref="R8" si="23">N8*G8</f>
        <v>3.4815000000000002E-3</v>
      </c>
      <c r="S8">
        <f t="shared" ref="S8" si="24">O8*G8</f>
        <v>2.3925000000000001E-3</v>
      </c>
      <c r="T8">
        <f t="shared" ref="T8" si="25">G8*Q8</f>
        <v>1.0470928314414781E-6</v>
      </c>
      <c r="U8">
        <f t="shared" ref="U8" si="26">R8*D8^2</f>
        <v>3.4815000000000002E-3</v>
      </c>
      <c r="V8">
        <f t="shared" ref="V8" si="27">S8*D8^2</f>
        <v>2.3925000000000001E-3</v>
      </c>
      <c r="W8">
        <f>MATCH(Q8,CableTyp[B
(ohms/km)],0)</f>
        <v>1</v>
      </c>
      <c r="X8" cm="1">
        <f t="array" ref="X8">_xlfn.SINGLE(_xlfn.XLOOKUP(J8&amp;K8,CableTyp[Cable size(mm^2)] &amp;CableTyp[Type],CableTyp[R0
(ohms/km)]))</f>
        <v>0.42799999999999999</v>
      </c>
      <c r="Y8" cm="1">
        <f t="array" ref="Y8">_xlfn.SINGLE(_xlfn.XLOOKUP(J8&amp;K8,CableTyp[Cable size(mm^2)] &amp;CableTyp[Type],CableTyp[X0
(ohms/km)]))</f>
        <v>7.0300000000000001E-2</v>
      </c>
      <c r="Z8">
        <f t="shared" si="4"/>
        <v>7.0620000000000006E-3</v>
      </c>
      <c r="AA8">
        <f t="shared" si="5"/>
        <v>1.1599500000000001E-3</v>
      </c>
      <c r="AB8">
        <f t="shared" si="6"/>
        <v>7.0620000000000006E-3</v>
      </c>
      <c r="AC8">
        <f t="shared" si="7"/>
        <v>1.1599500000000001E-3</v>
      </c>
      <c r="AF8" t="s">
        <v>4</v>
      </c>
      <c r="AG8">
        <f>U38/AG7^2</f>
        <v>1.8863620756172834E-2</v>
      </c>
      <c r="AH8" t="str">
        <f>"Sum(Rn^2)/(total_invs)^2)"</f>
        <v>Sum(Rn^2)/(total_invs)^2)</v>
      </c>
    </row>
    <row r="9" spans="1:34" x14ac:dyDescent="0.45">
      <c r="A9" s="11" t="s">
        <v>8</v>
      </c>
      <c r="B9">
        <v>9</v>
      </c>
      <c r="C9">
        <v>11</v>
      </c>
      <c r="D9">
        <v>2</v>
      </c>
      <c r="E9">
        <f t="shared" si="0"/>
        <v>8.4</v>
      </c>
      <c r="F9">
        <v>32</v>
      </c>
      <c r="G9">
        <f t="shared" si="1"/>
        <v>3.5200000000000002E-2</v>
      </c>
      <c r="H9">
        <f t="shared" si="2"/>
        <v>146.96188670281384</v>
      </c>
      <c r="I9" t="s">
        <v>28</v>
      </c>
      <c r="J9">
        <v>185</v>
      </c>
      <c r="K9" t="s">
        <v>29</v>
      </c>
      <c r="L9">
        <f>_xlfn.XLOOKUP(J9&amp;K9,CableTyp[Cable size(mm^2)] &amp;CableTyp[Type],CableTyp[Imax(in grnd)(A)])</f>
        <v>330</v>
      </c>
      <c r="M9" cm="1">
        <f t="array" ref="M9">_xlfn.SINGLE(_xlfn.XLOOKUP(J9&amp;K9,CableTyp[Cable size(mm^2)] &amp;CableTyp[Type],CableTyp[Imax(in grnd)(A) at 0.85DF]))</f>
        <v>280.5</v>
      </c>
      <c r="N9" cm="1">
        <f t="array" ref="N9">_xlfn.SINGLE(_xlfn.XLOOKUP(J9&amp;K9,CableTyp[Cable size(mm^2)] &amp;CableTyp[Type],CableTyp[R
(ohms/km)]))</f>
        <v>0.21099999999999999</v>
      </c>
      <c r="O9" cm="1">
        <f t="array" ref="O9">_xlfn.SINGLE(_xlfn.XLOOKUP(J9&amp;K9,CableTyp[Cable size(mm^2)] &amp;CableTyp[Type],CableTyp[X
(ohms/km)]))</f>
        <v>0.14499999999999999</v>
      </c>
      <c r="P9" cm="1">
        <f t="array" ref="P9">_xlfn.SINGLE(_xlfn.XLOOKUP(J9&amp;K9,CableTyp[Cable size(mm^2)] &amp;CableTyp[Type],CableTyp[C(uF/km)]))</f>
        <v>0.20200000000000001</v>
      </c>
      <c r="Q9">
        <f t="shared" si="3"/>
        <v>6.3460171602513821E-5</v>
      </c>
      <c r="R9">
        <f t="shared" si="8"/>
        <v>7.4272000000000001E-3</v>
      </c>
      <c r="S9">
        <f t="shared" si="9"/>
        <v>5.104E-3</v>
      </c>
      <c r="T9">
        <f t="shared" si="10"/>
        <v>2.2337980404084865E-6</v>
      </c>
      <c r="U9">
        <f t="shared" si="11"/>
        <v>2.97088E-2</v>
      </c>
      <c r="V9">
        <f t="shared" si="12"/>
        <v>2.0416E-2</v>
      </c>
      <c r="W9">
        <f>MATCH(Q9,CableTyp[B
(ohms/km)],0)</f>
        <v>1</v>
      </c>
      <c r="X9" cm="1">
        <f t="array" ref="X9">_xlfn.SINGLE(_xlfn.XLOOKUP(J9&amp;K9,CableTyp[Cable size(mm^2)] &amp;CableTyp[Type],CableTyp[R0
(ohms/km)]))</f>
        <v>0.42799999999999999</v>
      </c>
      <c r="Y9" cm="1">
        <f t="array" ref="Y9">_xlfn.SINGLE(_xlfn.XLOOKUP(J9&amp;K9,CableTyp[Cable size(mm^2)] &amp;CableTyp[Type],CableTyp[X0
(ohms/km)]))</f>
        <v>7.0300000000000001E-2</v>
      </c>
      <c r="Z9">
        <f t="shared" si="4"/>
        <v>1.50656E-2</v>
      </c>
      <c r="AA9">
        <f t="shared" si="5"/>
        <v>2.4745600000000002E-3</v>
      </c>
      <c r="AB9">
        <f t="shared" si="6"/>
        <v>6.0262400000000001E-2</v>
      </c>
      <c r="AC9">
        <f t="shared" si="7"/>
        <v>9.8982400000000009E-3</v>
      </c>
      <c r="AF9" t="s">
        <v>30</v>
      </c>
      <c r="AG9">
        <f>V38/AG7^2</f>
        <v>3.1888315046296294E-2</v>
      </c>
      <c r="AH9" t="str">
        <f>"Sum(Xn^2)/(total_invs)^2)"</f>
        <v>Sum(Xn^2)/(total_invs)^2)</v>
      </c>
    </row>
    <row r="10" spans="1:34" x14ac:dyDescent="0.45">
      <c r="A10" s="11" t="s">
        <v>8</v>
      </c>
      <c r="B10">
        <v>11</v>
      </c>
      <c r="C10">
        <v>12</v>
      </c>
      <c r="D10">
        <v>1</v>
      </c>
      <c r="E10">
        <f t="shared" si="0"/>
        <v>4.2</v>
      </c>
      <c r="F10">
        <v>15</v>
      </c>
      <c r="G10">
        <f t="shared" si="1"/>
        <v>1.6500000000000001E-2</v>
      </c>
      <c r="H10">
        <f t="shared" si="2"/>
        <v>73.480943351406921</v>
      </c>
      <c r="I10" t="s">
        <v>28</v>
      </c>
      <c r="J10">
        <v>185</v>
      </c>
      <c r="K10" t="s">
        <v>29</v>
      </c>
      <c r="L10">
        <f>_xlfn.XLOOKUP(J10&amp;K10,CableTyp[Cable size(mm^2)] &amp;CableTyp[Type],CableTyp[Imax(in grnd)(A)])</f>
        <v>330</v>
      </c>
      <c r="M10" cm="1">
        <f t="array" ref="M10">_xlfn.SINGLE(_xlfn.XLOOKUP(J10&amp;K10,CableTyp[Cable size(mm^2)] &amp;CableTyp[Type],CableTyp[Imax(in grnd)(A) at 0.85DF]))</f>
        <v>280.5</v>
      </c>
      <c r="N10" cm="1">
        <f t="array" ref="N10">_xlfn.SINGLE(_xlfn.XLOOKUP(J10&amp;K10,CableTyp[Cable size(mm^2)] &amp;CableTyp[Type],CableTyp[R
(ohms/km)]))</f>
        <v>0.21099999999999999</v>
      </c>
      <c r="O10" cm="1">
        <f t="array" ref="O10">_xlfn.SINGLE(_xlfn.XLOOKUP(J10&amp;K10,CableTyp[Cable size(mm^2)] &amp;CableTyp[Type],CableTyp[X
(ohms/km)]))</f>
        <v>0.14499999999999999</v>
      </c>
      <c r="P10" cm="1">
        <f t="array" ref="P10">_xlfn.SINGLE(_xlfn.XLOOKUP(J10&amp;K10,CableTyp[Cable size(mm^2)] &amp;CableTyp[Type],CableTyp[C(uF/km)]))</f>
        <v>0.20200000000000001</v>
      </c>
      <c r="Q10">
        <f t="shared" si="3"/>
        <v>6.3460171602513821E-5</v>
      </c>
      <c r="R10">
        <f t="shared" si="8"/>
        <v>3.4815000000000002E-3</v>
      </c>
      <c r="S10">
        <f t="shared" si="9"/>
        <v>2.3925000000000001E-3</v>
      </c>
      <c r="T10">
        <f t="shared" si="10"/>
        <v>1.0470928314414781E-6</v>
      </c>
      <c r="U10">
        <f t="shared" si="11"/>
        <v>3.4815000000000002E-3</v>
      </c>
      <c r="V10">
        <f t="shared" si="12"/>
        <v>2.3925000000000001E-3</v>
      </c>
      <c r="W10">
        <f>MATCH(Q10,CableTyp[B
(ohms/km)],0)</f>
        <v>1</v>
      </c>
      <c r="X10" cm="1">
        <f t="array" ref="X10">_xlfn.SINGLE(_xlfn.XLOOKUP(J10&amp;K10,CableTyp[Cable size(mm^2)] &amp;CableTyp[Type],CableTyp[R0
(ohms/km)]))</f>
        <v>0.42799999999999999</v>
      </c>
      <c r="Y10" cm="1">
        <f t="array" ref="Y10">_xlfn.SINGLE(_xlfn.XLOOKUP(J10&amp;K10,CableTyp[Cable size(mm^2)] &amp;CableTyp[Type],CableTyp[X0
(ohms/km)]))</f>
        <v>7.0300000000000001E-2</v>
      </c>
      <c r="Z10">
        <f t="shared" si="4"/>
        <v>7.0620000000000006E-3</v>
      </c>
      <c r="AA10">
        <f t="shared" si="5"/>
        <v>1.1599500000000001E-3</v>
      </c>
      <c r="AB10">
        <f t="shared" si="6"/>
        <v>7.0620000000000006E-3</v>
      </c>
      <c r="AC10">
        <f t="shared" si="7"/>
        <v>1.1599500000000001E-3</v>
      </c>
      <c r="AF10" t="s">
        <v>31</v>
      </c>
      <c r="AG10">
        <f>SQRT(AG8^2+AG9^2)</f>
        <v>3.7049977388988527E-2</v>
      </c>
    </row>
    <row r="11" spans="1:34" x14ac:dyDescent="0.45">
      <c r="A11" s="11" t="s">
        <v>8</v>
      </c>
      <c r="B11">
        <v>12</v>
      </c>
      <c r="C11">
        <v>15</v>
      </c>
      <c r="D11">
        <v>4</v>
      </c>
      <c r="E11">
        <f t="shared" si="0"/>
        <v>16.8</v>
      </c>
      <c r="F11">
        <v>227</v>
      </c>
      <c r="G11">
        <f t="shared" si="1"/>
        <v>0.24969999999999998</v>
      </c>
      <c r="H11">
        <f t="shared" si="2"/>
        <v>293.92377340562768</v>
      </c>
      <c r="I11" t="s">
        <v>28</v>
      </c>
      <c r="J11">
        <v>300</v>
      </c>
      <c r="K11" t="s">
        <v>29</v>
      </c>
      <c r="L11">
        <f>_xlfn.XLOOKUP(J11&amp;K11,CableTyp[Cable size(mm^2)] &amp;CableTyp[Type],CableTyp[Imax(in grnd)(A)])</f>
        <v>421</v>
      </c>
      <c r="M11" cm="1">
        <f t="array" ref="M11">_xlfn.SINGLE(_xlfn.XLOOKUP(J11&amp;K11,CableTyp[Cable size(mm^2)] &amp;CableTyp[Type],CableTyp[Imax(in grnd)(A) at 0.85DF]))</f>
        <v>357.84999999999997</v>
      </c>
      <c r="N11" cm="1">
        <f t="array" ref="N11">_xlfn.SINGLE(_xlfn.XLOOKUP(J11&amp;K11,CableTyp[Cable size(mm^2)] &amp;CableTyp[Type],CableTyp[R
(ohms/km)]))</f>
        <v>0.129</v>
      </c>
      <c r="O11" cm="1">
        <f t="array" ref="O11">_xlfn.SINGLE(_xlfn.XLOOKUP(J11&amp;K11,CableTyp[Cable size(mm^2)] &amp;CableTyp[Type],CableTyp[X
(ohms/km)]))</f>
        <v>0.13600000000000001</v>
      </c>
      <c r="P11" cm="1">
        <f t="array" ref="P11">_xlfn.SINGLE(_xlfn.XLOOKUP(J11&amp;K11,CableTyp[Cable size(mm^2)] &amp;CableTyp[Type],CableTyp[C(uF/km)]))</f>
        <v>0.24199999999999999</v>
      </c>
      <c r="Q11">
        <f t="shared" si="3"/>
        <v>7.6026542216872997E-5</v>
      </c>
      <c r="R11">
        <f t="shared" si="8"/>
        <v>3.2211299999999998E-2</v>
      </c>
      <c r="S11">
        <f t="shared" si="9"/>
        <v>3.3959200000000002E-2</v>
      </c>
      <c r="T11">
        <f t="shared" si="10"/>
        <v>1.8983827591553187E-5</v>
      </c>
      <c r="U11">
        <f t="shared" si="11"/>
        <v>0.51538079999999997</v>
      </c>
      <c r="V11">
        <f t="shared" si="12"/>
        <v>0.54334720000000003</v>
      </c>
      <c r="W11">
        <f>MATCH(Q11,CableTyp[B
(ohms/km)],0)</f>
        <v>3</v>
      </c>
      <c r="X11" cm="1">
        <f t="array" ref="X11">_xlfn.SINGLE(_xlfn.XLOOKUP(J11&amp;K11,CableTyp[Cable size(mm^2)] &amp;CableTyp[Type],CableTyp[R0
(ohms/km)]))</f>
        <v>0.36399999999999999</v>
      </c>
      <c r="Y11" cm="1">
        <f t="array" ref="Y11">_xlfn.SINGLE(_xlfn.XLOOKUP(J11&amp;K11,CableTyp[Cable size(mm^2)] &amp;CableTyp[Type],CableTyp[X0
(ohms/km)]))</f>
        <v>6.2199999999999998E-2</v>
      </c>
      <c r="Z11">
        <f t="shared" si="4"/>
        <v>9.0890799999999994E-2</v>
      </c>
      <c r="AA11">
        <f t="shared" si="5"/>
        <v>1.5531339999999998E-2</v>
      </c>
      <c r="AB11">
        <f t="shared" si="6"/>
        <v>1.4542527999999999</v>
      </c>
      <c r="AC11">
        <f t="shared" si="7"/>
        <v>0.24850143999999996</v>
      </c>
      <c r="AF11" t="s">
        <v>49</v>
      </c>
    </row>
    <row r="12" spans="1:34" x14ac:dyDescent="0.45">
      <c r="A12" s="11" t="s">
        <v>8</v>
      </c>
      <c r="B12">
        <v>14</v>
      </c>
      <c r="C12">
        <v>15</v>
      </c>
      <c r="D12">
        <v>1</v>
      </c>
      <c r="E12">
        <f t="shared" si="0"/>
        <v>4.2</v>
      </c>
      <c r="F12">
        <v>15</v>
      </c>
      <c r="G12">
        <f t="shared" si="1"/>
        <v>1.6500000000000001E-2</v>
      </c>
      <c r="H12">
        <f t="shared" si="2"/>
        <v>73.480943351406921</v>
      </c>
      <c r="I12" t="s">
        <v>28</v>
      </c>
      <c r="J12">
        <v>185</v>
      </c>
      <c r="K12" t="s">
        <v>29</v>
      </c>
      <c r="L12">
        <f>_xlfn.XLOOKUP(J12&amp;K12,CableTyp[Cable size(mm^2)] &amp;CableTyp[Type],CableTyp[Imax(in grnd)(A)])</f>
        <v>330</v>
      </c>
      <c r="M12" cm="1">
        <f t="array" ref="M12">_xlfn.SINGLE(_xlfn.XLOOKUP(J12&amp;K12,CableTyp[Cable size(mm^2)] &amp;CableTyp[Type],CableTyp[Imax(in grnd)(A) at 0.85DF]))</f>
        <v>280.5</v>
      </c>
      <c r="N12" cm="1">
        <f t="array" ref="N12">_xlfn.SINGLE(_xlfn.XLOOKUP(J12&amp;K12,CableTyp[Cable size(mm^2)] &amp;CableTyp[Type],CableTyp[R
(ohms/km)]))</f>
        <v>0.21099999999999999</v>
      </c>
      <c r="O12" cm="1">
        <f t="array" ref="O12">_xlfn.SINGLE(_xlfn.XLOOKUP(J12&amp;K12,CableTyp[Cable size(mm^2)] &amp;CableTyp[Type],CableTyp[X
(ohms/km)]))</f>
        <v>0.14499999999999999</v>
      </c>
      <c r="P12" cm="1">
        <f t="array" ref="P12">_xlfn.SINGLE(_xlfn.XLOOKUP(J12&amp;K12,CableTyp[Cable size(mm^2)] &amp;CableTyp[Type],CableTyp[C(uF/km)]))</f>
        <v>0.20200000000000001</v>
      </c>
      <c r="Q12">
        <f t="shared" si="3"/>
        <v>6.3460171602513821E-5</v>
      </c>
      <c r="R12">
        <f>N12*G12</f>
        <v>3.4815000000000002E-3</v>
      </c>
      <c r="S12">
        <f>O12*G12</f>
        <v>2.3925000000000001E-3</v>
      </c>
      <c r="T12">
        <f>G12*Q12</f>
        <v>1.0470928314414781E-6</v>
      </c>
      <c r="U12">
        <f>R12*D12^2</f>
        <v>3.4815000000000002E-3</v>
      </c>
      <c r="V12">
        <f>S12*D12^2</f>
        <v>2.3925000000000001E-3</v>
      </c>
      <c r="W12">
        <f>MATCH(Q12,CableTyp[B
(ohms/km)],0)</f>
        <v>1</v>
      </c>
      <c r="X12" cm="1">
        <f t="array" ref="X12">_xlfn.SINGLE(_xlfn.XLOOKUP(J12&amp;K12,CableTyp[Cable size(mm^2)] &amp;CableTyp[Type],CableTyp[R0
(ohms/km)]))</f>
        <v>0.42799999999999999</v>
      </c>
      <c r="Y12" cm="1">
        <f t="array" ref="Y12">_xlfn.SINGLE(_xlfn.XLOOKUP(J12&amp;K12,CableTyp[Cable size(mm^2)] &amp;CableTyp[Type],CableTyp[X0
(ohms/km)]))</f>
        <v>7.0300000000000001E-2</v>
      </c>
      <c r="Z12">
        <f t="shared" si="4"/>
        <v>7.0620000000000006E-3</v>
      </c>
      <c r="AA12">
        <f t="shared" si="5"/>
        <v>1.1599500000000001E-3</v>
      </c>
      <c r="AB12">
        <f t="shared" si="6"/>
        <v>7.0620000000000006E-3</v>
      </c>
      <c r="AC12">
        <f t="shared" si="7"/>
        <v>1.1599500000000001E-3</v>
      </c>
      <c r="AF12" t="s">
        <v>52</v>
      </c>
      <c r="AG12" s="7">
        <v>33</v>
      </c>
    </row>
    <row r="13" spans="1:34" x14ac:dyDescent="0.45">
      <c r="A13" s="11" t="s">
        <v>8</v>
      </c>
      <c r="B13">
        <v>15</v>
      </c>
      <c r="C13" t="s">
        <v>1</v>
      </c>
      <c r="D13">
        <v>6</v>
      </c>
      <c r="E13">
        <f t="shared" si="0"/>
        <v>25.200000000000003</v>
      </c>
      <c r="F13">
        <v>1600</v>
      </c>
      <c r="G13">
        <f t="shared" si="1"/>
        <v>1.76</v>
      </c>
      <c r="H13">
        <f t="shared" si="2"/>
        <v>440.88566010844158</v>
      </c>
      <c r="I13" t="s">
        <v>28</v>
      </c>
      <c r="J13">
        <v>630</v>
      </c>
      <c r="K13" t="s">
        <v>29</v>
      </c>
      <c r="L13">
        <f>_xlfn.XLOOKUP(J13&amp;K13,CableTyp[Cable size(mm^2)] &amp;CableTyp[Type],CableTyp[Imax(in grnd)(A)])</f>
        <v>593</v>
      </c>
      <c r="M13" cm="1">
        <f t="array" ref="M13">_xlfn.SINGLE(_xlfn.XLOOKUP(J13&amp;K13,CableTyp[Cable size(mm^2)] &amp;CableTyp[Type],CableTyp[Imax(in grnd)(A) at 0.85DF]))</f>
        <v>504.05</v>
      </c>
      <c r="N13" cm="1">
        <f t="array" ref="N13">_xlfn.SINGLE(_xlfn.XLOOKUP(J13&amp;K13,CableTyp[Cable size(mm^2)] &amp;CableTyp[Type],CableTyp[R
(ohms/km)]))</f>
        <v>6.2899999999999998E-2</v>
      </c>
      <c r="O13" cm="1">
        <f t="array" ref="O13">_xlfn.SINGLE(_xlfn.XLOOKUP(J13&amp;K13,CableTyp[Cable size(mm^2)] &amp;CableTyp[Type],CableTyp[X
(ohms/km)]))</f>
        <v>0.123</v>
      </c>
      <c r="P13" cm="1">
        <f t="array" ref="P13">_xlfn.SINGLE(_xlfn.XLOOKUP(J13&amp;K13,CableTyp[Cable size(mm^2)] &amp;CableTyp[Type],CableTyp[C(uF/km)]))</f>
        <v>0.32900000000000001</v>
      </c>
      <c r="Q13">
        <f t="shared" si="3"/>
        <v>1.033583983031042E-4</v>
      </c>
      <c r="R13">
        <f t="shared" si="8"/>
        <v>0.110704</v>
      </c>
      <c r="S13">
        <f t="shared" si="9"/>
        <v>0.21648000000000001</v>
      </c>
      <c r="T13">
        <f t="shared" si="10"/>
        <v>1.819107810134634E-4</v>
      </c>
      <c r="U13">
        <f t="shared" si="11"/>
        <v>3.985344</v>
      </c>
      <c r="V13">
        <f t="shared" si="12"/>
        <v>7.7932800000000002</v>
      </c>
      <c r="W13">
        <f>MATCH(Q13,CableTyp[B
(ohms/km)],0)</f>
        <v>5</v>
      </c>
      <c r="X13" cm="1">
        <f t="array" ref="X13">_xlfn.SINGLE(_xlfn.XLOOKUP(J13&amp;K13,CableTyp[Cable size(mm^2)] &amp;CableTyp[Type],CableTyp[R0
(ohms/km)]))</f>
        <v>0.312</v>
      </c>
      <c r="Y13" cm="1">
        <f t="array" ref="Y13">_xlfn.SINGLE(_xlfn.XLOOKUP(J13&amp;K13,CableTyp[Cable size(mm^2)] &amp;CableTyp[Type],CableTyp[X0
(ohms/km)]))</f>
        <v>5.04E-2</v>
      </c>
      <c r="Z13">
        <f t="shared" si="4"/>
        <v>0.54912000000000005</v>
      </c>
      <c r="AA13">
        <f t="shared" si="5"/>
        <v>8.8704000000000005E-2</v>
      </c>
      <c r="AB13">
        <f t="shared" si="6"/>
        <v>19.768320000000003</v>
      </c>
      <c r="AC13">
        <f t="shared" si="7"/>
        <v>3.1933440000000002</v>
      </c>
      <c r="AF13" t="s">
        <v>33</v>
      </c>
      <c r="AG13">
        <f>AG12^2/100</f>
        <v>10.89</v>
      </c>
    </row>
    <row r="14" spans="1:34" x14ac:dyDescent="0.45">
      <c r="A14" s="10" t="s">
        <v>9</v>
      </c>
      <c r="B14">
        <v>16</v>
      </c>
      <c r="C14">
        <v>17</v>
      </c>
      <c r="D14">
        <v>1</v>
      </c>
      <c r="E14">
        <f t="shared" si="0"/>
        <v>4.2</v>
      </c>
      <c r="F14">
        <v>15</v>
      </c>
      <c r="G14">
        <f t="shared" si="1"/>
        <v>1.6500000000000001E-2</v>
      </c>
      <c r="H14">
        <f t="shared" si="2"/>
        <v>73.480943351406921</v>
      </c>
      <c r="I14" t="s">
        <v>28</v>
      </c>
      <c r="J14">
        <v>185</v>
      </c>
      <c r="K14" t="s">
        <v>29</v>
      </c>
      <c r="L14">
        <f>_xlfn.XLOOKUP(J14&amp;K14,CableTyp[Cable size(mm^2)] &amp;CableTyp[Type],CableTyp[Imax(in grnd)(A)])</f>
        <v>330</v>
      </c>
      <c r="M14" cm="1">
        <f t="array" ref="M14">_xlfn.SINGLE(_xlfn.XLOOKUP(J14&amp;K14,CableTyp[Cable size(mm^2)] &amp;CableTyp[Type],CableTyp[Imax(in grnd)(A) at 0.85DF]))</f>
        <v>280.5</v>
      </c>
      <c r="N14" cm="1">
        <f t="array" ref="N14">_xlfn.SINGLE(_xlfn.XLOOKUP(J14&amp;K14,CableTyp[Cable size(mm^2)] &amp;CableTyp[Type],CableTyp[R
(ohms/km)]))</f>
        <v>0.21099999999999999</v>
      </c>
      <c r="O14" cm="1">
        <f t="array" ref="O14">_xlfn.SINGLE(_xlfn.XLOOKUP(J14&amp;K14,CableTyp[Cable size(mm^2)] &amp;CableTyp[Type],CableTyp[X
(ohms/km)]))</f>
        <v>0.14499999999999999</v>
      </c>
      <c r="P14" cm="1">
        <f t="array" ref="P14">_xlfn.SINGLE(_xlfn.XLOOKUP(J14&amp;K14,CableTyp[Cable size(mm^2)] &amp;CableTyp[Type],CableTyp[C(uF/km)]))</f>
        <v>0.20200000000000001</v>
      </c>
      <c r="Q14">
        <f t="shared" si="3"/>
        <v>6.3460171602513821E-5</v>
      </c>
      <c r="R14">
        <f t="shared" si="8"/>
        <v>3.4815000000000002E-3</v>
      </c>
      <c r="S14">
        <f t="shared" si="9"/>
        <v>2.3925000000000001E-3</v>
      </c>
      <c r="T14">
        <f t="shared" si="10"/>
        <v>1.0470928314414781E-6</v>
      </c>
      <c r="U14">
        <f t="shared" si="11"/>
        <v>3.4815000000000002E-3</v>
      </c>
      <c r="V14">
        <f t="shared" si="12"/>
        <v>2.3925000000000001E-3</v>
      </c>
      <c r="W14">
        <f>MATCH(Q14,CableTyp[B
(ohms/km)],0)</f>
        <v>1</v>
      </c>
      <c r="X14" cm="1">
        <f t="array" ref="X14">_xlfn.SINGLE(_xlfn.XLOOKUP(J14&amp;K14,CableTyp[Cable size(mm^2)] &amp;CableTyp[Type],CableTyp[R0
(ohms/km)]))</f>
        <v>0.42799999999999999</v>
      </c>
      <c r="Y14" cm="1">
        <f t="array" ref="Y14">_xlfn.SINGLE(_xlfn.XLOOKUP(J14&amp;K14,CableTyp[Cable size(mm^2)] &amp;CableTyp[Type],CableTyp[X0
(ohms/km)]))</f>
        <v>7.0300000000000001E-2</v>
      </c>
      <c r="Z14">
        <f t="shared" si="4"/>
        <v>7.0620000000000006E-3</v>
      </c>
      <c r="AA14">
        <f t="shared" si="5"/>
        <v>1.1599500000000001E-3</v>
      </c>
      <c r="AB14">
        <f t="shared" si="6"/>
        <v>7.0620000000000006E-3</v>
      </c>
      <c r="AC14">
        <f t="shared" si="7"/>
        <v>1.1599500000000001E-3</v>
      </c>
      <c r="AF14" t="s">
        <v>32</v>
      </c>
      <c r="AG14">
        <f>AG8/AG13</f>
        <v>1.7321965799975054E-3</v>
      </c>
    </row>
    <row r="15" spans="1:34" x14ac:dyDescent="0.45">
      <c r="A15" s="10" t="s">
        <v>9</v>
      </c>
      <c r="B15">
        <v>17</v>
      </c>
      <c r="C15">
        <v>18</v>
      </c>
      <c r="D15">
        <v>2</v>
      </c>
      <c r="E15">
        <f t="shared" si="0"/>
        <v>8.4</v>
      </c>
      <c r="F15">
        <v>230</v>
      </c>
      <c r="G15">
        <f t="shared" si="1"/>
        <v>0.253</v>
      </c>
      <c r="H15">
        <f t="shared" si="2"/>
        <v>146.96188670281384</v>
      </c>
      <c r="I15" t="s">
        <v>28</v>
      </c>
      <c r="J15">
        <v>185</v>
      </c>
      <c r="K15" t="s">
        <v>29</v>
      </c>
      <c r="L15">
        <f>_xlfn.XLOOKUP(J15&amp;K15,CableTyp[Cable size(mm^2)] &amp;CableTyp[Type],CableTyp[Imax(in grnd)(A)])</f>
        <v>330</v>
      </c>
      <c r="M15" cm="1">
        <f t="array" ref="M15">_xlfn.SINGLE(_xlfn.XLOOKUP(J15&amp;K15,CableTyp[Cable size(mm^2)] &amp;CableTyp[Type],CableTyp[Imax(in grnd)(A) at 0.85DF]))</f>
        <v>280.5</v>
      </c>
      <c r="N15" cm="1">
        <f t="array" ref="N15">_xlfn.SINGLE(_xlfn.XLOOKUP(J15&amp;K15,CableTyp[Cable size(mm^2)] &amp;CableTyp[Type],CableTyp[R
(ohms/km)]))</f>
        <v>0.21099999999999999</v>
      </c>
      <c r="O15" cm="1">
        <f t="array" ref="O15">_xlfn.SINGLE(_xlfn.XLOOKUP(J15&amp;K15,CableTyp[Cable size(mm^2)] &amp;CableTyp[Type],CableTyp[X
(ohms/km)]))</f>
        <v>0.14499999999999999</v>
      </c>
      <c r="P15" cm="1">
        <f t="array" ref="P15">_xlfn.SINGLE(_xlfn.XLOOKUP(J15&amp;K15,CableTyp[Cable size(mm^2)] &amp;CableTyp[Type],CableTyp[C(uF/km)]))</f>
        <v>0.20200000000000001</v>
      </c>
      <c r="Q15">
        <f t="shared" si="3"/>
        <v>6.3460171602513821E-5</v>
      </c>
      <c r="R15">
        <f t="shared" si="8"/>
        <v>5.3383E-2</v>
      </c>
      <c r="S15">
        <f t="shared" si="9"/>
        <v>3.6684999999999995E-2</v>
      </c>
      <c r="T15">
        <f t="shared" si="10"/>
        <v>1.6055423415435998E-5</v>
      </c>
      <c r="U15">
        <f t="shared" si="11"/>
        <v>0.213532</v>
      </c>
      <c r="V15">
        <f t="shared" si="12"/>
        <v>0.14673999999999998</v>
      </c>
      <c r="W15">
        <f>MATCH(Q15,CableTyp[B
(ohms/km)],0)</f>
        <v>1</v>
      </c>
      <c r="X15" cm="1">
        <f t="array" ref="X15">_xlfn.SINGLE(_xlfn.XLOOKUP(J15&amp;K15,CableTyp[Cable size(mm^2)] &amp;CableTyp[Type],CableTyp[R0
(ohms/km)]))</f>
        <v>0.42799999999999999</v>
      </c>
      <c r="Y15" cm="1">
        <f t="array" ref="Y15">_xlfn.SINGLE(_xlfn.XLOOKUP(J15&amp;K15,CableTyp[Cable size(mm^2)] &amp;CableTyp[Type],CableTyp[X0
(ohms/km)]))</f>
        <v>7.0300000000000001E-2</v>
      </c>
      <c r="Z15">
        <f t="shared" si="4"/>
        <v>0.10828400000000001</v>
      </c>
      <c r="AA15">
        <f t="shared" si="5"/>
        <v>1.77859E-2</v>
      </c>
      <c r="AB15">
        <f t="shared" si="6"/>
        <v>0.43313600000000002</v>
      </c>
      <c r="AC15">
        <f t="shared" si="7"/>
        <v>7.1143600000000001E-2</v>
      </c>
      <c r="AF15" t="s">
        <v>34</v>
      </c>
      <c r="AG15">
        <f>AG9/AG13</f>
        <v>2.928219930789375E-3</v>
      </c>
    </row>
    <row r="16" spans="1:34" x14ac:dyDescent="0.45">
      <c r="A16" s="10" t="s">
        <v>9</v>
      </c>
      <c r="B16">
        <v>19</v>
      </c>
      <c r="C16">
        <v>18</v>
      </c>
      <c r="D16">
        <v>1</v>
      </c>
      <c r="E16">
        <f t="shared" si="0"/>
        <v>4.2</v>
      </c>
      <c r="F16">
        <v>15</v>
      </c>
      <c r="G16">
        <f t="shared" si="1"/>
        <v>1.6500000000000001E-2</v>
      </c>
      <c r="H16">
        <f t="shared" si="2"/>
        <v>73.480943351406921</v>
      </c>
      <c r="I16" t="s">
        <v>28</v>
      </c>
      <c r="J16">
        <v>185</v>
      </c>
      <c r="K16" t="s">
        <v>29</v>
      </c>
      <c r="L16">
        <f>_xlfn.XLOOKUP(J16&amp;K16,CableTyp[Cable size(mm^2)] &amp;CableTyp[Type],CableTyp[Imax(in grnd)(A)])</f>
        <v>330</v>
      </c>
      <c r="M16" cm="1">
        <f t="array" ref="M16">_xlfn.SINGLE(_xlfn.XLOOKUP(J16&amp;K16,CableTyp[Cable size(mm^2)] &amp;CableTyp[Type],CableTyp[Imax(in grnd)(A) at 0.85DF]))</f>
        <v>280.5</v>
      </c>
      <c r="N16" cm="1">
        <f t="array" ref="N16">_xlfn.SINGLE(_xlfn.XLOOKUP(J16&amp;K16,CableTyp[Cable size(mm^2)] &amp;CableTyp[Type],CableTyp[R
(ohms/km)]))</f>
        <v>0.21099999999999999</v>
      </c>
      <c r="O16" cm="1">
        <f t="array" ref="O16">_xlfn.SINGLE(_xlfn.XLOOKUP(J16&amp;K16,CableTyp[Cable size(mm^2)] &amp;CableTyp[Type],CableTyp[X
(ohms/km)]))</f>
        <v>0.14499999999999999</v>
      </c>
      <c r="P16" cm="1">
        <f t="array" ref="P16">_xlfn.SINGLE(_xlfn.XLOOKUP(J16&amp;K16,CableTyp[Cable size(mm^2)] &amp;CableTyp[Type],CableTyp[C(uF/km)]))</f>
        <v>0.20200000000000001</v>
      </c>
      <c r="Q16">
        <f t="shared" si="3"/>
        <v>6.3460171602513821E-5</v>
      </c>
      <c r="R16">
        <f t="shared" si="8"/>
        <v>3.4815000000000002E-3</v>
      </c>
      <c r="S16">
        <f t="shared" si="9"/>
        <v>2.3925000000000001E-3</v>
      </c>
      <c r="T16">
        <f t="shared" si="10"/>
        <v>1.0470928314414781E-6</v>
      </c>
      <c r="U16">
        <f t="shared" si="11"/>
        <v>3.4815000000000002E-3</v>
      </c>
      <c r="V16">
        <f t="shared" si="12"/>
        <v>2.3925000000000001E-3</v>
      </c>
      <c r="W16">
        <f>MATCH(Q16,CableTyp[B
(ohms/km)],0)</f>
        <v>1</v>
      </c>
      <c r="X16" cm="1">
        <f t="array" ref="X16">_xlfn.SINGLE(_xlfn.XLOOKUP(J16&amp;K16,CableTyp[Cable size(mm^2)] &amp;CableTyp[Type],CableTyp[R0
(ohms/km)]))</f>
        <v>0.42799999999999999</v>
      </c>
      <c r="Y16" cm="1">
        <f t="array" ref="Y16">_xlfn.SINGLE(_xlfn.XLOOKUP(J16&amp;K16,CableTyp[Cable size(mm^2)] &amp;CableTyp[Type],CableTyp[X0
(ohms/km)]))</f>
        <v>7.0300000000000001E-2</v>
      </c>
      <c r="Z16">
        <f t="shared" si="4"/>
        <v>7.0620000000000006E-3</v>
      </c>
      <c r="AA16">
        <f t="shared" si="5"/>
        <v>1.1599500000000001E-3</v>
      </c>
      <c r="AB16">
        <f t="shared" si="6"/>
        <v>7.0620000000000006E-3</v>
      </c>
      <c r="AC16">
        <f t="shared" si="7"/>
        <v>1.1599500000000001E-3</v>
      </c>
      <c r="AF16" t="s">
        <v>38</v>
      </c>
      <c r="AG16">
        <f>$T$38*$AG$13</f>
        <v>1.2513684623669216E-2</v>
      </c>
      <c r="AH16" t="str">
        <f>"sum(Bactual)*zbase"</f>
        <v>sum(Bactual)*zbase</v>
      </c>
    </row>
    <row r="17" spans="1:34" x14ac:dyDescent="0.45">
      <c r="A17" s="10" t="s">
        <v>9</v>
      </c>
      <c r="B17">
        <v>18</v>
      </c>
      <c r="C17">
        <v>20</v>
      </c>
      <c r="D17">
        <v>4</v>
      </c>
      <c r="E17">
        <f t="shared" si="0"/>
        <v>16.8</v>
      </c>
      <c r="F17">
        <v>30</v>
      </c>
      <c r="G17">
        <f t="shared" si="1"/>
        <v>3.3000000000000002E-2</v>
      </c>
      <c r="H17">
        <f t="shared" si="2"/>
        <v>293.92377340562768</v>
      </c>
      <c r="I17" t="s">
        <v>28</v>
      </c>
      <c r="J17">
        <v>300</v>
      </c>
      <c r="K17" t="s">
        <v>29</v>
      </c>
      <c r="L17">
        <f>_xlfn.XLOOKUP(J17&amp;K17,CableTyp[Cable size(mm^2)] &amp;CableTyp[Type],CableTyp[Imax(in grnd)(A)])</f>
        <v>421</v>
      </c>
      <c r="M17" cm="1">
        <f t="array" ref="M17">_xlfn.SINGLE(_xlfn.XLOOKUP(J17&amp;K17,CableTyp[Cable size(mm^2)] &amp;CableTyp[Type],CableTyp[Imax(in grnd)(A) at 0.85DF]))</f>
        <v>357.84999999999997</v>
      </c>
      <c r="N17" cm="1">
        <f t="array" ref="N17">_xlfn.SINGLE(_xlfn.XLOOKUP(J17&amp;K17,CableTyp[Cable size(mm^2)] &amp;CableTyp[Type],CableTyp[R
(ohms/km)]))</f>
        <v>0.129</v>
      </c>
      <c r="O17" cm="1">
        <f t="array" ref="O17">_xlfn.SINGLE(_xlfn.XLOOKUP(J17&amp;K17,CableTyp[Cable size(mm^2)] &amp;CableTyp[Type],CableTyp[X
(ohms/km)]))</f>
        <v>0.13600000000000001</v>
      </c>
      <c r="P17" cm="1">
        <f t="array" ref="P17">_xlfn.SINGLE(_xlfn.XLOOKUP(J17&amp;K17,CableTyp[Cable size(mm^2)] &amp;CableTyp[Type],CableTyp[C(uF/km)]))</f>
        <v>0.24199999999999999</v>
      </c>
      <c r="Q17">
        <f t="shared" si="3"/>
        <v>7.6026542216872997E-5</v>
      </c>
      <c r="R17">
        <f t="shared" si="8"/>
        <v>4.2570000000000004E-3</v>
      </c>
      <c r="S17">
        <f t="shared" si="9"/>
        <v>4.4880000000000007E-3</v>
      </c>
      <c r="T17">
        <f t="shared" si="10"/>
        <v>2.508875893156809E-6</v>
      </c>
      <c r="U17">
        <f t="shared" si="11"/>
        <v>6.8112000000000006E-2</v>
      </c>
      <c r="V17">
        <f t="shared" si="12"/>
        <v>7.1808000000000011E-2</v>
      </c>
      <c r="W17">
        <f>MATCH(Q17,CableTyp[B
(ohms/km)],0)</f>
        <v>3</v>
      </c>
      <c r="X17" cm="1">
        <f t="array" ref="X17">_xlfn.SINGLE(_xlfn.XLOOKUP(J17&amp;K17,CableTyp[Cable size(mm^2)] &amp;CableTyp[Type],CableTyp[R0
(ohms/km)]))</f>
        <v>0.36399999999999999</v>
      </c>
      <c r="Y17" cm="1">
        <f t="array" ref="Y17">_xlfn.SINGLE(_xlfn.XLOOKUP(J17&amp;K17,CableTyp[Cable size(mm^2)] &amp;CableTyp[Type],CableTyp[X0
(ohms/km)]))</f>
        <v>6.2199999999999998E-2</v>
      </c>
      <c r="Z17">
        <f t="shared" si="4"/>
        <v>1.2012E-2</v>
      </c>
      <c r="AA17">
        <f t="shared" si="5"/>
        <v>2.0525999999999999E-3</v>
      </c>
      <c r="AB17">
        <f t="shared" si="6"/>
        <v>0.192192</v>
      </c>
      <c r="AC17">
        <f t="shared" si="7"/>
        <v>3.2841599999999999E-2</v>
      </c>
    </row>
    <row r="18" spans="1:34" x14ac:dyDescent="0.45">
      <c r="A18" s="10" t="s">
        <v>9</v>
      </c>
      <c r="B18">
        <v>21</v>
      </c>
      <c r="C18">
        <v>20</v>
      </c>
      <c r="D18">
        <v>1</v>
      </c>
      <c r="E18">
        <f t="shared" si="0"/>
        <v>4.2</v>
      </c>
      <c r="F18">
        <v>15</v>
      </c>
      <c r="G18">
        <f t="shared" si="1"/>
        <v>1.6500000000000001E-2</v>
      </c>
      <c r="H18">
        <f t="shared" si="2"/>
        <v>73.480943351406921</v>
      </c>
      <c r="I18" t="s">
        <v>28</v>
      </c>
      <c r="J18">
        <v>185</v>
      </c>
      <c r="K18" t="s">
        <v>29</v>
      </c>
      <c r="L18">
        <f>_xlfn.XLOOKUP(J18&amp;K18,CableTyp[Cable size(mm^2)] &amp;CableTyp[Type],CableTyp[Imax(in grnd)(A)])</f>
        <v>330</v>
      </c>
      <c r="M18" cm="1">
        <f t="array" ref="M18">_xlfn.SINGLE(_xlfn.XLOOKUP(J18&amp;K18,CableTyp[Cable size(mm^2)] &amp;CableTyp[Type],CableTyp[Imax(in grnd)(A) at 0.85DF]))</f>
        <v>280.5</v>
      </c>
      <c r="N18" cm="1">
        <f t="array" ref="N18">_xlfn.SINGLE(_xlfn.XLOOKUP(J18&amp;K18,CableTyp[Cable size(mm^2)] &amp;CableTyp[Type],CableTyp[R
(ohms/km)]))</f>
        <v>0.21099999999999999</v>
      </c>
      <c r="O18" cm="1">
        <f t="array" ref="O18">_xlfn.SINGLE(_xlfn.XLOOKUP(J18&amp;K18,CableTyp[Cable size(mm^2)] &amp;CableTyp[Type],CableTyp[X
(ohms/km)]))</f>
        <v>0.14499999999999999</v>
      </c>
      <c r="P18" cm="1">
        <f t="array" ref="P18">_xlfn.SINGLE(_xlfn.XLOOKUP(J18&amp;K18,CableTyp[Cable size(mm^2)] &amp;CableTyp[Type],CableTyp[C(uF/km)]))</f>
        <v>0.20200000000000001</v>
      </c>
      <c r="Q18">
        <f t="shared" si="3"/>
        <v>6.3460171602513821E-5</v>
      </c>
      <c r="R18">
        <f t="shared" si="8"/>
        <v>3.4815000000000002E-3</v>
      </c>
      <c r="S18">
        <f t="shared" si="9"/>
        <v>2.3925000000000001E-3</v>
      </c>
      <c r="T18">
        <f t="shared" si="10"/>
        <v>1.0470928314414781E-6</v>
      </c>
      <c r="U18">
        <f t="shared" si="11"/>
        <v>3.4815000000000002E-3</v>
      </c>
      <c r="V18">
        <f t="shared" si="12"/>
        <v>2.3925000000000001E-3</v>
      </c>
      <c r="W18">
        <f>MATCH(Q18,CableTyp[B
(ohms/km)],0)</f>
        <v>1</v>
      </c>
      <c r="X18" cm="1">
        <f t="array" ref="X18">_xlfn.SINGLE(_xlfn.XLOOKUP(J18&amp;K18,CableTyp[Cable size(mm^2)] &amp;CableTyp[Type],CableTyp[R0
(ohms/km)]))</f>
        <v>0.42799999999999999</v>
      </c>
      <c r="Y18" cm="1">
        <f t="array" ref="Y18">_xlfn.SINGLE(_xlfn.XLOOKUP(J18&amp;K18,CableTyp[Cable size(mm^2)] &amp;CableTyp[Type],CableTyp[X0
(ohms/km)]))</f>
        <v>7.0300000000000001E-2</v>
      </c>
      <c r="Z18">
        <f t="shared" si="4"/>
        <v>7.0620000000000006E-3</v>
      </c>
      <c r="AA18">
        <f t="shared" si="5"/>
        <v>1.1599500000000001E-3</v>
      </c>
      <c r="AB18">
        <f t="shared" si="6"/>
        <v>7.0620000000000006E-3</v>
      </c>
      <c r="AC18">
        <f t="shared" si="7"/>
        <v>1.1599500000000001E-3</v>
      </c>
    </row>
    <row r="19" spans="1:34" x14ac:dyDescent="0.45">
      <c r="A19" s="10" t="s">
        <v>9</v>
      </c>
      <c r="B19">
        <v>20</v>
      </c>
      <c r="C19" t="s">
        <v>6</v>
      </c>
      <c r="D19">
        <v>6</v>
      </c>
      <c r="E19">
        <f t="shared" si="0"/>
        <v>25.200000000000003</v>
      </c>
      <c r="F19">
        <v>1326</v>
      </c>
      <c r="G19">
        <f t="shared" si="1"/>
        <v>1.4585999999999999</v>
      </c>
      <c r="H19">
        <f t="shared" si="2"/>
        <v>440.88566010844158</v>
      </c>
      <c r="I19" t="s">
        <v>28</v>
      </c>
      <c r="J19">
        <v>630</v>
      </c>
      <c r="K19" t="s">
        <v>29</v>
      </c>
      <c r="L19">
        <f>_xlfn.XLOOKUP(J19&amp;K19,CableTyp[Cable size(mm^2)] &amp;CableTyp[Type],CableTyp[Imax(in grnd)(A)])</f>
        <v>593</v>
      </c>
      <c r="M19" cm="1">
        <f t="array" ref="M19">_xlfn.SINGLE(_xlfn.XLOOKUP(J19&amp;K19,CableTyp[Cable size(mm^2)] &amp;CableTyp[Type],CableTyp[Imax(in grnd)(A) at 0.85DF]))</f>
        <v>504.05</v>
      </c>
      <c r="N19" cm="1">
        <f t="array" ref="N19">_xlfn.SINGLE(_xlfn.XLOOKUP(J19&amp;K19,CableTyp[Cable size(mm^2)] &amp;CableTyp[Type],CableTyp[R
(ohms/km)]))</f>
        <v>6.2899999999999998E-2</v>
      </c>
      <c r="O19" cm="1">
        <f t="array" ref="O19">_xlfn.SINGLE(_xlfn.XLOOKUP(J19&amp;K19,CableTyp[Cable size(mm^2)] &amp;CableTyp[Type],CableTyp[X
(ohms/km)]))</f>
        <v>0.123</v>
      </c>
      <c r="P19" cm="1">
        <f t="array" ref="P19">_xlfn.SINGLE(_xlfn.XLOOKUP(J19&amp;K19,CableTyp[Cable size(mm^2)] &amp;CableTyp[Type],CableTyp[C(uF/km)]))</f>
        <v>0.32900000000000001</v>
      </c>
      <c r="Q19">
        <f t="shared" si="3"/>
        <v>1.033583983031042E-4</v>
      </c>
      <c r="R19">
        <f t="shared" si="8"/>
        <v>9.1745939999999984E-2</v>
      </c>
      <c r="S19">
        <f t="shared" si="9"/>
        <v>0.17940779999999998</v>
      </c>
      <c r="T19">
        <f t="shared" si="10"/>
        <v>1.5075855976490776E-4</v>
      </c>
      <c r="U19">
        <f t="shared" si="11"/>
        <v>3.3028538399999996</v>
      </c>
      <c r="V19">
        <f t="shared" si="12"/>
        <v>6.4586807999999989</v>
      </c>
      <c r="W19">
        <f>MATCH(Q19,CableTyp[B
(ohms/km)],0)</f>
        <v>5</v>
      </c>
      <c r="X19" cm="1">
        <f t="array" ref="X19">_xlfn.SINGLE(_xlfn.XLOOKUP(J19&amp;K19,CableTyp[Cable size(mm^2)] &amp;CableTyp[Type],CableTyp[R0
(ohms/km)]))</f>
        <v>0.312</v>
      </c>
      <c r="Y19" cm="1">
        <f t="array" ref="Y19">_xlfn.SINGLE(_xlfn.XLOOKUP(J19&amp;K19,CableTyp[Cable size(mm^2)] &amp;CableTyp[Type],CableTyp[X0
(ohms/km)]))</f>
        <v>5.04E-2</v>
      </c>
      <c r="Z19">
        <f t="shared" si="4"/>
        <v>0.45508319999999997</v>
      </c>
      <c r="AA19">
        <f t="shared" si="5"/>
        <v>7.3513439999999999E-2</v>
      </c>
      <c r="AB19">
        <f t="shared" si="6"/>
        <v>16.3829952</v>
      </c>
      <c r="AC19">
        <f t="shared" si="7"/>
        <v>2.6464838400000001</v>
      </c>
      <c r="AF19" s="17" t="str">
        <f>"zero Seq"</f>
        <v>zero Seq</v>
      </c>
    </row>
    <row r="20" spans="1:34" x14ac:dyDescent="0.45">
      <c r="A20" s="12" t="s">
        <v>10</v>
      </c>
      <c r="B20">
        <v>7</v>
      </c>
      <c r="C20">
        <v>8</v>
      </c>
      <c r="D20">
        <v>1</v>
      </c>
      <c r="E20">
        <f t="shared" si="0"/>
        <v>4.2</v>
      </c>
      <c r="F20">
        <v>257</v>
      </c>
      <c r="G20">
        <f t="shared" si="1"/>
        <v>0.28270000000000001</v>
      </c>
      <c r="H20">
        <f t="shared" si="2"/>
        <v>73.480943351406921</v>
      </c>
      <c r="I20" t="s">
        <v>28</v>
      </c>
      <c r="J20">
        <v>185</v>
      </c>
      <c r="K20" t="s">
        <v>29</v>
      </c>
      <c r="L20">
        <f>_xlfn.XLOOKUP(J20&amp;K20,CableTyp[Cable size(mm^2)] &amp;CableTyp[Type],CableTyp[Imax(in grnd)(A)])</f>
        <v>330</v>
      </c>
      <c r="M20" cm="1">
        <f t="array" ref="M20">_xlfn.SINGLE(_xlfn.XLOOKUP(J20&amp;K20,CableTyp[Cable size(mm^2)] &amp;CableTyp[Type],CableTyp[Imax(in grnd)(A) at 0.85DF]))</f>
        <v>280.5</v>
      </c>
      <c r="N20" cm="1">
        <f t="array" ref="N20">_xlfn.SINGLE(_xlfn.XLOOKUP(J20&amp;K20,CableTyp[Cable size(mm^2)] &amp;CableTyp[Type],CableTyp[R
(ohms/km)]))</f>
        <v>0.21099999999999999</v>
      </c>
      <c r="O20" cm="1">
        <f t="array" ref="O20">_xlfn.SINGLE(_xlfn.XLOOKUP(J20&amp;K20,CableTyp[Cable size(mm^2)] &amp;CableTyp[Type],CableTyp[X
(ohms/km)]))</f>
        <v>0.14499999999999999</v>
      </c>
      <c r="P20" cm="1">
        <f t="array" ref="P20">_xlfn.SINGLE(_xlfn.XLOOKUP(J20&amp;K20,CableTyp[Cable size(mm^2)] &amp;CableTyp[Type],CableTyp[C(uF/km)]))</f>
        <v>0.20200000000000001</v>
      </c>
      <c r="Q20">
        <f t="shared" si="3"/>
        <v>6.3460171602513821E-5</v>
      </c>
      <c r="R20">
        <f t="shared" si="8"/>
        <v>5.96497E-2</v>
      </c>
      <c r="S20">
        <f t="shared" si="9"/>
        <v>4.09915E-2</v>
      </c>
      <c r="T20">
        <f t="shared" si="10"/>
        <v>1.7940190512030658E-5</v>
      </c>
      <c r="U20">
        <f t="shared" si="11"/>
        <v>5.96497E-2</v>
      </c>
      <c r="V20">
        <f t="shared" si="12"/>
        <v>4.09915E-2</v>
      </c>
      <c r="W20">
        <f>MATCH(Q20,CableTyp[B
(ohms/km)],0)</f>
        <v>1</v>
      </c>
      <c r="X20" cm="1">
        <f t="array" ref="X20">_xlfn.SINGLE(_xlfn.XLOOKUP(J20&amp;K20,CableTyp[Cable size(mm^2)] &amp;CableTyp[Type],CableTyp[R0
(ohms/km)]))</f>
        <v>0.42799999999999999</v>
      </c>
      <c r="Y20" cm="1">
        <f t="array" ref="Y20">_xlfn.SINGLE(_xlfn.XLOOKUP(J20&amp;K20,CableTyp[Cable size(mm^2)] &amp;CableTyp[Type],CableTyp[X0
(ohms/km)]))</f>
        <v>7.0300000000000001E-2</v>
      </c>
      <c r="Z20">
        <f t="shared" si="4"/>
        <v>0.12099559999999999</v>
      </c>
      <c r="AA20">
        <f t="shared" si="5"/>
        <v>1.9873810000000002E-2</v>
      </c>
      <c r="AB20">
        <f t="shared" si="6"/>
        <v>0.12099559999999999</v>
      </c>
      <c r="AC20">
        <f t="shared" si="7"/>
        <v>1.9873810000000002E-2</v>
      </c>
      <c r="AF20" s="6" t="s">
        <v>40</v>
      </c>
      <c r="AG20" s="7">
        <v>36</v>
      </c>
    </row>
    <row r="21" spans="1:34" x14ac:dyDescent="0.45">
      <c r="A21" s="12" t="s">
        <v>10</v>
      </c>
      <c r="B21">
        <v>8</v>
      </c>
      <c r="C21">
        <v>13</v>
      </c>
      <c r="D21">
        <v>2</v>
      </c>
      <c r="E21">
        <f t="shared" si="0"/>
        <v>8.4</v>
      </c>
      <c r="F21">
        <v>160</v>
      </c>
      <c r="G21">
        <f t="shared" si="1"/>
        <v>0.17599999999999999</v>
      </c>
      <c r="H21">
        <f t="shared" si="2"/>
        <v>146.96188670281384</v>
      </c>
      <c r="I21" t="s">
        <v>28</v>
      </c>
      <c r="J21">
        <v>185</v>
      </c>
      <c r="K21" t="s">
        <v>29</v>
      </c>
      <c r="L21">
        <f>_xlfn.XLOOKUP(J21&amp;K21,CableTyp[Cable size(mm^2)] &amp;CableTyp[Type],CableTyp[Imax(in grnd)(A)])</f>
        <v>330</v>
      </c>
      <c r="M21" cm="1">
        <f t="array" ref="M21">_xlfn.SINGLE(_xlfn.XLOOKUP(J21&amp;K21,CableTyp[Cable size(mm^2)] &amp;CableTyp[Type],CableTyp[Imax(in grnd)(A) at 0.85DF]))</f>
        <v>280.5</v>
      </c>
      <c r="N21" cm="1">
        <f t="array" ref="N21">_xlfn.SINGLE(_xlfn.XLOOKUP(J21&amp;K21,CableTyp[Cable size(mm^2)] &amp;CableTyp[Type],CableTyp[R
(ohms/km)]))</f>
        <v>0.21099999999999999</v>
      </c>
      <c r="O21" cm="1">
        <f t="array" ref="O21">_xlfn.SINGLE(_xlfn.XLOOKUP(J21&amp;K21,CableTyp[Cable size(mm^2)] &amp;CableTyp[Type],CableTyp[X
(ohms/km)]))</f>
        <v>0.14499999999999999</v>
      </c>
      <c r="P21" cm="1">
        <f t="array" ref="P21">_xlfn.SINGLE(_xlfn.XLOOKUP(J21&amp;K21,CableTyp[Cable size(mm^2)] &amp;CableTyp[Type],CableTyp[C(uF/km)]))</f>
        <v>0.20200000000000001</v>
      </c>
      <c r="Q21">
        <f t="shared" si="3"/>
        <v>6.3460171602513821E-5</v>
      </c>
      <c r="R21">
        <f t="shared" si="8"/>
        <v>3.7135999999999995E-2</v>
      </c>
      <c r="S21">
        <f t="shared" si="9"/>
        <v>2.5519999999999998E-2</v>
      </c>
      <c r="T21">
        <f t="shared" si="10"/>
        <v>1.1168990202042432E-5</v>
      </c>
      <c r="U21">
        <f t="shared" si="11"/>
        <v>0.14854399999999998</v>
      </c>
      <c r="V21">
        <f t="shared" si="12"/>
        <v>0.10207999999999999</v>
      </c>
      <c r="W21">
        <f>MATCH(Q21,CableTyp[B
(ohms/km)],0)</f>
        <v>1</v>
      </c>
      <c r="X21" cm="1">
        <f t="array" ref="X21">_xlfn.SINGLE(_xlfn.XLOOKUP(J21&amp;K21,CableTyp[Cable size(mm^2)] &amp;CableTyp[Type],CableTyp[R0
(ohms/km)]))</f>
        <v>0.42799999999999999</v>
      </c>
      <c r="Y21" cm="1">
        <f t="array" ref="Y21">_xlfn.SINGLE(_xlfn.XLOOKUP(J21&amp;K21,CableTyp[Cable size(mm^2)] &amp;CableTyp[Type],CableTyp[X0
(ohms/km)]))</f>
        <v>7.0300000000000001E-2</v>
      </c>
      <c r="Z21">
        <f t="shared" si="4"/>
        <v>7.5327999999999992E-2</v>
      </c>
      <c r="AA21">
        <f t="shared" si="5"/>
        <v>1.23728E-2</v>
      </c>
      <c r="AB21">
        <f t="shared" si="6"/>
        <v>0.30131199999999997</v>
      </c>
      <c r="AC21">
        <f t="shared" si="7"/>
        <v>4.9491199999999999E-2</v>
      </c>
      <c r="AF21" t="s">
        <v>4</v>
      </c>
      <c r="AG21">
        <f>AB38/AG20^2</f>
        <v>8.1841291820987636E-2</v>
      </c>
      <c r="AH21" t="str">
        <f>"Sum(Rn^2)/(total_invs)^2)"</f>
        <v>Sum(Rn^2)/(total_invs)^2)</v>
      </c>
    </row>
    <row r="22" spans="1:34" x14ac:dyDescent="0.45">
      <c r="A22" s="12" t="s">
        <v>10</v>
      </c>
      <c r="B22">
        <v>13</v>
      </c>
      <c r="C22">
        <v>22</v>
      </c>
      <c r="D22">
        <v>3</v>
      </c>
      <c r="E22">
        <f t="shared" si="0"/>
        <v>12.600000000000001</v>
      </c>
      <c r="F22">
        <v>477</v>
      </c>
      <c r="G22">
        <f t="shared" si="1"/>
        <v>0.52470000000000006</v>
      </c>
      <c r="H22">
        <f t="shared" si="2"/>
        <v>220.44283005422079</v>
      </c>
      <c r="I22" t="s">
        <v>28</v>
      </c>
      <c r="J22">
        <v>185</v>
      </c>
      <c r="K22" t="s">
        <v>29</v>
      </c>
      <c r="L22">
        <f>_xlfn.XLOOKUP(J22&amp;K22,CableTyp[Cable size(mm^2)] &amp;CableTyp[Type],CableTyp[Imax(in grnd)(A)])</f>
        <v>330</v>
      </c>
      <c r="M22" cm="1">
        <f t="array" ref="M22">_xlfn.SINGLE(_xlfn.XLOOKUP(J22&amp;K22,CableTyp[Cable size(mm^2)] &amp;CableTyp[Type],CableTyp[Imax(in grnd)(A) at 0.85DF]))</f>
        <v>280.5</v>
      </c>
      <c r="N22" cm="1">
        <f t="array" ref="N22">_xlfn.SINGLE(_xlfn.XLOOKUP(J22&amp;K22,CableTyp[Cable size(mm^2)] &amp;CableTyp[Type],CableTyp[R
(ohms/km)]))</f>
        <v>0.21099999999999999</v>
      </c>
      <c r="O22" cm="1">
        <f t="array" ref="O22">_xlfn.SINGLE(_xlfn.XLOOKUP(J22&amp;K22,CableTyp[Cable size(mm^2)] &amp;CableTyp[Type],CableTyp[X
(ohms/km)]))</f>
        <v>0.14499999999999999</v>
      </c>
      <c r="P22" cm="1">
        <f t="array" ref="P22">_xlfn.SINGLE(_xlfn.XLOOKUP(J22&amp;K22,CableTyp[Cable size(mm^2)] &amp;CableTyp[Type],CableTyp[C(uF/km)]))</f>
        <v>0.20200000000000001</v>
      </c>
      <c r="Q22">
        <f t="shared" si="3"/>
        <v>6.3460171602513821E-5</v>
      </c>
      <c r="R22">
        <f t="shared" si="8"/>
        <v>0.11071170000000001</v>
      </c>
      <c r="S22">
        <f t="shared" si="9"/>
        <v>7.6081499999999996E-2</v>
      </c>
      <c r="T22">
        <f t="shared" si="10"/>
        <v>3.3297552039839002E-5</v>
      </c>
      <c r="U22">
        <f t="shared" si="11"/>
        <v>0.99640530000000005</v>
      </c>
      <c r="V22">
        <f t="shared" si="12"/>
        <v>0.68473349999999999</v>
      </c>
      <c r="W22">
        <f>MATCH(Q22,CableTyp[B
(ohms/km)],0)</f>
        <v>1</v>
      </c>
      <c r="X22" cm="1">
        <f t="array" ref="X22">_xlfn.SINGLE(_xlfn.XLOOKUP(J22&amp;K22,CableTyp[Cable size(mm^2)] &amp;CableTyp[Type],CableTyp[R0
(ohms/km)]))</f>
        <v>0.42799999999999999</v>
      </c>
      <c r="Y22" cm="1">
        <f t="array" ref="Y22">_xlfn.SINGLE(_xlfn.XLOOKUP(J22&amp;K22,CableTyp[Cable size(mm^2)] &amp;CableTyp[Type],CableTyp[X0
(ohms/km)]))</f>
        <v>7.0300000000000001E-2</v>
      </c>
      <c r="Z22">
        <f t="shared" si="4"/>
        <v>0.22457160000000001</v>
      </c>
      <c r="AA22">
        <f t="shared" si="5"/>
        <v>3.6886410000000001E-2</v>
      </c>
      <c r="AB22">
        <f t="shared" si="6"/>
        <v>2.0211444000000003</v>
      </c>
      <c r="AC22">
        <f t="shared" si="7"/>
        <v>0.33197768999999999</v>
      </c>
      <c r="AF22" t="s">
        <v>30</v>
      </c>
      <c r="AG22">
        <f>AC38/AG20^2</f>
        <v>1.3308899236111112E-2</v>
      </c>
      <c r="AH22" t="str">
        <f>"Sum(Xn^2)/(total_invs)^2)"</f>
        <v>Sum(Xn^2)/(total_invs)^2)</v>
      </c>
    </row>
    <row r="23" spans="1:34" x14ac:dyDescent="0.45">
      <c r="A23" s="12" t="s">
        <v>10</v>
      </c>
      <c r="B23">
        <v>22</v>
      </c>
      <c r="C23">
        <v>26</v>
      </c>
      <c r="D23">
        <v>4</v>
      </c>
      <c r="E23">
        <f t="shared" ref="E23" si="28">D23*4.2</f>
        <v>16.8</v>
      </c>
      <c r="F23">
        <v>430</v>
      </c>
      <c r="G23">
        <f t="shared" ref="G23" si="29">(F23+(0.1*F23))/1000</f>
        <v>0.47299999999999998</v>
      </c>
      <c r="H23">
        <f t="shared" ref="H23" si="30">(E23/(SQRT(3)*33))*1000</f>
        <v>293.92377340562768</v>
      </c>
      <c r="I23" t="s">
        <v>28</v>
      </c>
      <c r="J23">
        <v>300</v>
      </c>
      <c r="K23" t="s">
        <v>29</v>
      </c>
      <c r="L23">
        <f>_xlfn.XLOOKUP(J23&amp;K23,CableTyp[Cable size(mm^2)] &amp;CableTyp[Type],CableTyp[Imax(in grnd)(A)])</f>
        <v>421</v>
      </c>
      <c r="M23" cm="1">
        <f t="array" ref="M23">_xlfn.SINGLE(_xlfn.XLOOKUP(J23&amp;K23,CableTyp[Cable size(mm^2)] &amp;CableTyp[Type],CableTyp[Imax(in grnd)(A) at 0.85DF]))</f>
        <v>357.84999999999997</v>
      </c>
      <c r="N23" cm="1">
        <f t="array" ref="N23">_xlfn.SINGLE(_xlfn.XLOOKUP(J23&amp;K23,CableTyp[Cable size(mm^2)] &amp;CableTyp[Type],CableTyp[R
(ohms/km)]))</f>
        <v>0.129</v>
      </c>
      <c r="O23" cm="1">
        <f t="array" ref="O23">_xlfn.SINGLE(_xlfn.XLOOKUP(J23&amp;K23,CableTyp[Cable size(mm^2)] &amp;CableTyp[Type],CableTyp[X
(ohms/km)]))</f>
        <v>0.13600000000000001</v>
      </c>
      <c r="P23" cm="1">
        <f t="array" ref="P23">_xlfn.SINGLE(_xlfn.XLOOKUP(J23&amp;K23,CableTyp[Cable size(mm^2)] &amp;CableTyp[Type],CableTyp[C(uF/km)]))</f>
        <v>0.24199999999999999</v>
      </c>
      <c r="Q23">
        <f t="shared" si="3"/>
        <v>7.6026542216872997E-5</v>
      </c>
      <c r="R23">
        <f t="shared" ref="R23" si="31">N23*G23</f>
        <v>6.1017000000000002E-2</v>
      </c>
      <c r="S23">
        <f t="shared" ref="S23" si="32">O23*G23</f>
        <v>6.4327999999999996E-2</v>
      </c>
      <c r="T23">
        <f t="shared" ref="T23" si="33">G23*Q23</f>
        <v>3.5960554468580927E-5</v>
      </c>
      <c r="U23">
        <f t="shared" ref="U23" si="34">R23*D23^2</f>
        <v>0.97627200000000003</v>
      </c>
      <c r="V23">
        <f t="shared" ref="V23" si="35">S23*D23^2</f>
        <v>1.0292479999999999</v>
      </c>
      <c r="W23">
        <f>MATCH(Q23,CableTyp[B
(ohms/km)],0)</f>
        <v>3</v>
      </c>
      <c r="X23" cm="1">
        <f t="array" ref="X23">_xlfn.SINGLE(_xlfn.XLOOKUP(J23&amp;K23,CableTyp[Cable size(mm^2)] &amp;CableTyp[Type],CableTyp[R0
(ohms/km)]))</f>
        <v>0.36399999999999999</v>
      </c>
      <c r="Y23" cm="1">
        <f t="array" ref="Y23">_xlfn.SINGLE(_xlfn.XLOOKUP(J23&amp;K23,CableTyp[Cable size(mm^2)] &amp;CableTyp[Type],CableTyp[X0
(ohms/km)]))</f>
        <v>6.2199999999999998E-2</v>
      </c>
      <c r="Z23">
        <f t="shared" si="4"/>
        <v>0.17217199999999999</v>
      </c>
      <c r="AA23">
        <f t="shared" si="5"/>
        <v>2.9420599999999998E-2</v>
      </c>
      <c r="AB23">
        <f t="shared" si="6"/>
        <v>2.7547519999999999</v>
      </c>
      <c r="AC23">
        <f t="shared" si="7"/>
        <v>0.47072959999999997</v>
      </c>
      <c r="AF23" t="s">
        <v>31</v>
      </c>
      <c r="AG23">
        <f>SQRT(AG21^2+AG22^2)</f>
        <v>8.2916366573825562E-2</v>
      </c>
    </row>
    <row r="24" spans="1:34" x14ac:dyDescent="0.45">
      <c r="A24" s="12" t="s">
        <v>10</v>
      </c>
      <c r="B24">
        <v>27</v>
      </c>
      <c r="C24">
        <v>26</v>
      </c>
      <c r="D24">
        <v>1</v>
      </c>
      <c r="E24">
        <f t="shared" si="0"/>
        <v>4.2</v>
      </c>
      <c r="F24">
        <v>110</v>
      </c>
      <c r="G24">
        <f t="shared" si="1"/>
        <v>0.121</v>
      </c>
      <c r="H24">
        <f t="shared" si="2"/>
        <v>73.480943351406921</v>
      </c>
      <c r="I24" t="s">
        <v>28</v>
      </c>
      <c r="J24">
        <v>185</v>
      </c>
      <c r="K24" t="s">
        <v>29</v>
      </c>
      <c r="L24">
        <f>_xlfn.XLOOKUP(J24&amp;K24,CableTyp[Cable size(mm^2)] &amp;CableTyp[Type],CableTyp[Imax(in grnd)(A)])</f>
        <v>330</v>
      </c>
      <c r="M24" cm="1">
        <f t="array" ref="M24">_xlfn.SINGLE(_xlfn.XLOOKUP(J24&amp;K24,CableTyp[Cable size(mm^2)] &amp;CableTyp[Type],CableTyp[Imax(in grnd)(A) at 0.85DF]))</f>
        <v>280.5</v>
      </c>
      <c r="N24" cm="1">
        <f t="array" ref="N24">_xlfn.SINGLE(_xlfn.XLOOKUP(J24&amp;K24,CableTyp[Cable size(mm^2)] &amp;CableTyp[Type],CableTyp[R
(ohms/km)]))</f>
        <v>0.21099999999999999</v>
      </c>
      <c r="O24" cm="1">
        <f t="array" ref="O24">_xlfn.SINGLE(_xlfn.XLOOKUP(J24&amp;K24,CableTyp[Cable size(mm^2)] &amp;CableTyp[Type],CableTyp[X
(ohms/km)]))</f>
        <v>0.14499999999999999</v>
      </c>
      <c r="P24" cm="1">
        <f t="array" ref="P24">_xlfn.SINGLE(_xlfn.XLOOKUP(J24&amp;K24,CableTyp[Cable size(mm^2)] &amp;CableTyp[Type],CableTyp[C(uF/km)]))</f>
        <v>0.20200000000000001</v>
      </c>
      <c r="Q24">
        <f t="shared" si="3"/>
        <v>6.3460171602513821E-5</v>
      </c>
      <c r="R24">
        <f t="shared" si="8"/>
        <v>2.5530999999999998E-2</v>
      </c>
      <c r="S24">
        <f t="shared" si="9"/>
        <v>1.7544999999999998E-2</v>
      </c>
      <c r="T24">
        <f t="shared" si="10"/>
        <v>7.6786807639041717E-6</v>
      </c>
      <c r="U24">
        <f t="shared" si="11"/>
        <v>2.5530999999999998E-2</v>
      </c>
      <c r="V24">
        <f t="shared" si="12"/>
        <v>1.7544999999999998E-2</v>
      </c>
      <c r="W24">
        <f>MATCH(Q24,CableTyp[B
(ohms/km)],0)</f>
        <v>1</v>
      </c>
      <c r="X24" cm="1">
        <f t="array" ref="X24">_xlfn.SINGLE(_xlfn.XLOOKUP(J24&amp;K24,CableTyp[Cable size(mm^2)] &amp;CableTyp[Type],CableTyp[R0
(ohms/km)]))</f>
        <v>0.42799999999999999</v>
      </c>
      <c r="Y24" cm="1">
        <f t="array" ref="Y24">_xlfn.SINGLE(_xlfn.XLOOKUP(J24&amp;K24,CableTyp[Cable size(mm^2)] &amp;CableTyp[Type],CableTyp[X0
(ohms/km)]))</f>
        <v>7.0300000000000001E-2</v>
      </c>
      <c r="Z24">
        <f t="shared" si="4"/>
        <v>5.1788000000000001E-2</v>
      </c>
      <c r="AA24">
        <f t="shared" si="5"/>
        <v>8.5062999999999996E-3</v>
      </c>
      <c r="AB24">
        <f t="shared" si="6"/>
        <v>5.1788000000000001E-2</v>
      </c>
      <c r="AC24">
        <f t="shared" si="7"/>
        <v>8.5062999999999996E-3</v>
      </c>
      <c r="AF24" t="s">
        <v>49</v>
      </c>
    </row>
    <row r="25" spans="1:34" x14ac:dyDescent="0.45">
      <c r="A25" s="12" t="s">
        <v>10</v>
      </c>
      <c r="B25">
        <v>26</v>
      </c>
      <c r="C25" t="s">
        <v>6</v>
      </c>
      <c r="D25">
        <v>6</v>
      </c>
      <c r="E25">
        <f t="shared" si="0"/>
        <v>25.200000000000003</v>
      </c>
      <c r="F25">
        <v>1390</v>
      </c>
      <c r="G25">
        <f t="shared" si="1"/>
        <v>1.5289999999999999</v>
      </c>
      <c r="H25">
        <f t="shared" si="2"/>
        <v>440.88566010844158</v>
      </c>
      <c r="I25" t="s">
        <v>28</v>
      </c>
      <c r="J25">
        <v>630</v>
      </c>
      <c r="K25" t="s">
        <v>29</v>
      </c>
      <c r="L25">
        <f>_xlfn.XLOOKUP(J25&amp;K25,CableTyp[Cable size(mm^2)] &amp;CableTyp[Type],CableTyp[Imax(in grnd)(A)])</f>
        <v>593</v>
      </c>
      <c r="M25" cm="1">
        <f t="array" ref="M25">_xlfn.SINGLE(_xlfn.XLOOKUP(J25&amp;K25,CableTyp[Cable size(mm^2)] &amp;CableTyp[Type],CableTyp[Imax(in grnd)(A) at 0.85DF]))</f>
        <v>504.05</v>
      </c>
      <c r="N25" cm="1">
        <f t="array" ref="N25">_xlfn.SINGLE(_xlfn.XLOOKUP(J25&amp;K25,CableTyp[Cable size(mm^2)] &amp;CableTyp[Type],CableTyp[R
(ohms/km)]))</f>
        <v>6.2899999999999998E-2</v>
      </c>
      <c r="O25" cm="1">
        <f t="array" ref="O25">_xlfn.SINGLE(_xlfn.XLOOKUP(J25&amp;K25,CableTyp[Cable size(mm^2)] &amp;CableTyp[Type],CableTyp[X
(ohms/km)]))</f>
        <v>0.123</v>
      </c>
      <c r="P25" cm="1">
        <f t="array" ref="P25">_xlfn.SINGLE(_xlfn.XLOOKUP(J25&amp;K25,CableTyp[Cable size(mm^2)] &amp;CableTyp[Type],CableTyp[C(uF/km)]))</f>
        <v>0.32900000000000001</v>
      </c>
      <c r="Q25">
        <f t="shared" si="3"/>
        <v>1.033583983031042E-4</v>
      </c>
      <c r="R25">
        <f t="shared" si="8"/>
        <v>9.6174099999999985E-2</v>
      </c>
      <c r="S25">
        <f t="shared" si="9"/>
        <v>0.18806699999999998</v>
      </c>
      <c r="T25">
        <f t="shared" si="10"/>
        <v>1.5803499100544631E-4</v>
      </c>
      <c r="U25">
        <f t="shared" si="11"/>
        <v>3.4622675999999997</v>
      </c>
      <c r="V25">
        <f t="shared" si="12"/>
        <v>6.7704119999999994</v>
      </c>
      <c r="W25">
        <f>MATCH(Q25,CableTyp[B
(ohms/km)],0)</f>
        <v>5</v>
      </c>
      <c r="X25" cm="1">
        <f t="array" ref="X25">_xlfn.SINGLE(_xlfn.XLOOKUP(J25&amp;K25,CableTyp[Cable size(mm^2)] &amp;CableTyp[Type],CableTyp[R0
(ohms/km)]))</f>
        <v>0.312</v>
      </c>
      <c r="Y25" cm="1">
        <f t="array" ref="Y25">_xlfn.SINGLE(_xlfn.XLOOKUP(J25&amp;K25,CableTyp[Cable size(mm^2)] &amp;CableTyp[Type],CableTyp[X0
(ohms/km)]))</f>
        <v>5.04E-2</v>
      </c>
      <c r="Z25">
        <f t="shared" si="4"/>
        <v>0.47704799999999997</v>
      </c>
      <c r="AA25">
        <f t="shared" si="5"/>
        <v>7.7061599999999994E-2</v>
      </c>
      <c r="AB25">
        <f t="shared" si="6"/>
        <v>17.173728000000001</v>
      </c>
      <c r="AC25">
        <f t="shared" si="7"/>
        <v>2.7742175999999996</v>
      </c>
      <c r="AF25" t="s">
        <v>52</v>
      </c>
      <c r="AG25" s="7">
        <v>33</v>
      </c>
    </row>
    <row r="26" spans="1:34" x14ac:dyDescent="0.45">
      <c r="A26" s="8" t="s">
        <v>11</v>
      </c>
      <c r="B26">
        <v>24</v>
      </c>
      <c r="C26">
        <v>23</v>
      </c>
      <c r="D26">
        <v>1</v>
      </c>
      <c r="E26">
        <f t="shared" si="0"/>
        <v>4.2</v>
      </c>
      <c r="F26">
        <v>15</v>
      </c>
      <c r="G26">
        <f t="shared" si="1"/>
        <v>1.6500000000000001E-2</v>
      </c>
      <c r="H26">
        <f t="shared" si="2"/>
        <v>73.480943351406921</v>
      </c>
      <c r="I26" t="s">
        <v>28</v>
      </c>
      <c r="J26">
        <v>185</v>
      </c>
      <c r="K26" t="s">
        <v>29</v>
      </c>
      <c r="L26">
        <f>_xlfn.XLOOKUP(J26&amp;K26,CableTyp[Cable size(mm^2)] &amp;CableTyp[Type],CableTyp[Imax(in grnd)(A)])</f>
        <v>330</v>
      </c>
      <c r="M26" cm="1">
        <f t="array" ref="M26">_xlfn.SINGLE(_xlfn.XLOOKUP(J26&amp;K26,CableTyp[Cable size(mm^2)] &amp;CableTyp[Type],CableTyp[Imax(in grnd)(A) at 0.85DF]))</f>
        <v>280.5</v>
      </c>
      <c r="N26" cm="1">
        <f t="array" ref="N26">_xlfn.SINGLE(_xlfn.XLOOKUP(J26&amp;K26,CableTyp[Cable size(mm^2)] &amp;CableTyp[Type],CableTyp[R
(ohms/km)]))</f>
        <v>0.21099999999999999</v>
      </c>
      <c r="O26" cm="1">
        <f t="array" ref="O26">_xlfn.SINGLE(_xlfn.XLOOKUP(J26&amp;K26,CableTyp[Cable size(mm^2)] &amp;CableTyp[Type],CableTyp[X
(ohms/km)]))</f>
        <v>0.14499999999999999</v>
      </c>
      <c r="P26" cm="1">
        <f t="array" ref="P26">_xlfn.SINGLE(_xlfn.XLOOKUP(J26&amp;K26,CableTyp[Cable size(mm^2)] &amp;CableTyp[Type],CableTyp[C(uF/km)]))</f>
        <v>0.20200000000000001</v>
      </c>
      <c r="Q26">
        <f t="shared" si="3"/>
        <v>6.3460171602513821E-5</v>
      </c>
      <c r="R26">
        <f t="shared" si="8"/>
        <v>3.4815000000000002E-3</v>
      </c>
      <c r="S26">
        <f t="shared" si="9"/>
        <v>2.3925000000000001E-3</v>
      </c>
      <c r="T26">
        <f t="shared" si="10"/>
        <v>1.0470928314414781E-6</v>
      </c>
      <c r="U26">
        <f t="shared" si="11"/>
        <v>3.4815000000000002E-3</v>
      </c>
      <c r="V26">
        <f t="shared" si="12"/>
        <v>2.3925000000000001E-3</v>
      </c>
      <c r="W26">
        <f>MATCH(Q26,CableTyp[B
(ohms/km)],0)</f>
        <v>1</v>
      </c>
      <c r="X26" cm="1">
        <f t="array" ref="X26">_xlfn.SINGLE(_xlfn.XLOOKUP(J26&amp;K26,CableTyp[Cable size(mm^2)] &amp;CableTyp[Type],CableTyp[R0
(ohms/km)]))</f>
        <v>0.42799999999999999</v>
      </c>
      <c r="Y26" cm="1">
        <f t="array" ref="Y26">_xlfn.SINGLE(_xlfn.XLOOKUP(J26&amp;K26,CableTyp[Cable size(mm^2)] &amp;CableTyp[Type],CableTyp[X0
(ohms/km)]))</f>
        <v>7.0300000000000001E-2</v>
      </c>
      <c r="Z26">
        <f t="shared" si="4"/>
        <v>7.0620000000000006E-3</v>
      </c>
      <c r="AA26">
        <f t="shared" si="5"/>
        <v>1.1599500000000001E-3</v>
      </c>
      <c r="AB26">
        <f t="shared" si="6"/>
        <v>7.0620000000000006E-3</v>
      </c>
      <c r="AC26">
        <f t="shared" si="7"/>
        <v>1.1599500000000001E-3</v>
      </c>
      <c r="AF26" t="s">
        <v>33</v>
      </c>
      <c r="AG26">
        <f>AG25^2/100</f>
        <v>10.89</v>
      </c>
    </row>
    <row r="27" spans="1:34" x14ac:dyDescent="0.45">
      <c r="A27" s="8" t="s">
        <v>11</v>
      </c>
      <c r="B27">
        <v>23</v>
      </c>
      <c r="C27">
        <v>25</v>
      </c>
      <c r="D27">
        <v>2</v>
      </c>
      <c r="E27">
        <f t="shared" si="0"/>
        <v>8.4</v>
      </c>
      <c r="F27">
        <v>30</v>
      </c>
      <c r="G27">
        <f t="shared" si="1"/>
        <v>3.3000000000000002E-2</v>
      </c>
      <c r="H27">
        <f t="shared" si="2"/>
        <v>146.96188670281384</v>
      </c>
      <c r="I27" t="s">
        <v>28</v>
      </c>
      <c r="J27">
        <v>185</v>
      </c>
      <c r="K27" t="s">
        <v>29</v>
      </c>
      <c r="L27">
        <f>_xlfn.XLOOKUP(J27&amp;K27,CableTyp[Cable size(mm^2)] &amp;CableTyp[Type],CableTyp[Imax(in grnd)(A)])</f>
        <v>330</v>
      </c>
      <c r="M27" cm="1">
        <f t="array" ref="M27">_xlfn.SINGLE(_xlfn.XLOOKUP(J27&amp;K27,CableTyp[Cable size(mm^2)] &amp;CableTyp[Type],CableTyp[Imax(in grnd)(A) at 0.85DF]))</f>
        <v>280.5</v>
      </c>
      <c r="N27" cm="1">
        <f t="array" ref="N27">_xlfn.SINGLE(_xlfn.XLOOKUP(J27&amp;K27,CableTyp[Cable size(mm^2)] &amp;CableTyp[Type],CableTyp[R
(ohms/km)]))</f>
        <v>0.21099999999999999</v>
      </c>
      <c r="O27" cm="1">
        <f t="array" ref="O27">_xlfn.SINGLE(_xlfn.XLOOKUP(J27&amp;K27,CableTyp[Cable size(mm^2)] &amp;CableTyp[Type],CableTyp[X
(ohms/km)]))</f>
        <v>0.14499999999999999</v>
      </c>
      <c r="P27" cm="1">
        <f t="array" ref="P27">_xlfn.SINGLE(_xlfn.XLOOKUP(J27&amp;K27,CableTyp[Cable size(mm^2)] &amp;CableTyp[Type],CableTyp[C(uF/km)]))</f>
        <v>0.20200000000000001</v>
      </c>
      <c r="Q27">
        <f t="shared" si="3"/>
        <v>6.3460171602513821E-5</v>
      </c>
      <c r="R27">
        <f t="shared" si="8"/>
        <v>6.9630000000000004E-3</v>
      </c>
      <c r="S27">
        <f t="shared" si="9"/>
        <v>4.7850000000000002E-3</v>
      </c>
      <c r="T27">
        <f t="shared" si="10"/>
        <v>2.0941856628829561E-6</v>
      </c>
      <c r="U27">
        <f t="shared" si="11"/>
        <v>2.7852000000000002E-2</v>
      </c>
      <c r="V27">
        <f t="shared" si="12"/>
        <v>1.9140000000000001E-2</v>
      </c>
      <c r="W27">
        <f>MATCH(Q27,CableTyp[B
(ohms/km)],0)</f>
        <v>1</v>
      </c>
      <c r="X27" cm="1">
        <f t="array" ref="X27">_xlfn.SINGLE(_xlfn.XLOOKUP(J27&amp;K27,CableTyp[Cable size(mm^2)] &amp;CableTyp[Type],CableTyp[R0
(ohms/km)]))</f>
        <v>0.42799999999999999</v>
      </c>
      <c r="Y27" cm="1">
        <f t="array" ref="Y27">_xlfn.SINGLE(_xlfn.XLOOKUP(J27&amp;K27,CableTyp[Cable size(mm^2)] &amp;CableTyp[Type],CableTyp[X0
(ohms/km)]))</f>
        <v>7.0300000000000001E-2</v>
      </c>
      <c r="Z27">
        <f t="shared" si="4"/>
        <v>1.4124000000000001E-2</v>
      </c>
      <c r="AA27">
        <f t="shared" si="5"/>
        <v>2.3199000000000002E-3</v>
      </c>
      <c r="AB27">
        <f t="shared" si="6"/>
        <v>5.6496000000000005E-2</v>
      </c>
      <c r="AC27">
        <f t="shared" si="7"/>
        <v>9.2796000000000007E-3</v>
      </c>
      <c r="AF27" t="s">
        <v>32</v>
      </c>
      <c r="AG27">
        <f>AG21/AG26</f>
        <v>7.5152701396682857E-3</v>
      </c>
    </row>
    <row r="28" spans="1:34" x14ac:dyDescent="0.45">
      <c r="A28" s="8" t="s">
        <v>11</v>
      </c>
      <c r="B28">
        <v>25</v>
      </c>
      <c r="C28">
        <v>28</v>
      </c>
      <c r="D28">
        <v>3</v>
      </c>
      <c r="E28">
        <f t="shared" si="0"/>
        <v>12.600000000000001</v>
      </c>
      <c r="F28">
        <v>235</v>
      </c>
      <c r="G28">
        <f t="shared" si="1"/>
        <v>0.25850000000000001</v>
      </c>
      <c r="H28">
        <f t="shared" si="2"/>
        <v>220.44283005422079</v>
      </c>
      <c r="I28" t="s">
        <v>28</v>
      </c>
      <c r="J28">
        <v>185</v>
      </c>
      <c r="K28" t="s">
        <v>29</v>
      </c>
      <c r="L28">
        <f>_xlfn.XLOOKUP(J28&amp;K28,CableTyp[Cable size(mm^2)] &amp;CableTyp[Type],CableTyp[Imax(in grnd)(A)])</f>
        <v>330</v>
      </c>
      <c r="M28" cm="1">
        <f t="array" ref="M28">_xlfn.SINGLE(_xlfn.XLOOKUP(J28&amp;K28,CableTyp[Cable size(mm^2)] &amp;CableTyp[Type],CableTyp[Imax(in grnd)(A) at 0.85DF]))</f>
        <v>280.5</v>
      </c>
      <c r="N28" cm="1">
        <f t="array" ref="N28">_xlfn.SINGLE(_xlfn.XLOOKUP(J28&amp;K28,CableTyp[Cable size(mm^2)] &amp;CableTyp[Type],CableTyp[R
(ohms/km)]))</f>
        <v>0.21099999999999999</v>
      </c>
      <c r="O28" cm="1">
        <f t="array" ref="O28">_xlfn.SINGLE(_xlfn.XLOOKUP(J28&amp;K28,CableTyp[Cable size(mm^2)] &amp;CableTyp[Type],CableTyp[X
(ohms/km)]))</f>
        <v>0.14499999999999999</v>
      </c>
      <c r="P28" cm="1">
        <f t="array" ref="P28">_xlfn.SINGLE(_xlfn.XLOOKUP(J28&amp;K28,CableTyp[Cable size(mm^2)] &amp;CableTyp[Type],CableTyp[C(uF/km)]))</f>
        <v>0.20200000000000001</v>
      </c>
      <c r="Q28">
        <f t="shared" si="3"/>
        <v>6.3460171602513821E-5</v>
      </c>
      <c r="R28">
        <f t="shared" si="8"/>
        <v>5.4543500000000002E-2</v>
      </c>
      <c r="S28">
        <f t="shared" si="9"/>
        <v>3.7482500000000002E-2</v>
      </c>
      <c r="T28">
        <f t="shared" si="10"/>
        <v>1.6404454359249823E-5</v>
      </c>
      <c r="U28">
        <f t="shared" si="11"/>
        <v>0.49089150000000004</v>
      </c>
      <c r="V28">
        <f t="shared" si="12"/>
        <v>0.33734249999999999</v>
      </c>
      <c r="W28">
        <f>MATCH(Q28,CableTyp[B
(ohms/km)],0)</f>
        <v>1</v>
      </c>
      <c r="X28" cm="1">
        <f t="array" ref="X28">_xlfn.SINGLE(_xlfn.XLOOKUP(J28&amp;K28,CableTyp[Cable size(mm^2)] &amp;CableTyp[Type],CableTyp[R0
(ohms/km)]))</f>
        <v>0.42799999999999999</v>
      </c>
      <c r="Y28" cm="1">
        <f t="array" ref="Y28">_xlfn.SINGLE(_xlfn.XLOOKUP(J28&amp;K28,CableTyp[Cable size(mm^2)] &amp;CableTyp[Type],CableTyp[X0
(ohms/km)]))</f>
        <v>7.0300000000000001E-2</v>
      </c>
      <c r="Z28">
        <f t="shared" si="4"/>
        <v>0.110638</v>
      </c>
      <c r="AA28">
        <f t="shared" si="5"/>
        <v>1.8172550000000003E-2</v>
      </c>
      <c r="AB28">
        <f t="shared" si="6"/>
        <v>0.99574200000000002</v>
      </c>
      <c r="AC28">
        <f t="shared" si="7"/>
        <v>0.16355295000000003</v>
      </c>
      <c r="AF28" t="s">
        <v>34</v>
      </c>
      <c r="AG28">
        <f>AG22/AG26</f>
        <v>1.2221211419753087E-3</v>
      </c>
    </row>
    <row r="29" spans="1:34" x14ac:dyDescent="0.45">
      <c r="A29" s="8" t="s">
        <v>11</v>
      </c>
      <c r="B29">
        <v>28</v>
      </c>
      <c r="C29">
        <v>36</v>
      </c>
      <c r="D29">
        <v>4</v>
      </c>
      <c r="E29">
        <f t="shared" si="0"/>
        <v>16.8</v>
      </c>
      <c r="F29">
        <v>333</v>
      </c>
      <c r="G29">
        <f t="shared" si="1"/>
        <v>0.36630000000000001</v>
      </c>
      <c r="H29">
        <f t="shared" si="2"/>
        <v>293.92377340562768</v>
      </c>
      <c r="I29" t="s">
        <v>28</v>
      </c>
      <c r="J29">
        <v>300</v>
      </c>
      <c r="K29" t="s">
        <v>29</v>
      </c>
      <c r="L29">
        <f>_xlfn.XLOOKUP(J29&amp;K29,CableTyp[Cable size(mm^2)] &amp;CableTyp[Type],CableTyp[Imax(in grnd)(A)])</f>
        <v>421</v>
      </c>
      <c r="M29" cm="1">
        <f t="array" ref="M29">_xlfn.SINGLE(_xlfn.XLOOKUP(J29&amp;K29,CableTyp[Cable size(mm^2)] &amp;CableTyp[Type],CableTyp[Imax(in grnd)(A) at 0.85DF]))</f>
        <v>357.84999999999997</v>
      </c>
      <c r="N29" cm="1">
        <f t="array" ref="N29">_xlfn.SINGLE(_xlfn.XLOOKUP(J29&amp;K29,CableTyp[Cable size(mm^2)] &amp;CableTyp[Type],CableTyp[R
(ohms/km)]))</f>
        <v>0.129</v>
      </c>
      <c r="O29" cm="1">
        <f t="array" ref="O29">_xlfn.SINGLE(_xlfn.XLOOKUP(J29&amp;K29,CableTyp[Cable size(mm^2)] &amp;CableTyp[Type],CableTyp[X
(ohms/km)]))</f>
        <v>0.13600000000000001</v>
      </c>
      <c r="P29" cm="1">
        <f t="array" ref="P29">_xlfn.SINGLE(_xlfn.XLOOKUP(J29&amp;K29,CableTyp[Cable size(mm^2)] &amp;CableTyp[Type],CableTyp[C(uF/km)]))</f>
        <v>0.24199999999999999</v>
      </c>
      <c r="Q29">
        <f t="shared" si="3"/>
        <v>7.6026542216872997E-5</v>
      </c>
      <c r="R29">
        <f t="shared" si="8"/>
        <v>4.7252700000000002E-2</v>
      </c>
      <c r="S29">
        <f t="shared" si="9"/>
        <v>4.9816800000000008E-2</v>
      </c>
      <c r="T29">
        <f t="shared" si="10"/>
        <v>2.784852241404058E-5</v>
      </c>
      <c r="U29">
        <f t="shared" si="11"/>
        <v>0.75604320000000003</v>
      </c>
      <c r="V29">
        <f t="shared" si="12"/>
        <v>0.79706880000000013</v>
      </c>
      <c r="W29">
        <f>MATCH(Q29,CableTyp[B
(ohms/km)],0)</f>
        <v>3</v>
      </c>
      <c r="X29" cm="1">
        <f t="array" ref="X29">_xlfn.SINGLE(_xlfn.XLOOKUP(J29&amp;K29,CableTyp[Cable size(mm^2)] &amp;CableTyp[Type],CableTyp[R0
(ohms/km)]))</f>
        <v>0.36399999999999999</v>
      </c>
      <c r="Y29" cm="1">
        <f t="array" ref="Y29">_xlfn.SINGLE(_xlfn.XLOOKUP(J29&amp;K29,CableTyp[Cable size(mm^2)] &amp;CableTyp[Type],CableTyp[X0
(ohms/km)]))</f>
        <v>6.2199999999999998E-2</v>
      </c>
      <c r="Z29">
        <f t="shared" si="4"/>
        <v>0.13333320000000001</v>
      </c>
      <c r="AA29">
        <f t="shared" si="5"/>
        <v>2.278386E-2</v>
      </c>
      <c r="AB29">
        <f t="shared" si="6"/>
        <v>2.1333312000000002</v>
      </c>
      <c r="AC29">
        <f t="shared" si="7"/>
        <v>0.36454175999999999</v>
      </c>
      <c r="AF29" t="s">
        <v>38</v>
      </c>
      <c r="AG29">
        <f>$T$38*$AG$13</f>
        <v>1.2513684623669216E-2</v>
      </c>
      <c r="AH29" t="str">
        <f>"sum(Bactual)*zbase"</f>
        <v>sum(Bactual)*zbase</v>
      </c>
    </row>
    <row r="30" spans="1:34" x14ac:dyDescent="0.45">
      <c r="A30" s="8" t="s">
        <v>11</v>
      </c>
      <c r="B30">
        <v>30</v>
      </c>
      <c r="C30">
        <v>36</v>
      </c>
      <c r="D30">
        <v>1</v>
      </c>
      <c r="E30">
        <f t="shared" si="0"/>
        <v>4.2</v>
      </c>
      <c r="F30">
        <v>10</v>
      </c>
      <c r="G30">
        <f t="shared" si="1"/>
        <v>1.0999999999999999E-2</v>
      </c>
      <c r="H30">
        <f t="shared" si="2"/>
        <v>73.480943351406921</v>
      </c>
      <c r="I30" t="s">
        <v>28</v>
      </c>
      <c r="J30">
        <v>185</v>
      </c>
      <c r="K30" t="s">
        <v>29</v>
      </c>
      <c r="L30">
        <f>_xlfn.XLOOKUP(J30&amp;K30,CableTyp[Cable size(mm^2)] &amp;CableTyp[Type],CableTyp[Imax(in grnd)(A)])</f>
        <v>330</v>
      </c>
      <c r="M30" cm="1">
        <f t="array" ref="M30">_xlfn.SINGLE(_xlfn.XLOOKUP(J30&amp;K30,CableTyp[Cable size(mm^2)] &amp;CableTyp[Type],CableTyp[Imax(in grnd)(A) at 0.85DF]))</f>
        <v>280.5</v>
      </c>
      <c r="N30" cm="1">
        <f t="array" ref="N30">_xlfn.SINGLE(_xlfn.XLOOKUP(J30&amp;K30,CableTyp[Cable size(mm^2)] &amp;CableTyp[Type],CableTyp[R
(ohms/km)]))</f>
        <v>0.21099999999999999</v>
      </c>
      <c r="O30" cm="1">
        <f t="array" ref="O30">_xlfn.SINGLE(_xlfn.XLOOKUP(J30&amp;K30,CableTyp[Cable size(mm^2)] &amp;CableTyp[Type],CableTyp[X
(ohms/km)]))</f>
        <v>0.14499999999999999</v>
      </c>
      <c r="P30" cm="1">
        <f t="array" ref="P30">_xlfn.SINGLE(_xlfn.XLOOKUP(J30&amp;K30,CableTyp[Cable size(mm^2)] &amp;CableTyp[Type],CableTyp[C(uF/km)]))</f>
        <v>0.20200000000000001</v>
      </c>
      <c r="Q30">
        <f t="shared" si="3"/>
        <v>6.3460171602513821E-5</v>
      </c>
      <c r="R30">
        <f t="shared" si="8"/>
        <v>2.3209999999999997E-3</v>
      </c>
      <c r="S30">
        <f t="shared" si="9"/>
        <v>1.5949999999999998E-3</v>
      </c>
      <c r="T30">
        <f t="shared" si="10"/>
        <v>6.98061887627652E-7</v>
      </c>
      <c r="U30">
        <f t="shared" si="11"/>
        <v>2.3209999999999997E-3</v>
      </c>
      <c r="V30">
        <f t="shared" si="12"/>
        <v>1.5949999999999998E-3</v>
      </c>
      <c r="W30">
        <f>MATCH(Q30,CableTyp[B
(ohms/km)],0)</f>
        <v>1</v>
      </c>
      <c r="X30" cm="1">
        <f t="array" ref="X30">_xlfn.SINGLE(_xlfn.XLOOKUP(J30&amp;K30,CableTyp[Cable size(mm^2)] &amp;CableTyp[Type],CableTyp[R0
(ohms/km)]))</f>
        <v>0.42799999999999999</v>
      </c>
      <c r="Y30" cm="1">
        <f t="array" ref="Y30">_xlfn.SINGLE(_xlfn.XLOOKUP(J30&amp;K30,CableTyp[Cable size(mm^2)] &amp;CableTyp[Type],CableTyp[X0
(ohms/km)]))</f>
        <v>7.0300000000000001E-2</v>
      </c>
      <c r="Z30">
        <f t="shared" si="4"/>
        <v>4.7079999999999995E-3</v>
      </c>
      <c r="AA30">
        <f t="shared" si="5"/>
        <v>7.7329999999999999E-4</v>
      </c>
      <c r="AB30">
        <f t="shared" si="6"/>
        <v>4.7079999999999995E-3</v>
      </c>
      <c r="AC30">
        <f t="shared" si="7"/>
        <v>7.7329999999999999E-4</v>
      </c>
    </row>
    <row r="31" spans="1:34" x14ac:dyDescent="0.45">
      <c r="A31" s="8" t="s">
        <v>11</v>
      </c>
      <c r="B31">
        <v>36</v>
      </c>
      <c r="C31" t="s">
        <v>6</v>
      </c>
      <c r="D31">
        <v>6</v>
      </c>
      <c r="E31">
        <f t="shared" si="0"/>
        <v>25.200000000000003</v>
      </c>
      <c r="F31">
        <v>618</v>
      </c>
      <c r="G31">
        <f t="shared" si="1"/>
        <v>0.67979999999999996</v>
      </c>
      <c r="H31">
        <f t="shared" si="2"/>
        <v>440.88566010844158</v>
      </c>
      <c r="I31" t="s">
        <v>28</v>
      </c>
      <c r="J31">
        <v>630</v>
      </c>
      <c r="K31" t="s">
        <v>29</v>
      </c>
      <c r="L31">
        <f>_xlfn.XLOOKUP(J31&amp;K31,CableTyp[Cable size(mm^2)] &amp;CableTyp[Type],CableTyp[Imax(in grnd)(A)])</f>
        <v>593</v>
      </c>
      <c r="M31" cm="1">
        <f t="array" ref="M31">_xlfn.SINGLE(_xlfn.XLOOKUP(J31&amp;K31,CableTyp[Cable size(mm^2)] &amp;CableTyp[Type],CableTyp[Imax(in grnd)(A) at 0.85DF]))</f>
        <v>504.05</v>
      </c>
      <c r="N31" cm="1">
        <f t="array" ref="N31">_xlfn.SINGLE(_xlfn.XLOOKUP(J31&amp;K31,CableTyp[Cable size(mm^2)] &amp;CableTyp[Type],CableTyp[R
(ohms/km)]))</f>
        <v>6.2899999999999998E-2</v>
      </c>
      <c r="O31" cm="1">
        <f t="array" ref="O31">_xlfn.SINGLE(_xlfn.XLOOKUP(J31&amp;K31,CableTyp[Cable size(mm^2)] &amp;CableTyp[Type],CableTyp[X
(ohms/km)]))</f>
        <v>0.123</v>
      </c>
      <c r="P31" cm="1">
        <f t="array" ref="P31">_xlfn.SINGLE(_xlfn.XLOOKUP(J31&amp;K31,CableTyp[Cable size(mm^2)] &amp;CableTyp[Type],CableTyp[C(uF/km)]))</f>
        <v>0.32900000000000001</v>
      </c>
      <c r="Q31">
        <f t="shared" si="3"/>
        <v>1.033583983031042E-4</v>
      </c>
      <c r="R31">
        <f t="shared" si="8"/>
        <v>4.2759419999999992E-2</v>
      </c>
      <c r="S31">
        <f t="shared" si="9"/>
        <v>8.3615399999999993E-2</v>
      </c>
      <c r="T31">
        <f t="shared" si="10"/>
        <v>7.0263039166450236E-5</v>
      </c>
      <c r="U31">
        <f t="shared" si="11"/>
        <v>1.5393391199999997</v>
      </c>
      <c r="V31">
        <f t="shared" si="12"/>
        <v>3.0101543999999998</v>
      </c>
      <c r="W31">
        <f>MATCH(Q31,CableTyp[B
(ohms/km)],0)</f>
        <v>5</v>
      </c>
      <c r="X31" cm="1">
        <f t="array" ref="X31">_xlfn.SINGLE(_xlfn.XLOOKUP(J31&amp;K31,CableTyp[Cable size(mm^2)] &amp;CableTyp[Type],CableTyp[R0
(ohms/km)]))</f>
        <v>0.312</v>
      </c>
      <c r="Y31" cm="1">
        <f t="array" ref="Y31">_xlfn.SINGLE(_xlfn.XLOOKUP(J31&amp;K31,CableTyp[Cable size(mm^2)] &amp;CableTyp[Type],CableTyp[X0
(ohms/km)]))</f>
        <v>5.04E-2</v>
      </c>
      <c r="Z31">
        <f t="shared" si="4"/>
        <v>0.2120976</v>
      </c>
      <c r="AA31">
        <f t="shared" si="5"/>
        <v>3.4261920000000001E-2</v>
      </c>
      <c r="AB31">
        <f t="shared" si="6"/>
        <v>7.6355135999999995</v>
      </c>
      <c r="AC31">
        <f t="shared" si="7"/>
        <v>1.23342912</v>
      </c>
    </row>
    <row r="32" spans="1:34" x14ac:dyDescent="0.45">
      <c r="A32" s="15" t="s">
        <v>39</v>
      </c>
      <c r="B32">
        <v>33</v>
      </c>
      <c r="C32">
        <v>32</v>
      </c>
      <c r="D32">
        <v>1</v>
      </c>
      <c r="E32">
        <f t="shared" si="0"/>
        <v>4.2</v>
      </c>
      <c r="F32">
        <v>155</v>
      </c>
      <c r="G32">
        <f t="shared" si="1"/>
        <v>0.17050000000000001</v>
      </c>
      <c r="H32">
        <f t="shared" si="2"/>
        <v>73.480943351406921</v>
      </c>
      <c r="I32" t="s">
        <v>28</v>
      </c>
      <c r="J32">
        <v>185</v>
      </c>
      <c r="K32" t="s">
        <v>29</v>
      </c>
      <c r="L32">
        <f>_xlfn.XLOOKUP(J32&amp;K32,CableTyp[Cable size(mm^2)] &amp;CableTyp[Type],CableTyp[Imax(in grnd)(A)])</f>
        <v>330</v>
      </c>
      <c r="M32" cm="1">
        <f t="array" ref="M32">_xlfn.SINGLE(_xlfn.XLOOKUP(J32&amp;K32,CableTyp[Cable size(mm^2)] &amp;CableTyp[Type],CableTyp[Imax(in grnd)(A) at 0.85DF]))</f>
        <v>280.5</v>
      </c>
      <c r="N32" cm="1">
        <f t="array" ref="N32">_xlfn.SINGLE(_xlfn.XLOOKUP(J32&amp;K32,CableTyp[Cable size(mm^2)] &amp;CableTyp[Type],CableTyp[R
(ohms/km)]))</f>
        <v>0.21099999999999999</v>
      </c>
      <c r="O32" cm="1">
        <f t="array" ref="O32">_xlfn.SINGLE(_xlfn.XLOOKUP(J32&amp;K32,CableTyp[Cable size(mm^2)] &amp;CableTyp[Type],CableTyp[X
(ohms/km)]))</f>
        <v>0.14499999999999999</v>
      </c>
      <c r="P32" cm="1">
        <f t="array" ref="P32">_xlfn.SINGLE(_xlfn.XLOOKUP(J32&amp;K32,CableTyp[Cable size(mm^2)] &amp;CableTyp[Type],CableTyp[C(uF/km)]))</f>
        <v>0.20200000000000001</v>
      </c>
      <c r="Q32">
        <f t="shared" si="3"/>
        <v>6.3460171602513821E-5</v>
      </c>
      <c r="R32">
        <f t="shared" ref="R32:R37" si="36">N32*G32</f>
        <v>3.5975500000000001E-2</v>
      </c>
      <c r="S32">
        <f t="shared" ref="S32:S37" si="37">O32*G32</f>
        <v>2.4722500000000001E-2</v>
      </c>
      <c r="T32">
        <f t="shared" ref="T32:T37" si="38">G32*Q32</f>
        <v>1.0819959258228607E-5</v>
      </c>
      <c r="U32">
        <f t="shared" si="11"/>
        <v>3.5975500000000001E-2</v>
      </c>
      <c r="V32">
        <f t="shared" si="12"/>
        <v>2.4722500000000001E-2</v>
      </c>
      <c r="W32">
        <f>MATCH(Q32,CableTyp[B
(ohms/km)],0)</f>
        <v>1</v>
      </c>
      <c r="X32" cm="1">
        <f t="array" ref="X32">_xlfn.SINGLE(_xlfn.XLOOKUP(J32&amp;K32,CableTyp[Cable size(mm^2)] &amp;CableTyp[Type],CableTyp[R0
(ohms/km)]))</f>
        <v>0.42799999999999999</v>
      </c>
      <c r="Y32" cm="1">
        <f t="array" ref="Y32">_xlfn.SINGLE(_xlfn.XLOOKUP(J32&amp;K32,CableTyp[Cable size(mm^2)] &amp;CableTyp[Type],CableTyp[X0
(ohms/km)]))</f>
        <v>7.0300000000000001E-2</v>
      </c>
      <c r="Z32">
        <f t="shared" si="4"/>
        <v>7.2973999999999997E-2</v>
      </c>
      <c r="AA32">
        <f t="shared" si="5"/>
        <v>1.1986150000000001E-2</v>
      </c>
      <c r="AB32">
        <f t="shared" si="6"/>
        <v>7.2973999999999997E-2</v>
      </c>
      <c r="AC32">
        <f t="shared" si="7"/>
        <v>1.1986150000000001E-2</v>
      </c>
    </row>
    <row r="33" spans="1:29" x14ac:dyDescent="0.45">
      <c r="A33" s="15" t="s">
        <v>39</v>
      </c>
      <c r="B33">
        <v>31</v>
      </c>
      <c r="C33">
        <v>32</v>
      </c>
      <c r="D33">
        <v>1</v>
      </c>
      <c r="E33">
        <f t="shared" si="0"/>
        <v>4.2</v>
      </c>
      <c r="F33">
        <v>167</v>
      </c>
      <c r="G33">
        <f t="shared" si="1"/>
        <v>0.1837</v>
      </c>
      <c r="H33">
        <f t="shared" si="2"/>
        <v>73.480943351406921</v>
      </c>
      <c r="I33" t="s">
        <v>28</v>
      </c>
      <c r="J33">
        <v>185</v>
      </c>
      <c r="K33" t="s">
        <v>29</v>
      </c>
      <c r="L33">
        <f>_xlfn.XLOOKUP(J33&amp;K33,CableTyp[Cable size(mm^2)] &amp;CableTyp[Type],CableTyp[Imax(in grnd)(A)])</f>
        <v>330</v>
      </c>
      <c r="M33" cm="1">
        <f t="array" ref="M33">_xlfn.SINGLE(_xlfn.XLOOKUP(J33&amp;K33,CableTyp[Cable size(mm^2)] &amp;CableTyp[Type],CableTyp[Imax(in grnd)(A) at 0.85DF]))</f>
        <v>280.5</v>
      </c>
      <c r="N33" cm="1">
        <f t="array" ref="N33">_xlfn.SINGLE(_xlfn.XLOOKUP(J33&amp;K33,CableTyp[Cable size(mm^2)] &amp;CableTyp[Type],CableTyp[R
(ohms/km)]))</f>
        <v>0.21099999999999999</v>
      </c>
      <c r="O33" cm="1">
        <f t="array" ref="O33">_xlfn.SINGLE(_xlfn.XLOOKUP(J33&amp;K33,CableTyp[Cable size(mm^2)] &amp;CableTyp[Type],CableTyp[X
(ohms/km)]))</f>
        <v>0.14499999999999999</v>
      </c>
      <c r="P33" cm="1">
        <f t="array" ref="P33">_xlfn.SINGLE(_xlfn.XLOOKUP(J33&amp;K33,CableTyp[Cable size(mm^2)] &amp;CableTyp[Type],CableTyp[C(uF/km)]))</f>
        <v>0.20200000000000001</v>
      </c>
      <c r="Q33">
        <f t="shared" si="3"/>
        <v>6.3460171602513821E-5</v>
      </c>
      <c r="R33">
        <f t="shared" si="36"/>
        <v>3.8760700000000002E-2</v>
      </c>
      <c r="S33">
        <f t="shared" si="37"/>
        <v>2.6636499999999997E-2</v>
      </c>
      <c r="T33">
        <f t="shared" si="38"/>
        <v>1.1657633523381789E-5</v>
      </c>
      <c r="U33">
        <f t="shared" si="11"/>
        <v>3.8760700000000002E-2</v>
      </c>
      <c r="V33">
        <f t="shared" si="12"/>
        <v>2.6636499999999997E-2</v>
      </c>
      <c r="W33">
        <f>MATCH(Q33,CableTyp[B
(ohms/km)],0)</f>
        <v>1</v>
      </c>
      <c r="X33" cm="1">
        <f t="array" ref="X33">_xlfn.SINGLE(_xlfn.XLOOKUP(J33&amp;K33,CableTyp[Cable size(mm^2)] &amp;CableTyp[Type],CableTyp[R0
(ohms/km)]))</f>
        <v>0.42799999999999999</v>
      </c>
      <c r="Y33" cm="1">
        <f t="array" ref="Y33">_xlfn.SINGLE(_xlfn.XLOOKUP(J33&amp;K33,CableTyp[Cable size(mm^2)] &amp;CableTyp[Type],CableTyp[X0
(ohms/km)]))</f>
        <v>7.0300000000000001E-2</v>
      </c>
      <c r="Z33">
        <f t="shared" si="4"/>
        <v>7.8623600000000002E-2</v>
      </c>
      <c r="AA33">
        <f t="shared" si="5"/>
        <v>1.2914110000000001E-2</v>
      </c>
      <c r="AB33">
        <f t="shared" si="6"/>
        <v>7.8623600000000002E-2</v>
      </c>
      <c r="AC33">
        <f t="shared" si="7"/>
        <v>1.2914110000000001E-2</v>
      </c>
    </row>
    <row r="34" spans="1:29" x14ac:dyDescent="0.45">
      <c r="A34" s="15" t="s">
        <v>39</v>
      </c>
      <c r="B34">
        <v>29</v>
      </c>
      <c r="C34">
        <v>32</v>
      </c>
      <c r="D34">
        <v>1</v>
      </c>
      <c r="E34">
        <f t="shared" si="0"/>
        <v>4.2</v>
      </c>
      <c r="F34">
        <v>363</v>
      </c>
      <c r="G34">
        <f t="shared" si="1"/>
        <v>0.39929999999999999</v>
      </c>
      <c r="H34">
        <f t="shared" si="2"/>
        <v>73.480943351406921</v>
      </c>
      <c r="I34" t="s">
        <v>28</v>
      </c>
      <c r="J34">
        <v>185</v>
      </c>
      <c r="K34" t="s">
        <v>29</v>
      </c>
      <c r="L34">
        <f>_xlfn.XLOOKUP(J34&amp;K34,CableTyp[Cable size(mm^2)] &amp;CableTyp[Type],CableTyp[Imax(in grnd)(A)])</f>
        <v>330</v>
      </c>
      <c r="M34" cm="1">
        <f t="array" ref="M34">_xlfn.SINGLE(_xlfn.XLOOKUP(J34&amp;K34,CableTyp[Cable size(mm^2)] &amp;CableTyp[Type],CableTyp[Imax(in grnd)(A) at 0.85DF]))</f>
        <v>280.5</v>
      </c>
      <c r="N34" cm="1">
        <f t="array" ref="N34">_xlfn.SINGLE(_xlfn.XLOOKUP(J34&amp;K34,CableTyp[Cable size(mm^2)] &amp;CableTyp[Type],CableTyp[R
(ohms/km)]))</f>
        <v>0.21099999999999999</v>
      </c>
      <c r="O34" cm="1">
        <f t="array" ref="O34">_xlfn.SINGLE(_xlfn.XLOOKUP(J34&amp;K34,CableTyp[Cable size(mm^2)] &amp;CableTyp[Type],CableTyp[X
(ohms/km)]))</f>
        <v>0.14499999999999999</v>
      </c>
      <c r="P34" cm="1">
        <f t="array" ref="P34">_xlfn.SINGLE(_xlfn.XLOOKUP(J34&amp;K34,CableTyp[Cable size(mm^2)] &amp;CableTyp[Type],CableTyp[C(uF/km)]))</f>
        <v>0.20200000000000001</v>
      </c>
      <c r="Q34">
        <f t="shared" si="3"/>
        <v>6.3460171602513821E-5</v>
      </c>
      <c r="R34">
        <f t="shared" si="36"/>
        <v>8.4252299999999988E-2</v>
      </c>
      <c r="S34">
        <f t="shared" si="37"/>
        <v>5.7898499999999992E-2</v>
      </c>
      <c r="T34">
        <f t="shared" si="38"/>
        <v>2.5339646520883768E-5</v>
      </c>
      <c r="U34">
        <f t="shared" si="11"/>
        <v>8.4252299999999988E-2</v>
      </c>
      <c r="V34">
        <f t="shared" si="12"/>
        <v>5.7898499999999992E-2</v>
      </c>
      <c r="W34">
        <f>MATCH(Q34,CableTyp[B
(ohms/km)],0)</f>
        <v>1</v>
      </c>
      <c r="X34" cm="1">
        <f t="array" ref="X34">_xlfn.SINGLE(_xlfn.XLOOKUP(J34&amp;K34,CableTyp[Cable size(mm^2)] &amp;CableTyp[Type],CableTyp[R0
(ohms/km)]))</f>
        <v>0.42799999999999999</v>
      </c>
      <c r="Y34" cm="1">
        <f t="array" ref="Y34">_xlfn.SINGLE(_xlfn.XLOOKUP(J34&amp;K34,CableTyp[Cable size(mm^2)] &amp;CableTyp[Type],CableTyp[X0
(ohms/km)]))</f>
        <v>7.0300000000000001E-2</v>
      </c>
      <c r="Z34">
        <f t="shared" si="4"/>
        <v>0.17090039999999998</v>
      </c>
      <c r="AA34">
        <f t="shared" si="5"/>
        <v>2.8070789999999998E-2</v>
      </c>
      <c r="AB34">
        <f t="shared" si="6"/>
        <v>0.17090039999999998</v>
      </c>
      <c r="AC34">
        <f t="shared" si="7"/>
        <v>2.8070789999999998E-2</v>
      </c>
    </row>
    <row r="35" spans="1:29" x14ac:dyDescent="0.45">
      <c r="A35" s="15" t="s">
        <v>39</v>
      </c>
      <c r="B35">
        <v>32</v>
      </c>
      <c r="C35">
        <v>34</v>
      </c>
      <c r="D35">
        <v>4</v>
      </c>
      <c r="E35">
        <f t="shared" si="0"/>
        <v>16.8</v>
      </c>
      <c r="F35">
        <v>321</v>
      </c>
      <c r="G35">
        <f t="shared" si="1"/>
        <v>0.35310000000000002</v>
      </c>
      <c r="H35">
        <f t="shared" si="2"/>
        <v>293.92377340562768</v>
      </c>
      <c r="I35" t="s">
        <v>28</v>
      </c>
      <c r="J35">
        <v>300</v>
      </c>
      <c r="K35" t="s">
        <v>29</v>
      </c>
      <c r="L35">
        <f>_xlfn.XLOOKUP(J35&amp;K35,CableTyp[Cable size(mm^2)] &amp;CableTyp[Type],CableTyp[Imax(in grnd)(A)])</f>
        <v>421</v>
      </c>
      <c r="M35" cm="1">
        <f t="array" ref="M35">_xlfn.SINGLE(_xlfn.XLOOKUP(J35&amp;K35,CableTyp[Cable size(mm^2)] &amp;CableTyp[Type],CableTyp[Imax(in grnd)(A) at 0.85DF]))</f>
        <v>357.84999999999997</v>
      </c>
      <c r="N35" cm="1">
        <f t="array" ref="N35">_xlfn.SINGLE(_xlfn.XLOOKUP(J35&amp;K35,CableTyp[Cable size(mm^2)] &amp;CableTyp[Type],CableTyp[R
(ohms/km)]))</f>
        <v>0.129</v>
      </c>
      <c r="O35" cm="1">
        <f t="array" ref="O35">_xlfn.SINGLE(_xlfn.XLOOKUP(J35&amp;K35,CableTyp[Cable size(mm^2)] &amp;CableTyp[Type],CableTyp[X
(ohms/km)]))</f>
        <v>0.13600000000000001</v>
      </c>
      <c r="P35" cm="1">
        <f t="array" ref="P35">_xlfn.SINGLE(_xlfn.XLOOKUP(J35&amp;K35,CableTyp[Cable size(mm^2)] &amp;CableTyp[Type],CableTyp[C(uF/km)]))</f>
        <v>0.24199999999999999</v>
      </c>
      <c r="Q35">
        <f t="shared" si="3"/>
        <v>7.6026542216872997E-5</v>
      </c>
      <c r="R35">
        <f t="shared" si="36"/>
        <v>4.5549900000000004E-2</v>
      </c>
      <c r="S35">
        <f t="shared" si="37"/>
        <v>4.8021600000000005E-2</v>
      </c>
      <c r="T35">
        <f t="shared" si="38"/>
        <v>2.6844972056777857E-5</v>
      </c>
      <c r="U35">
        <f t="shared" si="11"/>
        <v>0.72879840000000007</v>
      </c>
      <c r="V35">
        <f t="shared" si="12"/>
        <v>0.76834560000000007</v>
      </c>
      <c r="W35">
        <f>MATCH(Q35,CableTyp[B
(ohms/km)],0)</f>
        <v>3</v>
      </c>
      <c r="X35" cm="1">
        <f t="array" ref="X35">_xlfn.SINGLE(_xlfn.XLOOKUP(J35&amp;K35,CableTyp[Cable size(mm^2)] &amp;CableTyp[Type],CableTyp[R0
(ohms/km)]))</f>
        <v>0.36399999999999999</v>
      </c>
      <c r="Y35" cm="1">
        <f t="array" ref="Y35">_xlfn.SINGLE(_xlfn.XLOOKUP(J35&amp;K35,CableTyp[Cable size(mm^2)] &amp;CableTyp[Type],CableTyp[X0
(ohms/km)]))</f>
        <v>6.2199999999999998E-2</v>
      </c>
      <c r="Z35">
        <f t="shared" si="4"/>
        <v>0.12852840000000001</v>
      </c>
      <c r="AA35">
        <f t="shared" si="5"/>
        <v>2.1962820000000001E-2</v>
      </c>
      <c r="AB35">
        <f t="shared" si="6"/>
        <v>2.0564544000000002</v>
      </c>
      <c r="AC35">
        <f t="shared" si="7"/>
        <v>0.35140512000000002</v>
      </c>
    </row>
    <row r="36" spans="1:29" x14ac:dyDescent="0.45">
      <c r="A36" s="15" t="s">
        <v>39</v>
      </c>
      <c r="B36">
        <v>34</v>
      </c>
      <c r="C36">
        <v>35</v>
      </c>
      <c r="D36">
        <v>5</v>
      </c>
      <c r="E36">
        <f t="shared" si="0"/>
        <v>21</v>
      </c>
      <c r="F36">
        <v>339</v>
      </c>
      <c r="G36">
        <f t="shared" si="1"/>
        <v>0.37289999999999995</v>
      </c>
      <c r="H36">
        <f t="shared" si="2"/>
        <v>367.40471675703463</v>
      </c>
      <c r="I36" t="s">
        <v>28</v>
      </c>
      <c r="J36">
        <v>400</v>
      </c>
      <c r="K36" t="s">
        <v>29</v>
      </c>
      <c r="L36">
        <f>_xlfn.XLOOKUP(J36&amp;K36,CableTyp[Cable size(mm^2)] &amp;CableTyp[Type],CableTyp[Imax(in grnd)(A)])</f>
        <v>475</v>
      </c>
      <c r="M36" cm="1">
        <f t="array" ref="M36">_xlfn.SINGLE(_xlfn.XLOOKUP(J36&amp;K36,CableTyp[Cable size(mm^2)] &amp;CableTyp[Type],CableTyp[Imax(in grnd)(A) at 0.85DF]))</f>
        <v>403.75</v>
      </c>
      <c r="N36" cm="1">
        <f t="array" ref="N36">_xlfn.SINGLE(_xlfn.XLOOKUP(J36&amp;K36,CableTyp[Cable size(mm^2)] &amp;CableTyp[Type],CableTyp[R
(ohms/km)]))</f>
        <v>0.10100000000000001</v>
      </c>
      <c r="O36" cm="1">
        <f t="array" ref="O36">_xlfn.SINGLE(_xlfn.XLOOKUP(J36&amp;K36,CableTyp[Cable size(mm^2)] &amp;CableTyp[Type],CableTyp[X
(ohms/km)]))</f>
        <v>0.13100000000000001</v>
      </c>
      <c r="P36" cm="1">
        <f t="array" ref="P36">_xlfn.SINGLE(_xlfn.XLOOKUP(J36&amp;K36,CableTyp[Cable size(mm^2)] &amp;CableTyp[Type],CableTyp[C(uF/km)]))</f>
        <v>0.26700000000000002</v>
      </c>
      <c r="Q36">
        <f t="shared" si="3"/>
        <v>8.3880523850847483E-5</v>
      </c>
      <c r="R36">
        <f t="shared" si="36"/>
        <v>3.7662899999999999E-2</v>
      </c>
      <c r="S36">
        <f t="shared" si="37"/>
        <v>4.8849899999999995E-2</v>
      </c>
      <c r="T36">
        <f t="shared" si="38"/>
        <v>3.127904734398102E-5</v>
      </c>
      <c r="U36">
        <f t="shared" si="11"/>
        <v>0.94157249999999992</v>
      </c>
      <c r="V36">
        <f t="shared" si="12"/>
        <v>1.2212474999999998</v>
      </c>
      <c r="W36">
        <f>MATCH(Q36,CableTyp[B
(ohms/km)],0)</f>
        <v>4</v>
      </c>
      <c r="X36" cm="1">
        <f t="array" ref="X36">_xlfn.SINGLE(_xlfn.XLOOKUP(J36&amp;K36,CableTyp[Cable size(mm^2)] &amp;CableTyp[Type],CableTyp[R0
(ohms/km)]))</f>
        <v>0.34200000000000003</v>
      </c>
      <c r="Y36" cm="1">
        <f t="array" ref="Y36">_xlfn.SINGLE(_xlfn.XLOOKUP(J36&amp;K36,CableTyp[Cable size(mm^2)] &amp;CableTyp[Type],CableTyp[X0
(ohms/km)]))</f>
        <v>5.7299999999999997E-2</v>
      </c>
      <c r="Z36">
        <f t="shared" si="4"/>
        <v>0.1275318</v>
      </c>
      <c r="AA36">
        <f t="shared" si="5"/>
        <v>2.1367169999999998E-2</v>
      </c>
      <c r="AB36">
        <f t="shared" si="6"/>
        <v>3.1882950000000001</v>
      </c>
      <c r="AC36">
        <f t="shared" si="7"/>
        <v>0.53417924999999999</v>
      </c>
    </row>
    <row r="37" spans="1:29" x14ac:dyDescent="0.45">
      <c r="A37" s="15" t="s">
        <v>39</v>
      </c>
      <c r="B37">
        <v>35</v>
      </c>
      <c r="C37" t="s">
        <v>6</v>
      </c>
      <c r="D37">
        <v>6</v>
      </c>
      <c r="E37">
        <f t="shared" si="0"/>
        <v>25.200000000000003</v>
      </c>
      <c r="F37">
        <v>220</v>
      </c>
      <c r="G37">
        <f t="shared" si="1"/>
        <v>0.24199999999999999</v>
      </c>
      <c r="H37">
        <f t="shared" si="2"/>
        <v>440.88566010844158</v>
      </c>
      <c r="I37" t="s">
        <v>28</v>
      </c>
      <c r="J37">
        <v>630</v>
      </c>
      <c r="K37" t="s">
        <v>29</v>
      </c>
      <c r="L37">
        <f>_xlfn.XLOOKUP(J37&amp;K37,CableTyp[Cable size(mm^2)] &amp;CableTyp[Type],CableTyp[Imax(in grnd)(A)])</f>
        <v>593</v>
      </c>
      <c r="M37" cm="1">
        <f t="array" ref="M37">_xlfn.SINGLE(_xlfn.XLOOKUP(J37&amp;K37,CableTyp[Cable size(mm^2)] &amp;CableTyp[Type],CableTyp[Imax(in grnd)(A) at 0.85DF]))</f>
        <v>504.05</v>
      </c>
      <c r="N37" cm="1">
        <f t="array" ref="N37">_xlfn.SINGLE(_xlfn.XLOOKUP(J37&amp;K37,CableTyp[Cable size(mm^2)] &amp;CableTyp[Type],CableTyp[R
(ohms/km)]))</f>
        <v>6.2899999999999998E-2</v>
      </c>
      <c r="O37" cm="1">
        <f t="array" ref="O37">_xlfn.SINGLE(_xlfn.XLOOKUP(J37&amp;K37,CableTyp[Cable size(mm^2)] &amp;CableTyp[Type],CableTyp[X
(ohms/km)]))</f>
        <v>0.123</v>
      </c>
      <c r="P37" cm="1">
        <f t="array" ref="P37">_xlfn.SINGLE(_xlfn.XLOOKUP(J37&amp;K37,CableTyp[Cable size(mm^2)] &amp;CableTyp[Type],CableTyp[C(uF/km)]))</f>
        <v>0.32900000000000001</v>
      </c>
      <c r="Q37">
        <f t="shared" si="3"/>
        <v>1.033583983031042E-4</v>
      </c>
      <c r="R37">
        <f t="shared" si="36"/>
        <v>1.5221799999999999E-2</v>
      </c>
      <c r="S37">
        <f t="shared" si="37"/>
        <v>2.9765999999999997E-2</v>
      </c>
      <c r="T37">
        <f t="shared" si="38"/>
        <v>2.5012732389351216E-5</v>
      </c>
      <c r="U37">
        <f t="shared" si="11"/>
        <v>0.54798479999999994</v>
      </c>
      <c r="V37">
        <f t="shared" si="12"/>
        <v>1.0715759999999999</v>
      </c>
      <c r="W37">
        <f>MATCH(Q37,CableTyp[B
(ohms/km)],0)</f>
        <v>5</v>
      </c>
      <c r="X37" cm="1">
        <f t="array" ref="X37">_xlfn.SINGLE(_xlfn.XLOOKUP(J37&amp;K37,CableTyp[Cable size(mm^2)] &amp;CableTyp[Type],CableTyp[R0
(ohms/km)]))</f>
        <v>0.312</v>
      </c>
      <c r="Y37" cm="1">
        <f t="array" ref="Y37">_xlfn.SINGLE(_xlfn.XLOOKUP(J37&amp;K37,CableTyp[Cable size(mm^2)] &amp;CableTyp[Type],CableTyp[X0
(ohms/km)]))</f>
        <v>5.04E-2</v>
      </c>
      <c r="Z37">
        <f t="shared" si="4"/>
        <v>7.5504000000000002E-2</v>
      </c>
      <c r="AA37">
        <f t="shared" si="5"/>
        <v>1.2196799999999999E-2</v>
      </c>
      <c r="AB37">
        <f t="shared" si="6"/>
        <v>2.7181440000000001</v>
      </c>
      <c r="AC37">
        <f t="shared" si="7"/>
        <v>0.43908479999999994</v>
      </c>
    </row>
    <row r="38" spans="1:29" x14ac:dyDescent="0.45">
      <c r="E38" t="s">
        <v>5</v>
      </c>
      <c r="F38">
        <f>SUM(F2:F37)</f>
        <v>11541</v>
      </c>
      <c r="G38">
        <f>SUM(G2:G37)</f>
        <v>12.6951</v>
      </c>
      <c r="S38" s="14" t="s">
        <v>66</v>
      </c>
      <c r="T38">
        <f>SUM(T2:T37)</f>
        <v>1.1490986798594321E-3</v>
      </c>
      <c r="U38">
        <f>SUM(U2:U37)</f>
        <v>24.447252499999991</v>
      </c>
      <c r="V38">
        <f>SUM(V2:V37)</f>
        <v>41.327256299999995</v>
      </c>
      <c r="AA38" s="14" t="s">
        <v>67</v>
      </c>
      <c r="AB38">
        <f>SUM(AB2:AB37)</f>
        <v>106.06631419999998</v>
      </c>
      <c r="AC38">
        <f>SUM(AC2:AC37)</f>
        <v>17.248333410000001</v>
      </c>
    </row>
  </sheetData>
  <autoFilter ref="A1:Y38" xr:uid="{53DE6BD5-1579-4F95-A3D6-EAD392D056E5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97A5-3976-451C-8E09-4F20B1363154}">
  <sheetPr filterMode="1"/>
  <dimension ref="A1:Z50"/>
  <sheetViews>
    <sheetView topLeftCell="C37" workbookViewId="0">
      <selection activeCell="R49" sqref="R49"/>
    </sheetView>
  </sheetViews>
  <sheetFormatPr defaultRowHeight="14.25" x14ac:dyDescent="0.45"/>
  <cols>
    <col min="7" max="7" width="12.73046875" customWidth="1"/>
    <col min="9" max="9" width="11.59765625" hidden="1" customWidth="1"/>
    <col min="10" max="10" width="11.1328125" customWidth="1"/>
    <col min="14" max="14" width="10.1328125" customWidth="1"/>
    <col min="15" max="16" width="10.265625" customWidth="1"/>
    <col min="17" max="17" width="10" customWidth="1"/>
    <col min="20" max="20" width="11.59765625" bestFit="1" customWidth="1"/>
    <col min="25" max="25" width="16" customWidth="1"/>
    <col min="26" max="26" width="21.86328125" bestFit="1" customWidth="1"/>
  </cols>
  <sheetData>
    <row r="1" spans="1:26" ht="45.75" customHeight="1" x14ac:dyDescent="0.45">
      <c r="A1" t="s">
        <v>0</v>
      </c>
      <c r="B1" t="s">
        <v>12</v>
      </c>
      <c r="C1" t="s">
        <v>13</v>
      </c>
      <c r="D1" s="1" t="s">
        <v>15</v>
      </c>
      <c r="E1" s="1" t="s">
        <v>16</v>
      </c>
      <c r="F1" t="s">
        <v>14</v>
      </c>
      <c r="G1" s="1" t="s">
        <v>21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35</v>
      </c>
      <c r="M1" s="1" t="s">
        <v>36</v>
      </c>
      <c r="N1" s="1" t="s">
        <v>22</v>
      </c>
      <c r="O1" s="1" t="s">
        <v>23</v>
      </c>
      <c r="P1" s="1" t="s">
        <v>37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</v>
      </c>
      <c r="V1" s="1" t="s">
        <v>3</v>
      </c>
    </row>
    <row r="2" spans="1:26" hidden="1" x14ac:dyDescent="0.45">
      <c r="A2" t="s">
        <v>7</v>
      </c>
      <c r="B2">
        <v>1</v>
      </c>
      <c r="C2">
        <v>2</v>
      </c>
      <c r="D2">
        <v>1</v>
      </c>
      <c r="E2">
        <f>D2*4.2</f>
        <v>4.2</v>
      </c>
      <c r="F2">
        <v>280</v>
      </c>
      <c r="G2">
        <f>(F2+(0.1*F2))/1000</f>
        <v>0.308</v>
      </c>
      <c r="H2">
        <f>(E2/(SQRT(3)*33))*1000</f>
        <v>73.480943351406921</v>
      </c>
      <c r="I2" t="s">
        <v>28</v>
      </c>
      <c r="J2">
        <v>185</v>
      </c>
      <c r="K2" t="s">
        <v>29</v>
      </c>
      <c r="L2">
        <v>330</v>
      </c>
      <c r="M2">
        <f>0.85*L2</f>
        <v>280.5</v>
      </c>
      <c r="N2">
        <v>0.42799999999999999</v>
      </c>
      <c r="O2">
        <v>7.0300000000000001E-2</v>
      </c>
      <c r="P2">
        <v>0.20200000000000001</v>
      </c>
      <c r="Q2">
        <f>2*PI()*50*P2*10^-6</f>
        <v>6.3460171602513821E-5</v>
      </c>
      <c r="R2">
        <f>N2*G2</f>
        <v>0.131824</v>
      </c>
      <c r="S2">
        <f>O2*G2</f>
        <v>2.1652399999999999E-2</v>
      </c>
      <c r="T2">
        <f>G2*Q2</f>
        <v>1.9545732853574257E-5</v>
      </c>
      <c r="U2">
        <f>R2*D2^2</f>
        <v>0.131824</v>
      </c>
      <c r="V2">
        <f>S2*D2^2</f>
        <v>2.1652399999999999E-2</v>
      </c>
    </row>
    <row r="3" spans="1:26" hidden="1" x14ac:dyDescent="0.45">
      <c r="A3" t="s">
        <v>7</v>
      </c>
      <c r="B3">
        <v>2</v>
      </c>
      <c r="C3">
        <v>3</v>
      </c>
      <c r="D3">
        <v>2</v>
      </c>
      <c r="E3">
        <f t="shared" ref="E3:E48" si="0">D3*4.2</f>
        <v>8.4</v>
      </c>
      <c r="F3">
        <v>450</v>
      </c>
      <c r="G3">
        <f t="shared" ref="G3:G49" si="1">(F3+(0.1*F3))/1000</f>
        <v>0.495</v>
      </c>
      <c r="H3">
        <f t="shared" ref="H3:H49" si="2">(E3/(SQRT(3)*33))*1000</f>
        <v>146.96188670281384</v>
      </c>
      <c r="I3" t="s">
        <v>28</v>
      </c>
      <c r="J3">
        <v>185</v>
      </c>
      <c r="K3" t="s">
        <v>29</v>
      </c>
      <c r="L3">
        <v>330</v>
      </c>
      <c r="M3">
        <f t="shared" ref="M3:M49" si="3">0.85*L3</f>
        <v>280.5</v>
      </c>
      <c r="N3">
        <v>0.42799999999999999</v>
      </c>
      <c r="O3">
        <v>7.0300000000000001E-2</v>
      </c>
      <c r="P3">
        <v>0.20200000000000001</v>
      </c>
      <c r="Q3">
        <f>2*PI()*50*P3*10^-6</f>
        <v>6.3460171602513821E-5</v>
      </c>
      <c r="R3">
        <f>N3*G3</f>
        <v>0.21185999999999999</v>
      </c>
      <c r="S3">
        <f>O3*G3</f>
        <v>3.4798500000000003E-2</v>
      </c>
      <c r="T3">
        <f>G3*Q3</f>
        <v>3.1412784943244338E-5</v>
      </c>
      <c r="U3">
        <f>R3*D3^2</f>
        <v>0.84743999999999997</v>
      </c>
      <c r="V3">
        <f>S3*D3^2</f>
        <v>0.13919400000000001</v>
      </c>
    </row>
    <row r="4" spans="1:26" hidden="1" x14ac:dyDescent="0.45">
      <c r="A4" t="s">
        <v>7</v>
      </c>
      <c r="B4">
        <v>3</v>
      </c>
      <c r="C4">
        <v>4</v>
      </c>
      <c r="D4">
        <v>3</v>
      </c>
      <c r="E4">
        <f t="shared" si="0"/>
        <v>12.600000000000001</v>
      </c>
      <c r="F4">
        <v>375</v>
      </c>
      <c r="G4">
        <f t="shared" si="1"/>
        <v>0.41249999999999998</v>
      </c>
      <c r="H4">
        <f t="shared" si="2"/>
        <v>220.44283005422079</v>
      </c>
      <c r="I4" t="s">
        <v>28</v>
      </c>
      <c r="J4">
        <v>185</v>
      </c>
      <c r="K4" t="s">
        <v>29</v>
      </c>
      <c r="L4">
        <v>330</v>
      </c>
      <c r="M4">
        <f t="shared" si="3"/>
        <v>280.5</v>
      </c>
      <c r="N4">
        <v>0.42799999999999999</v>
      </c>
      <c r="O4">
        <v>7.0300000000000001E-2</v>
      </c>
      <c r="P4">
        <v>0.20200000000000001</v>
      </c>
      <c r="Q4">
        <f t="shared" ref="Q4:Q48" si="4">2*PI()*50*P4*10^-6</f>
        <v>6.3460171602513821E-5</v>
      </c>
      <c r="R4">
        <f t="shared" ref="R4:R36" si="5">N4*G4</f>
        <v>0.17654999999999998</v>
      </c>
      <c r="S4">
        <f t="shared" ref="S4:S36" si="6">O4*G4</f>
        <v>2.899875E-2</v>
      </c>
      <c r="T4">
        <f t="shared" ref="T4:T36" si="7">G4*Q4</f>
        <v>2.6177320786036948E-5</v>
      </c>
      <c r="U4">
        <f t="shared" ref="U4:U48" si="8">R4*D4^2</f>
        <v>1.5889499999999999</v>
      </c>
      <c r="V4">
        <f t="shared" ref="V4:V48" si="9">S4*D4^2</f>
        <v>0.26098874999999999</v>
      </c>
    </row>
    <row r="5" spans="1:26" hidden="1" x14ac:dyDescent="0.45">
      <c r="A5" t="s">
        <v>7</v>
      </c>
      <c r="B5">
        <v>4</v>
      </c>
      <c r="C5">
        <v>5</v>
      </c>
      <c r="D5">
        <v>4</v>
      </c>
      <c r="E5">
        <f t="shared" si="0"/>
        <v>16.8</v>
      </c>
      <c r="F5">
        <v>299</v>
      </c>
      <c r="G5">
        <f t="shared" si="1"/>
        <v>0.32889999999999997</v>
      </c>
      <c r="H5">
        <f t="shared" si="2"/>
        <v>293.92377340562768</v>
      </c>
      <c r="I5" t="s">
        <v>28</v>
      </c>
      <c r="J5">
        <v>300</v>
      </c>
      <c r="K5" t="s">
        <v>29</v>
      </c>
      <c r="L5">
        <v>421</v>
      </c>
      <c r="M5">
        <f t="shared" si="3"/>
        <v>357.84999999999997</v>
      </c>
      <c r="N5">
        <v>0.36399999999999999</v>
      </c>
      <c r="O5">
        <v>6.2199999999999998E-2</v>
      </c>
      <c r="P5">
        <v>0.24199999999999999</v>
      </c>
      <c r="Q5">
        <f t="shared" si="4"/>
        <v>7.6026542216872997E-5</v>
      </c>
      <c r="R5">
        <f t="shared" si="5"/>
        <v>0.11971959999999998</v>
      </c>
      <c r="S5">
        <f t="shared" si="6"/>
        <v>2.0457579999999996E-2</v>
      </c>
      <c r="T5">
        <f t="shared" si="7"/>
        <v>2.5005129735129525E-5</v>
      </c>
      <c r="U5">
        <f t="shared" si="8"/>
        <v>1.9155135999999997</v>
      </c>
      <c r="V5">
        <f t="shared" si="9"/>
        <v>0.32732127999999994</v>
      </c>
    </row>
    <row r="6" spans="1:26" hidden="1" x14ac:dyDescent="0.45">
      <c r="A6" t="s">
        <v>7</v>
      </c>
      <c r="B6">
        <v>5</v>
      </c>
      <c r="C6">
        <v>6</v>
      </c>
      <c r="D6">
        <v>5</v>
      </c>
      <c r="E6">
        <f t="shared" si="0"/>
        <v>21</v>
      </c>
      <c r="F6">
        <v>835</v>
      </c>
      <c r="G6">
        <f t="shared" si="1"/>
        <v>0.91849999999999998</v>
      </c>
      <c r="H6">
        <f t="shared" si="2"/>
        <v>367.40471675703463</v>
      </c>
      <c r="I6" t="s">
        <v>28</v>
      </c>
      <c r="J6">
        <v>400</v>
      </c>
      <c r="K6" t="s">
        <v>29</v>
      </c>
      <c r="L6">
        <v>475</v>
      </c>
      <c r="M6">
        <f t="shared" si="3"/>
        <v>403.75</v>
      </c>
      <c r="N6">
        <v>0.34200000000000003</v>
      </c>
      <c r="O6">
        <v>5.7299999999999997E-2</v>
      </c>
      <c r="P6">
        <v>0.26700000000000002</v>
      </c>
      <c r="Q6">
        <f>2*PI()*50*P6*10^-6</f>
        <v>8.3880523850847483E-5</v>
      </c>
      <c r="R6">
        <f>N6*G6</f>
        <v>0.31412700000000005</v>
      </c>
      <c r="S6">
        <f>O6*G6</f>
        <v>5.2630049999999998E-2</v>
      </c>
      <c r="T6">
        <f>G6*Q6</f>
        <v>7.7044261157003415E-5</v>
      </c>
      <c r="U6">
        <f>R6*D6^2</f>
        <v>7.8531750000000011</v>
      </c>
      <c r="V6">
        <f>S6*D6^2</f>
        <v>1.3157512499999999</v>
      </c>
    </row>
    <row r="7" spans="1:26" hidden="1" x14ac:dyDescent="0.45">
      <c r="A7" t="s">
        <v>7</v>
      </c>
      <c r="B7">
        <v>6</v>
      </c>
      <c r="C7">
        <v>7</v>
      </c>
      <c r="D7">
        <v>6</v>
      </c>
      <c r="E7">
        <f t="shared" si="0"/>
        <v>25.200000000000003</v>
      </c>
      <c r="F7">
        <v>196</v>
      </c>
      <c r="G7">
        <f t="shared" si="1"/>
        <v>0.21559999999999999</v>
      </c>
      <c r="H7">
        <f t="shared" si="2"/>
        <v>440.88566010844158</v>
      </c>
      <c r="I7" t="s">
        <v>28</v>
      </c>
      <c r="J7">
        <v>630</v>
      </c>
      <c r="K7" t="s">
        <v>29</v>
      </c>
      <c r="L7">
        <v>593</v>
      </c>
      <c r="M7">
        <f t="shared" si="3"/>
        <v>504.05</v>
      </c>
      <c r="N7">
        <v>0.312</v>
      </c>
      <c r="O7">
        <v>5.04E-2</v>
      </c>
      <c r="P7">
        <v>0.32900000000000001</v>
      </c>
      <c r="Q7">
        <f t="shared" si="4"/>
        <v>1.033583983031042E-4</v>
      </c>
      <c r="R7">
        <f t="shared" si="5"/>
        <v>6.7267199999999999E-2</v>
      </c>
      <c r="S7">
        <f t="shared" si="6"/>
        <v>1.0866239999999999E-2</v>
      </c>
      <c r="T7">
        <f t="shared" si="7"/>
        <v>2.2284070674149264E-5</v>
      </c>
      <c r="U7">
        <f t="shared" si="8"/>
        <v>2.4216191999999999</v>
      </c>
      <c r="V7">
        <f t="shared" si="9"/>
        <v>0.39118463999999997</v>
      </c>
    </row>
    <row r="8" spans="1:26" hidden="1" x14ac:dyDescent="0.45">
      <c r="A8" t="s">
        <v>7</v>
      </c>
      <c r="B8">
        <v>7</v>
      </c>
      <c r="C8" t="s">
        <v>6</v>
      </c>
      <c r="D8">
        <v>7</v>
      </c>
      <c r="E8">
        <f t="shared" si="0"/>
        <v>29.400000000000002</v>
      </c>
      <c r="F8">
        <v>7</v>
      </c>
      <c r="G8">
        <f t="shared" si="1"/>
        <v>7.7000000000000002E-3</v>
      </c>
      <c r="H8">
        <f t="shared" si="2"/>
        <v>514.36660345984853</v>
      </c>
      <c r="I8" t="s">
        <v>28</v>
      </c>
      <c r="J8">
        <v>800</v>
      </c>
      <c r="K8" t="s">
        <v>29</v>
      </c>
      <c r="L8">
        <v>654</v>
      </c>
      <c r="M8">
        <f t="shared" si="3"/>
        <v>555.9</v>
      </c>
      <c r="N8">
        <v>0.30099999999999999</v>
      </c>
      <c r="O8">
        <v>4.7E-2</v>
      </c>
      <c r="P8">
        <v>0.36599999999999999</v>
      </c>
      <c r="Q8">
        <f t="shared" si="4"/>
        <v>1.1498229112138642E-4</v>
      </c>
      <c r="R8">
        <f t="shared" si="5"/>
        <v>2.3176999999999998E-3</v>
      </c>
      <c r="S8">
        <f t="shared" si="6"/>
        <v>3.6190000000000001E-4</v>
      </c>
      <c r="T8">
        <f t="shared" si="7"/>
        <v>8.8536364163467539E-7</v>
      </c>
      <c r="U8">
        <f t="shared" si="8"/>
        <v>0.1135673</v>
      </c>
      <c r="V8">
        <f t="shared" si="9"/>
        <v>1.7733100000000002E-2</v>
      </c>
      <c r="X8" t="s">
        <v>40</v>
      </c>
      <c r="Y8">
        <v>42</v>
      </c>
    </row>
    <row r="9" spans="1:26" hidden="1" x14ac:dyDescent="0.45">
      <c r="A9" t="s">
        <v>8</v>
      </c>
      <c r="B9">
        <v>8</v>
      </c>
      <c r="C9">
        <v>9</v>
      </c>
      <c r="D9">
        <v>1</v>
      </c>
      <c r="E9">
        <f t="shared" si="0"/>
        <v>4.2</v>
      </c>
      <c r="F9">
        <v>236</v>
      </c>
      <c r="G9">
        <f t="shared" si="1"/>
        <v>0.2596</v>
      </c>
      <c r="H9">
        <f t="shared" si="2"/>
        <v>73.480943351406921</v>
      </c>
      <c r="I9" t="s">
        <v>28</v>
      </c>
      <c r="J9">
        <v>185</v>
      </c>
      <c r="K9" t="s">
        <v>29</v>
      </c>
      <c r="L9">
        <v>330</v>
      </c>
      <c r="M9">
        <f t="shared" si="3"/>
        <v>280.5</v>
      </c>
      <c r="N9">
        <v>0.42799999999999999</v>
      </c>
      <c r="O9">
        <v>7.0300000000000001E-2</v>
      </c>
      <c r="P9">
        <v>0.20200000000000001</v>
      </c>
      <c r="Q9">
        <f t="shared" si="4"/>
        <v>6.3460171602513821E-5</v>
      </c>
      <c r="R9">
        <f t="shared" si="5"/>
        <v>0.11110879999999999</v>
      </c>
      <c r="S9">
        <f t="shared" si="6"/>
        <v>1.824988E-2</v>
      </c>
      <c r="T9">
        <f t="shared" si="7"/>
        <v>1.6474260548012586E-5</v>
      </c>
      <c r="U9">
        <f t="shared" si="8"/>
        <v>0.11110879999999999</v>
      </c>
      <c r="V9">
        <f t="shared" si="9"/>
        <v>1.824988E-2</v>
      </c>
      <c r="X9" t="s">
        <v>4</v>
      </c>
      <c r="Y9">
        <f>U50/Y8^2</f>
        <v>6.5509027607709741E-2</v>
      </c>
      <c r="Z9" t="str">
        <f>"Sum(Rn^2)/(total_invs)^2)"</f>
        <v>Sum(Rn^2)/(total_invs)^2)</v>
      </c>
    </row>
    <row r="10" spans="1:26" hidden="1" x14ac:dyDescent="0.45">
      <c r="A10" t="s">
        <v>8</v>
      </c>
      <c r="B10">
        <v>9</v>
      </c>
      <c r="C10">
        <v>10</v>
      </c>
      <c r="D10">
        <v>2</v>
      </c>
      <c r="E10">
        <f t="shared" si="0"/>
        <v>8.4</v>
      </c>
      <c r="F10">
        <v>150</v>
      </c>
      <c r="G10">
        <f t="shared" si="1"/>
        <v>0.16500000000000001</v>
      </c>
      <c r="H10">
        <f t="shared" si="2"/>
        <v>146.96188670281384</v>
      </c>
      <c r="I10" t="s">
        <v>28</v>
      </c>
      <c r="J10">
        <v>185</v>
      </c>
      <c r="K10" t="s">
        <v>29</v>
      </c>
      <c r="L10">
        <v>330</v>
      </c>
      <c r="M10">
        <f t="shared" si="3"/>
        <v>280.5</v>
      </c>
      <c r="N10">
        <v>0.42799999999999999</v>
      </c>
      <c r="O10">
        <v>7.0300000000000001E-2</v>
      </c>
      <c r="P10">
        <v>0.20200000000000001</v>
      </c>
      <c r="Q10">
        <f t="shared" si="4"/>
        <v>6.3460171602513821E-5</v>
      </c>
      <c r="R10">
        <f t="shared" si="5"/>
        <v>7.0620000000000002E-2</v>
      </c>
      <c r="S10">
        <f t="shared" si="6"/>
        <v>1.15995E-2</v>
      </c>
      <c r="T10">
        <f t="shared" si="7"/>
        <v>1.0470928314414781E-5</v>
      </c>
      <c r="U10">
        <f t="shared" si="8"/>
        <v>0.28248000000000001</v>
      </c>
      <c r="V10">
        <f t="shared" si="9"/>
        <v>4.6398000000000002E-2</v>
      </c>
      <c r="X10" t="s">
        <v>30</v>
      </c>
      <c r="Y10">
        <f>V50/Y8^2</f>
        <v>4.1081733803854874E-2</v>
      </c>
      <c r="Z10" t="str">
        <f>"Sum(Xn^2)/(total_invs)^2)"</f>
        <v>Sum(Xn^2)/(total_invs)^2)</v>
      </c>
    </row>
    <row r="11" spans="1:26" hidden="1" x14ac:dyDescent="0.45">
      <c r="A11" t="s">
        <v>8</v>
      </c>
      <c r="B11">
        <v>10</v>
      </c>
      <c r="C11">
        <v>11</v>
      </c>
      <c r="D11">
        <v>3</v>
      </c>
      <c r="E11">
        <f t="shared" si="0"/>
        <v>12.600000000000001</v>
      </c>
      <c r="F11">
        <v>244</v>
      </c>
      <c r="G11">
        <f t="shared" si="1"/>
        <v>0.26839999999999997</v>
      </c>
      <c r="H11">
        <f t="shared" si="2"/>
        <v>220.44283005422079</v>
      </c>
      <c r="I11" t="s">
        <v>28</v>
      </c>
      <c r="J11">
        <v>185</v>
      </c>
      <c r="K11" t="s">
        <v>29</v>
      </c>
      <c r="L11">
        <v>330</v>
      </c>
      <c r="M11">
        <f t="shared" si="3"/>
        <v>280.5</v>
      </c>
      <c r="N11">
        <v>0.42799999999999999</v>
      </c>
      <c r="O11">
        <v>7.0300000000000001E-2</v>
      </c>
      <c r="P11">
        <v>0.20200000000000001</v>
      </c>
      <c r="Q11">
        <f t="shared" si="4"/>
        <v>6.3460171602513821E-5</v>
      </c>
      <c r="R11">
        <f t="shared" si="5"/>
        <v>0.11487519999999998</v>
      </c>
      <c r="S11">
        <f t="shared" si="6"/>
        <v>1.886852E-2</v>
      </c>
      <c r="T11">
        <f t="shared" si="7"/>
        <v>1.7032710058114708E-5</v>
      </c>
      <c r="U11">
        <f t="shared" si="8"/>
        <v>1.0338767999999998</v>
      </c>
      <c r="V11">
        <f t="shared" si="9"/>
        <v>0.16981668</v>
      </c>
      <c r="X11" t="s">
        <v>31</v>
      </c>
      <c r="Y11">
        <f>SQRT(Y9^2+Y10^2)</f>
        <v>7.7324908990819188E-2</v>
      </c>
    </row>
    <row r="12" spans="1:26" hidden="1" x14ac:dyDescent="0.45">
      <c r="A12" t="s">
        <v>8</v>
      </c>
      <c r="B12">
        <v>12</v>
      </c>
      <c r="C12">
        <v>11</v>
      </c>
      <c r="D12">
        <v>1</v>
      </c>
      <c r="E12">
        <f t="shared" si="0"/>
        <v>4.2</v>
      </c>
      <c r="F12">
        <v>38</v>
      </c>
      <c r="G12">
        <f t="shared" si="1"/>
        <v>4.1799999999999997E-2</v>
      </c>
      <c r="H12">
        <f t="shared" si="2"/>
        <v>73.480943351406921</v>
      </c>
      <c r="I12" t="s">
        <v>28</v>
      </c>
      <c r="J12">
        <v>185</v>
      </c>
      <c r="K12" t="s">
        <v>29</v>
      </c>
      <c r="L12">
        <v>330</v>
      </c>
      <c r="M12">
        <f t="shared" si="3"/>
        <v>280.5</v>
      </c>
      <c r="N12">
        <v>0.42799999999999999</v>
      </c>
      <c r="O12">
        <v>7.0300000000000001E-2</v>
      </c>
      <c r="P12">
        <v>0.20200000000000001</v>
      </c>
      <c r="Q12">
        <f>2*PI()*50*P12*10^-6</f>
        <v>6.3460171602513821E-5</v>
      </c>
      <c r="R12">
        <f>N12*G12</f>
        <v>1.7890399999999997E-2</v>
      </c>
      <c r="S12">
        <f>O12*G12</f>
        <v>2.9385399999999999E-3</v>
      </c>
      <c r="T12">
        <f>G12*Q12</f>
        <v>2.6526351729850776E-6</v>
      </c>
      <c r="U12">
        <f>R12*D12^2</f>
        <v>1.7890399999999997E-2</v>
      </c>
      <c r="V12">
        <f>S12*D12^2</f>
        <v>2.9385399999999999E-3</v>
      </c>
      <c r="X12" t="s">
        <v>49</v>
      </c>
    </row>
    <row r="13" spans="1:26" hidden="1" x14ac:dyDescent="0.45">
      <c r="A13" t="s">
        <v>8</v>
      </c>
      <c r="B13">
        <v>11</v>
      </c>
      <c r="C13">
        <v>13</v>
      </c>
      <c r="D13">
        <v>5</v>
      </c>
      <c r="E13">
        <f t="shared" si="0"/>
        <v>21</v>
      </c>
      <c r="F13">
        <v>223</v>
      </c>
      <c r="G13">
        <f t="shared" si="1"/>
        <v>0.24530000000000002</v>
      </c>
      <c r="H13">
        <f t="shared" si="2"/>
        <v>367.40471675703463</v>
      </c>
      <c r="I13" t="s">
        <v>28</v>
      </c>
      <c r="J13">
        <v>400</v>
      </c>
      <c r="K13" t="s">
        <v>29</v>
      </c>
      <c r="L13">
        <v>475</v>
      </c>
      <c r="M13">
        <f t="shared" si="3"/>
        <v>403.75</v>
      </c>
      <c r="N13">
        <v>0.34200000000000003</v>
      </c>
      <c r="O13">
        <v>5.7299999999999997E-2</v>
      </c>
      <c r="P13">
        <v>0.26700000000000002</v>
      </c>
      <c r="Q13">
        <f t="shared" si="4"/>
        <v>8.3880523850847483E-5</v>
      </c>
      <c r="R13">
        <f t="shared" si="5"/>
        <v>8.3892600000000012E-2</v>
      </c>
      <c r="S13">
        <f t="shared" si="6"/>
        <v>1.4055690000000001E-2</v>
      </c>
      <c r="T13">
        <f t="shared" si="7"/>
        <v>2.0575892500612889E-5</v>
      </c>
      <c r="U13">
        <f t="shared" si="8"/>
        <v>2.0973150000000005</v>
      </c>
      <c r="V13">
        <f t="shared" si="9"/>
        <v>0.35139225000000002</v>
      </c>
      <c r="X13" t="s">
        <v>33</v>
      </c>
      <c r="Y13">
        <f>33^2/100</f>
        <v>10.89</v>
      </c>
    </row>
    <row r="14" spans="1:26" hidden="1" x14ac:dyDescent="0.45">
      <c r="A14" t="s">
        <v>8</v>
      </c>
      <c r="B14">
        <v>13</v>
      </c>
      <c r="C14">
        <v>14</v>
      </c>
      <c r="D14">
        <v>6</v>
      </c>
      <c r="E14">
        <f t="shared" si="0"/>
        <v>25.200000000000003</v>
      </c>
      <c r="F14">
        <v>587</v>
      </c>
      <c r="G14">
        <f t="shared" si="1"/>
        <v>0.64570000000000005</v>
      </c>
      <c r="H14">
        <f t="shared" si="2"/>
        <v>440.88566010844158</v>
      </c>
      <c r="I14" t="s">
        <v>28</v>
      </c>
      <c r="J14">
        <v>630</v>
      </c>
      <c r="K14" t="s">
        <v>29</v>
      </c>
      <c r="L14">
        <v>593</v>
      </c>
      <c r="M14">
        <f t="shared" si="3"/>
        <v>504.05</v>
      </c>
      <c r="N14">
        <v>0.312</v>
      </c>
      <c r="O14">
        <v>5.04E-2</v>
      </c>
      <c r="P14">
        <v>0.32900000000000001</v>
      </c>
      <c r="Q14">
        <f t="shared" si="4"/>
        <v>1.033583983031042E-4</v>
      </c>
      <c r="R14">
        <f t="shared" si="5"/>
        <v>0.20145840000000001</v>
      </c>
      <c r="S14">
        <f t="shared" si="6"/>
        <v>3.2543280000000001E-2</v>
      </c>
      <c r="T14">
        <f t="shared" si="7"/>
        <v>6.6738517784314391E-5</v>
      </c>
      <c r="U14">
        <f t="shared" si="8"/>
        <v>7.2525024</v>
      </c>
      <c r="V14">
        <f t="shared" si="9"/>
        <v>1.1715580800000001</v>
      </c>
      <c r="X14" t="s">
        <v>32</v>
      </c>
      <c r="Y14">
        <f>Y9/Y13</f>
        <v>6.0155213597529603E-3</v>
      </c>
    </row>
    <row r="15" spans="1:26" hidden="1" x14ac:dyDescent="0.45">
      <c r="A15" t="s">
        <v>8</v>
      </c>
      <c r="B15">
        <v>14</v>
      </c>
      <c r="C15" t="s">
        <v>6</v>
      </c>
      <c r="D15">
        <v>7</v>
      </c>
      <c r="E15">
        <f t="shared" si="0"/>
        <v>29.400000000000002</v>
      </c>
      <c r="F15">
        <v>342</v>
      </c>
      <c r="G15">
        <f t="shared" si="1"/>
        <v>0.37619999999999998</v>
      </c>
      <c r="H15">
        <f t="shared" si="2"/>
        <v>514.36660345984853</v>
      </c>
      <c r="I15" t="s">
        <v>28</v>
      </c>
      <c r="J15">
        <v>800</v>
      </c>
      <c r="K15" t="s">
        <v>29</v>
      </c>
      <c r="L15">
        <v>654</v>
      </c>
      <c r="M15">
        <f t="shared" si="3"/>
        <v>555.9</v>
      </c>
      <c r="N15">
        <v>0.30099999999999999</v>
      </c>
      <c r="O15">
        <v>4.7E-2</v>
      </c>
      <c r="P15">
        <v>0.36599999999999999</v>
      </c>
      <c r="Q15">
        <f t="shared" si="4"/>
        <v>1.1498229112138642E-4</v>
      </c>
      <c r="R15">
        <f t="shared" si="5"/>
        <v>0.1132362</v>
      </c>
      <c r="S15">
        <f t="shared" si="6"/>
        <v>1.76814E-2</v>
      </c>
      <c r="T15">
        <f t="shared" si="7"/>
        <v>4.3256337919865566E-5</v>
      </c>
      <c r="U15">
        <f t="shared" si="8"/>
        <v>5.5485737999999998</v>
      </c>
      <c r="V15">
        <f t="shared" si="9"/>
        <v>0.86638859999999995</v>
      </c>
      <c r="X15" t="s">
        <v>34</v>
      </c>
      <c r="Y15">
        <f>Y10/Y13</f>
        <v>3.7724273465431471E-3</v>
      </c>
    </row>
    <row r="16" spans="1:26" hidden="1" x14ac:dyDescent="0.45">
      <c r="A16" t="s">
        <v>9</v>
      </c>
      <c r="B16">
        <v>15</v>
      </c>
      <c r="C16">
        <v>16</v>
      </c>
      <c r="D16">
        <v>1</v>
      </c>
      <c r="E16">
        <f t="shared" si="0"/>
        <v>4.2</v>
      </c>
      <c r="F16">
        <v>385</v>
      </c>
      <c r="G16">
        <f t="shared" si="1"/>
        <v>0.42349999999999999</v>
      </c>
      <c r="H16">
        <f t="shared" si="2"/>
        <v>73.480943351406921</v>
      </c>
      <c r="I16" t="s">
        <v>28</v>
      </c>
      <c r="J16">
        <v>185</v>
      </c>
      <c r="K16" t="s">
        <v>29</v>
      </c>
      <c r="L16">
        <v>330</v>
      </c>
      <c r="M16">
        <f t="shared" si="3"/>
        <v>280.5</v>
      </c>
      <c r="N16">
        <v>0.42799999999999999</v>
      </c>
      <c r="O16">
        <v>7.0300000000000001E-2</v>
      </c>
      <c r="P16">
        <v>0.20200000000000001</v>
      </c>
      <c r="Q16">
        <f t="shared" si="4"/>
        <v>6.3460171602513821E-5</v>
      </c>
      <c r="R16">
        <f t="shared" si="5"/>
        <v>0.181258</v>
      </c>
      <c r="S16">
        <f t="shared" si="6"/>
        <v>2.9772050000000001E-2</v>
      </c>
      <c r="T16">
        <f t="shared" si="7"/>
        <v>2.6875382673664603E-5</v>
      </c>
      <c r="U16">
        <f t="shared" si="8"/>
        <v>0.181258</v>
      </c>
      <c r="V16">
        <f t="shared" si="9"/>
        <v>2.9772050000000001E-2</v>
      </c>
      <c r="X16" t="s">
        <v>38</v>
      </c>
      <c r="Y16">
        <f>T50*Y13</f>
        <v>1.5882452185229712E-2</v>
      </c>
      <c r="Z16" t="str">
        <f>"sum(Bactual)*zbase"</f>
        <v>sum(Bactual)*zbase</v>
      </c>
    </row>
    <row r="17" spans="1:25" hidden="1" x14ac:dyDescent="0.45">
      <c r="A17" t="s">
        <v>9</v>
      </c>
      <c r="B17">
        <v>16</v>
      </c>
      <c r="C17">
        <v>17</v>
      </c>
      <c r="D17">
        <v>2</v>
      </c>
      <c r="E17">
        <f t="shared" si="0"/>
        <v>8.4</v>
      </c>
      <c r="F17">
        <v>125</v>
      </c>
      <c r="G17">
        <f t="shared" si="1"/>
        <v>0.13750000000000001</v>
      </c>
      <c r="H17">
        <f t="shared" si="2"/>
        <v>146.96188670281384</v>
      </c>
      <c r="I17" t="s">
        <v>28</v>
      </c>
      <c r="J17">
        <v>185</v>
      </c>
      <c r="K17" t="s">
        <v>29</v>
      </c>
      <c r="L17">
        <v>330</v>
      </c>
      <c r="M17">
        <f t="shared" si="3"/>
        <v>280.5</v>
      </c>
      <c r="N17">
        <v>0.42799999999999999</v>
      </c>
      <c r="O17">
        <v>7.0300000000000001E-2</v>
      </c>
      <c r="P17">
        <v>0.20200000000000001</v>
      </c>
      <c r="Q17">
        <f t="shared" si="4"/>
        <v>6.3460171602513821E-5</v>
      </c>
      <c r="R17">
        <f t="shared" si="5"/>
        <v>5.8850000000000006E-2</v>
      </c>
      <c r="S17">
        <f t="shared" si="6"/>
        <v>9.6662500000000012E-3</v>
      </c>
      <c r="T17">
        <f t="shared" si="7"/>
        <v>8.7257735953456517E-6</v>
      </c>
      <c r="U17">
        <f t="shared" si="8"/>
        <v>0.23540000000000003</v>
      </c>
      <c r="V17">
        <f t="shared" si="9"/>
        <v>3.8665000000000005E-2</v>
      </c>
    </row>
    <row r="18" spans="1:25" hidden="1" x14ac:dyDescent="0.45">
      <c r="A18" t="s">
        <v>9</v>
      </c>
      <c r="B18">
        <v>17</v>
      </c>
      <c r="C18">
        <v>18</v>
      </c>
      <c r="D18">
        <v>3</v>
      </c>
      <c r="E18">
        <f t="shared" si="0"/>
        <v>12.600000000000001</v>
      </c>
      <c r="F18">
        <v>270</v>
      </c>
      <c r="G18">
        <f t="shared" si="1"/>
        <v>0.29699999999999999</v>
      </c>
      <c r="H18">
        <f t="shared" si="2"/>
        <v>220.44283005422079</v>
      </c>
      <c r="I18" t="s">
        <v>28</v>
      </c>
      <c r="J18">
        <v>185</v>
      </c>
      <c r="K18" t="s">
        <v>29</v>
      </c>
      <c r="L18">
        <v>330</v>
      </c>
      <c r="M18">
        <f t="shared" si="3"/>
        <v>280.5</v>
      </c>
      <c r="N18">
        <v>0.42799999999999999</v>
      </c>
      <c r="O18">
        <v>7.0300000000000001E-2</v>
      </c>
      <c r="P18">
        <v>0.20200000000000001</v>
      </c>
      <c r="Q18">
        <f t="shared" si="4"/>
        <v>6.3460171602513821E-5</v>
      </c>
      <c r="R18">
        <f t="shared" si="5"/>
        <v>0.12711599999999998</v>
      </c>
      <c r="S18">
        <f t="shared" si="6"/>
        <v>2.0879100000000001E-2</v>
      </c>
      <c r="T18">
        <f t="shared" si="7"/>
        <v>1.8847670965946605E-5</v>
      </c>
      <c r="U18">
        <f t="shared" si="8"/>
        <v>1.1440439999999998</v>
      </c>
      <c r="V18">
        <f t="shared" si="9"/>
        <v>0.18791190000000002</v>
      </c>
      <c r="X18" t="s">
        <v>48</v>
      </c>
    </row>
    <row r="19" spans="1:25" hidden="1" x14ac:dyDescent="0.45">
      <c r="A19" t="s">
        <v>9</v>
      </c>
      <c r="B19">
        <v>21</v>
      </c>
      <c r="C19">
        <v>20</v>
      </c>
      <c r="D19">
        <v>1</v>
      </c>
      <c r="E19">
        <f t="shared" si="0"/>
        <v>4.2</v>
      </c>
      <c r="F19">
        <v>219</v>
      </c>
      <c r="G19">
        <f t="shared" si="1"/>
        <v>0.2409</v>
      </c>
      <c r="H19">
        <f t="shared" si="2"/>
        <v>73.480943351406921</v>
      </c>
      <c r="I19" t="s">
        <v>28</v>
      </c>
      <c r="J19">
        <v>185</v>
      </c>
      <c r="K19" t="s">
        <v>29</v>
      </c>
      <c r="L19">
        <v>330</v>
      </c>
      <c r="M19">
        <f t="shared" si="3"/>
        <v>280.5</v>
      </c>
      <c r="N19">
        <v>0.42799999999999999</v>
      </c>
      <c r="O19">
        <v>7.0300000000000001E-2</v>
      </c>
      <c r="P19">
        <v>0.20200000000000001</v>
      </c>
      <c r="Q19">
        <f t="shared" si="4"/>
        <v>6.3460171602513821E-5</v>
      </c>
      <c r="R19">
        <f t="shared" si="5"/>
        <v>0.10310519999999999</v>
      </c>
      <c r="S19">
        <f t="shared" si="6"/>
        <v>1.6935270000000002E-2</v>
      </c>
      <c r="T19">
        <f t="shared" si="7"/>
        <v>1.528755533904558E-5</v>
      </c>
      <c r="U19">
        <f t="shared" si="8"/>
        <v>0.10310519999999999</v>
      </c>
      <c r="V19">
        <f t="shared" si="9"/>
        <v>1.6935270000000002E-2</v>
      </c>
      <c r="X19" t="s">
        <v>32</v>
      </c>
      <c r="Y19">
        <f>R49/Y13</f>
        <v>3.4775252525252522E-2</v>
      </c>
    </row>
    <row r="20" spans="1:25" hidden="1" x14ac:dyDescent="0.45">
      <c r="A20" t="s">
        <v>9</v>
      </c>
      <c r="B20">
        <v>20</v>
      </c>
      <c r="C20">
        <v>19</v>
      </c>
      <c r="D20">
        <v>2</v>
      </c>
      <c r="E20">
        <f t="shared" si="0"/>
        <v>8.4</v>
      </c>
      <c r="F20">
        <v>141</v>
      </c>
      <c r="G20">
        <f t="shared" si="1"/>
        <v>0.15509999999999999</v>
      </c>
      <c r="H20">
        <f t="shared" si="2"/>
        <v>146.96188670281384</v>
      </c>
      <c r="I20" t="s">
        <v>28</v>
      </c>
      <c r="J20">
        <v>185</v>
      </c>
      <c r="K20" t="s">
        <v>29</v>
      </c>
      <c r="L20">
        <v>330</v>
      </c>
      <c r="M20">
        <f t="shared" si="3"/>
        <v>280.5</v>
      </c>
      <c r="N20">
        <v>0.42799999999999999</v>
      </c>
      <c r="O20">
        <v>7.0300000000000001E-2</v>
      </c>
      <c r="P20">
        <v>0.20200000000000001</v>
      </c>
      <c r="Q20">
        <f t="shared" si="4"/>
        <v>6.3460171602513821E-5</v>
      </c>
      <c r="R20">
        <f t="shared" si="5"/>
        <v>6.6382799999999992E-2</v>
      </c>
      <c r="S20">
        <f t="shared" si="6"/>
        <v>1.090353E-2</v>
      </c>
      <c r="T20">
        <f t="shared" si="7"/>
        <v>9.842672615549893E-6</v>
      </c>
      <c r="U20">
        <f t="shared" si="8"/>
        <v>0.26553119999999997</v>
      </c>
      <c r="V20">
        <f t="shared" si="9"/>
        <v>4.3614119999999999E-2</v>
      </c>
      <c r="X20" t="s">
        <v>34</v>
      </c>
      <c r="Y20">
        <f>S49/Y13</f>
        <v>5.2340909090909087E-3</v>
      </c>
    </row>
    <row r="21" spans="1:25" hidden="1" x14ac:dyDescent="0.45">
      <c r="A21" t="s">
        <v>9</v>
      </c>
      <c r="B21">
        <v>19</v>
      </c>
      <c r="C21">
        <v>18</v>
      </c>
      <c r="D21">
        <v>3</v>
      </c>
      <c r="E21">
        <f t="shared" si="0"/>
        <v>12.600000000000001</v>
      </c>
      <c r="F21">
        <v>130</v>
      </c>
      <c r="G21">
        <f t="shared" si="1"/>
        <v>0.14299999999999999</v>
      </c>
      <c r="H21">
        <f t="shared" si="2"/>
        <v>220.44283005422079</v>
      </c>
      <c r="I21" t="s">
        <v>28</v>
      </c>
      <c r="J21">
        <v>185</v>
      </c>
      <c r="K21" t="s">
        <v>29</v>
      </c>
      <c r="L21">
        <v>330</v>
      </c>
      <c r="M21">
        <f t="shared" si="3"/>
        <v>280.5</v>
      </c>
      <c r="N21">
        <v>0.42799999999999999</v>
      </c>
      <c r="O21">
        <v>7.0300000000000001E-2</v>
      </c>
      <c r="P21">
        <v>0.20200000000000001</v>
      </c>
      <c r="Q21">
        <f t="shared" si="4"/>
        <v>6.3460171602513821E-5</v>
      </c>
      <c r="R21">
        <f t="shared" si="5"/>
        <v>6.1203999999999995E-2</v>
      </c>
      <c r="S21">
        <f t="shared" si="6"/>
        <v>1.00529E-2</v>
      </c>
      <c r="T21">
        <f t="shared" si="7"/>
        <v>9.0748045391594755E-6</v>
      </c>
      <c r="U21">
        <f t="shared" si="8"/>
        <v>0.55083599999999999</v>
      </c>
      <c r="V21">
        <f t="shared" si="9"/>
        <v>9.0476100000000004E-2</v>
      </c>
      <c r="X21" t="s">
        <v>38</v>
      </c>
      <c r="Y21">
        <f>T49*Y13</f>
        <v>1.8881486362411499E-3</v>
      </c>
    </row>
    <row r="22" spans="1:25" hidden="1" x14ac:dyDescent="0.45">
      <c r="A22" t="s">
        <v>9</v>
      </c>
      <c r="B22">
        <v>18</v>
      </c>
      <c r="C22">
        <v>22</v>
      </c>
      <c r="D22">
        <v>7</v>
      </c>
      <c r="E22">
        <f t="shared" si="0"/>
        <v>29.400000000000002</v>
      </c>
      <c r="F22">
        <v>1248</v>
      </c>
      <c r="G22">
        <f t="shared" si="1"/>
        <v>1.3728</v>
      </c>
      <c r="H22">
        <f t="shared" si="2"/>
        <v>514.36660345984853</v>
      </c>
      <c r="I22" t="s">
        <v>28</v>
      </c>
      <c r="J22">
        <v>800</v>
      </c>
      <c r="K22" t="s">
        <v>29</v>
      </c>
      <c r="L22">
        <v>654</v>
      </c>
      <c r="M22">
        <f t="shared" si="3"/>
        <v>555.9</v>
      </c>
      <c r="N22">
        <v>0.30099999999999999</v>
      </c>
      <c r="O22">
        <v>4.7E-2</v>
      </c>
      <c r="P22">
        <v>0.36599999999999999</v>
      </c>
      <c r="Q22">
        <f t="shared" si="4"/>
        <v>1.1498229112138642E-4</v>
      </c>
      <c r="R22">
        <f t="shared" si="5"/>
        <v>0.41321279999999999</v>
      </c>
      <c r="S22">
        <f t="shared" si="6"/>
        <v>6.4521599999999998E-2</v>
      </c>
      <c r="T22">
        <f t="shared" si="7"/>
        <v>1.5784768925143928E-4</v>
      </c>
      <c r="U22">
        <f t="shared" si="8"/>
        <v>20.247427200000001</v>
      </c>
      <c r="V22">
        <f t="shared" si="9"/>
        <v>3.1615584000000001</v>
      </c>
    </row>
    <row r="23" spans="1:25" hidden="1" x14ac:dyDescent="0.45">
      <c r="A23" t="s">
        <v>9</v>
      </c>
      <c r="B23">
        <v>22</v>
      </c>
      <c r="C23" t="s">
        <v>6</v>
      </c>
      <c r="D23">
        <v>8</v>
      </c>
      <c r="E23">
        <f t="shared" si="0"/>
        <v>33.6</v>
      </c>
      <c r="F23">
        <v>100</v>
      </c>
      <c r="G23">
        <f t="shared" si="1"/>
        <v>0.11</v>
      </c>
      <c r="H23">
        <f t="shared" si="2"/>
        <v>587.84754681125537</v>
      </c>
      <c r="I23" t="s">
        <v>28</v>
      </c>
      <c r="J23">
        <v>1000</v>
      </c>
      <c r="K23" t="s">
        <v>29</v>
      </c>
      <c r="L23">
        <v>733</v>
      </c>
      <c r="M23">
        <f t="shared" si="3"/>
        <v>623.04999999999995</v>
      </c>
      <c r="N23">
        <v>0.29299999999999998</v>
      </c>
      <c r="O23">
        <v>4.41E-2</v>
      </c>
      <c r="P23">
        <v>0.42699999999999999</v>
      </c>
      <c r="Q23">
        <f t="shared" si="4"/>
        <v>1.3414600630828416E-4</v>
      </c>
      <c r="R23">
        <f t="shared" si="5"/>
        <v>3.2230000000000002E-2</v>
      </c>
      <c r="S23">
        <f t="shared" si="6"/>
        <v>4.8510000000000003E-3</v>
      </c>
      <c r="T23">
        <f t="shared" si="7"/>
        <v>1.4756060693911257E-5</v>
      </c>
      <c r="U23">
        <f t="shared" si="8"/>
        <v>2.0627200000000001</v>
      </c>
      <c r="V23">
        <f t="shared" si="9"/>
        <v>0.31046400000000002</v>
      </c>
    </row>
    <row r="24" spans="1:25" hidden="1" x14ac:dyDescent="0.45">
      <c r="A24" t="s">
        <v>10</v>
      </c>
      <c r="B24">
        <v>23</v>
      </c>
      <c r="C24">
        <v>25</v>
      </c>
      <c r="D24">
        <v>1</v>
      </c>
      <c r="E24">
        <f t="shared" si="0"/>
        <v>4.2</v>
      </c>
      <c r="F24">
        <v>397</v>
      </c>
      <c r="G24">
        <f t="shared" si="1"/>
        <v>0.43669999999999998</v>
      </c>
      <c r="H24">
        <f t="shared" si="2"/>
        <v>73.480943351406921</v>
      </c>
      <c r="I24" t="s">
        <v>28</v>
      </c>
      <c r="J24">
        <v>185</v>
      </c>
      <c r="K24" t="s">
        <v>29</v>
      </c>
      <c r="L24">
        <v>330</v>
      </c>
      <c r="M24">
        <f t="shared" si="3"/>
        <v>280.5</v>
      </c>
      <c r="N24">
        <v>0.42799999999999999</v>
      </c>
      <c r="O24">
        <v>7.0300000000000001E-2</v>
      </c>
      <c r="P24">
        <v>0.20200000000000001</v>
      </c>
      <c r="Q24">
        <f t="shared" si="4"/>
        <v>6.3460171602513821E-5</v>
      </c>
      <c r="R24">
        <f t="shared" si="5"/>
        <v>0.18690759999999998</v>
      </c>
      <c r="S24">
        <f t="shared" si="6"/>
        <v>3.070001E-2</v>
      </c>
      <c r="T24">
        <f t="shared" si="7"/>
        <v>2.7713056938817783E-5</v>
      </c>
      <c r="U24">
        <f t="shared" si="8"/>
        <v>0.18690759999999998</v>
      </c>
      <c r="V24">
        <f t="shared" si="9"/>
        <v>3.070001E-2</v>
      </c>
    </row>
    <row r="25" spans="1:25" hidden="1" x14ac:dyDescent="0.45">
      <c r="A25" t="s">
        <v>10</v>
      </c>
      <c r="B25">
        <v>24</v>
      </c>
      <c r="C25">
        <v>23</v>
      </c>
      <c r="D25">
        <v>1</v>
      </c>
      <c r="E25">
        <f t="shared" si="0"/>
        <v>4.2</v>
      </c>
      <c r="F25">
        <v>121</v>
      </c>
      <c r="G25">
        <f t="shared" si="1"/>
        <v>0.1331</v>
      </c>
      <c r="H25">
        <f t="shared" si="2"/>
        <v>73.480943351406921</v>
      </c>
      <c r="I25" t="s">
        <v>28</v>
      </c>
      <c r="J25">
        <v>185</v>
      </c>
      <c r="K25" t="s">
        <v>29</v>
      </c>
      <c r="L25">
        <v>330</v>
      </c>
      <c r="M25">
        <f t="shared" si="3"/>
        <v>280.5</v>
      </c>
      <c r="N25">
        <v>0.42799999999999999</v>
      </c>
      <c r="O25">
        <v>7.0300000000000001E-2</v>
      </c>
      <c r="P25">
        <v>0.20200000000000001</v>
      </c>
      <c r="Q25">
        <f t="shared" si="4"/>
        <v>6.3460171602513821E-5</v>
      </c>
      <c r="R25">
        <f t="shared" si="5"/>
        <v>5.6966799999999998E-2</v>
      </c>
      <c r="S25">
        <f t="shared" si="6"/>
        <v>9.3569299999999994E-3</v>
      </c>
      <c r="T25">
        <f t="shared" si="7"/>
        <v>8.4465488402945892E-6</v>
      </c>
      <c r="U25">
        <f t="shared" si="8"/>
        <v>5.6966799999999998E-2</v>
      </c>
      <c r="V25">
        <f t="shared" si="9"/>
        <v>9.3569299999999994E-3</v>
      </c>
    </row>
    <row r="26" spans="1:25" hidden="1" x14ac:dyDescent="0.45">
      <c r="A26" t="s">
        <v>10</v>
      </c>
      <c r="B26">
        <v>25</v>
      </c>
      <c r="C26">
        <v>26</v>
      </c>
      <c r="D26">
        <v>3</v>
      </c>
      <c r="E26">
        <f t="shared" si="0"/>
        <v>12.600000000000001</v>
      </c>
      <c r="F26">
        <v>124</v>
      </c>
      <c r="G26">
        <f t="shared" si="1"/>
        <v>0.13639999999999999</v>
      </c>
      <c r="H26">
        <f t="shared" si="2"/>
        <v>220.44283005422079</v>
      </c>
      <c r="I26" t="s">
        <v>28</v>
      </c>
      <c r="J26">
        <v>185</v>
      </c>
      <c r="K26" t="s">
        <v>29</v>
      </c>
      <c r="L26">
        <v>330</v>
      </c>
      <c r="M26">
        <f t="shared" si="3"/>
        <v>280.5</v>
      </c>
      <c r="N26">
        <v>0.42799999999999999</v>
      </c>
      <c r="O26">
        <v>7.0300000000000001E-2</v>
      </c>
      <c r="P26">
        <v>0.20200000000000001</v>
      </c>
      <c r="Q26">
        <f t="shared" si="4"/>
        <v>6.3460171602513821E-5</v>
      </c>
      <c r="R26">
        <f t="shared" si="5"/>
        <v>5.8379199999999999E-2</v>
      </c>
      <c r="S26">
        <f t="shared" si="6"/>
        <v>9.588919999999999E-3</v>
      </c>
      <c r="T26">
        <f t="shared" si="7"/>
        <v>8.6559674065828852E-6</v>
      </c>
      <c r="U26">
        <f t="shared" si="8"/>
        <v>0.52541280000000001</v>
      </c>
      <c r="V26">
        <f t="shared" si="9"/>
        <v>8.6300279999999993E-2</v>
      </c>
    </row>
    <row r="27" spans="1:25" hidden="1" x14ac:dyDescent="0.45">
      <c r="A27" t="s">
        <v>10</v>
      </c>
      <c r="B27">
        <v>26</v>
      </c>
      <c r="C27">
        <v>27</v>
      </c>
      <c r="D27">
        <v>4</v>
      </c>
      <c r="E27">
        <f t="shared" si="0"/>
        <v>16.8</v>
      </c>
      <c r="F27">
        <v>370</v>
      </c>
      <c r="G27">
        <f t="shared" si="1"/>
        <v>0.40699999999999997</v>
      </c>
      <c r="H27">
        <f t="shared" si="2"/>
        <v>293.92377340562768</v>
      </c>
      <c r="I27" t="s">
        <v>28</v>
      </c>
      <c r="J27">
        <v>300</v>
      </c>
      <c r="K27" t="s">
        <v>29</v>
      </c>
      <c r="L27">
        <v>421</v>
      </c>
      <c r="M27">
        <f t="shared" si="3"/>
        <v>357.84999999999997</v>
      </c>
      <c r="N27">
        <v>0.36399999999999999</v>
      </c>
      <c r="O27">
        <v>6.2199999999999998E-2</v>
      </c>
      <c r="P27">
        <v>0.24199999999999999</v>
      </c>
      <c r="Q27">
        <f t="shared" si="4"/>
        <v>7.6026542216872997E-5</v>
      </c>
      <c r="R27">
        <f t="shared" si="5"/>
        <v>0.14814799999999997</v>
      </c>
      <c r="S27">
        <f t="shared" si="6"/>
        <v>2.5315399999999998E-2</v>
      </c>
      <c r="T27">
        <f t="shared" si="7"/>
        <v>3.0942802682267309E-5</v>
      </c>
      <c r="U27">
        <f t="shared" si="8"/>
        <v>2.3703679999999996</v>
      </c>
      <c r="V27">
        <f t="shared" si="9"/>
        <v>0.40504639999999997</v>
      </c>
    </row>
    <row r="28" spans="1:25" hidden="1" x14ac:dyDescent="0.45">
      <c r="A28" t="s">
        <v>10</v>
      </c>
      <c r="B28">
        <v>27</v>
      </c>
      <c r="C28">
        <v>28</v>
      </c>
      <c r="D28">
        <v>5</v>
      </c>
      <c r="E28">
        <f t="shared" si="0"/>
        <v>21</v>
      </c>
      <c r="F28">
        <v>1059</v>
      </c>
      <c r="G28">
        <f t="shared" si="1"/>
        <v>1.1649</v>
      </c>
      <c r="H28">
        <f t="shared" si="2"/>
        <v>367.40471675703463</v>
      </c>
      <c r="I28" t="s">
        <v>28</v>
      </c>
      <c r="J28">
        <v>400</v>
      </c>
      <c r="K28" t="s">
        <v>29</v>
      </c>
      <c r="L28">
        <v>475</v>
      </c>
      <c r="M28">
        <f t="shared" si="3"/>
        <v>403.75</v>
      </c>
      <c r="N28">
        <v>0.34200000000000003</v>
      </c>
      <c r="O28">
        <v>5.7299999999999997E-2</v>
      </c>
      <c r="P28">
        <v>0.26700000000000002</v>
      </c>
      <c r="Q28">
        <f t="shared" si="4"/>
        <v>8.3880523850847483E-5</v>
      </c>
      <c r="R28">
        <f t="shared" si="5"/>
        <v>0.39839580000000002</v>
      </c>
      <c r="S28">
        <f t="shared" si="6"/>
        <v>6.6748769999999999E-2</v>
      </c>
      <c r="T28">
        <f t="shared" si="7"/>
        <v>9.7712422233852241E-5</v>
      </c>
      <c r="U28">
        <f t="shared" si="8"/>
        <v>9.9598950000000013</v>
      </c>
      <c r="V28">
        <f t="shared" si="9"/>
        <v>1.6687192499999999</v>
      </c>
    </row>
    <row r="29" spans="1:25" hidden="1" x14ac:dyDescent="0.45">
      <c r="A29" t="s">
        <v>10</v>
      </c>
      <c r="B29">
        <v>29</v>
      </c>
      <c r="C29">
        <v>28</v>
      </c>
      <c r="D29">
        <v>1</v>
      </c>
      <c r="E29">
        <f t="shared" si="0"/>
        <v>4.2</v>
      </c>
      <c r="F29">
        <v>116</v>
      </c>
      <c r="G29">
        <f t="shared" si="1"/>
        <v>0.12759999999999999</v>
      </c>
      <c r="H29">
        <f t="shared" si="2"/>
        <v>73.480943351406921</v>
      </c>
      <c r="I29" t="s">
        <v>28</v>
      </c>
      <c r="J29">
        <v>185</v>
      </c>
      <c r="K29" t="s">
        <v>29</v>
      </c>
      <c r="L29">
        <v>330</v>
      </c>
      <c r="M29">
        <f t="shared" si="3"/>
        <v>280.5</v>
      </c>
      <c r="N29">
        <v>0.42799999999999999</v>
      </c>
      <c r="O29">
        <v>7.0300000000000001E-2</v>
      </c>
      <c r="P29">
        <v>0.20200000000000001</v>
      </c>
      <c r="Q29">
        <f t="shared" si="4"/>
        <v>6.3460171602513821E-5</v>
      </c>
      <c r="R29">
        <f t="shared" si="5"/>
        <v>5.4612799999999996E-2</v>
      </c>
      <c r="S29">
        <f t="shared" si="6"/>
        <v>8.9702799999999989E-3</v>
      </c>
      <c r="T29">
        <f t="shared" si="7"/>
        <v>8.0975178964807637E-6</v>
      </c>
      <c r="U29">
        <f t="shared" si="8"/>
        <v>5.4612799999999996E-2</v>
      </c>
      <c r="V29">
        <f t="shared" si="9"/>
        <v>8.9702799999999989E-3</v>
      </c>
    </row>
    <row r="30" spans="1:25" hidden="1" x14ac:dyDescent="0.45">
      <c r="A30" t="s">
        <v>10</v>
      </c>
      <c r="B30">
        <v>28</v>
      </c>
      <c r="C30" t="s">
        <v>6</v>
      </c>
      <c r="D30">
        <v>7</v>
      </c>
      <c r="E30">
        <f t="shared" si="0"/>
        <v>29.400000000000002</v>
      </c>
      <c r="F30">
        <v>262</v>
      </c>
      <c r="G30">
        <f t="shared" si="1"/>
        <v>0.28820000000000001</v>
      </c>
      <c r="H30">
        <f t="shared" si="2"/>
        <v>514.36660345984853</v>
      </c>
      <c r="I30" t="s">
        <v>28</v>
      </c>
      <c r="J30">
        <v>800</v>
      </c>
      <c r="K30" t="s">
        <v>29</v>
      </c>
      <c r="L30">
        <v>654</v>
      </c>
      <c r="M30">
        <f t="shared" si="3"/>
        <v>555.9</v>
      </c>
      <c r="N30">
        <v>0.30099999999999999</v>
      </c>
      <c r="O30">
        <v>4.7E-2</v>
      </c>
      <c r="P30">
        <v>0.36599999999999999</v>
      </c>
      <c r="Q30">
        <f t="shared" si="4"/>
        <v>1.1498229112138642E-4</v>
      </c>
      <c r="R30">
        <f t="shared" si="5"/>
        <v>8.6748199999999998E-2</v>
      </c>
      <c r="S30">
        <f t="shared" si="6"/>
        <v>1.3545400000000001E-2</v>
      </c>
      <c r="T30">
        <f t="shared" si="7"/>
        <v>3.3137896301183566E-5</v>
      </c>
      <c r="U30">
        <f t="shared" si="8"/>
        <v>4.2506617999999996</v>
      </c>
      <c r="V30">
        <f t="shared" si="9"/>
        <v>0.6637246</v>
      </c>
    </row>
    <row r="31" spans="1:25" hidden="1" x14ac:dyDescent="0.45">
      <c r="A31" t="s">
        <v>11</v>
      </c>
      <c r="B31">
        <v>30</v>
      </c>
      <c r="C31">
        <v>31</v>
      </c>
      <c r="D31">
        <v>1</v>
      </c>
      <c r="E31">
        <f t="shared" si="0"/>
        <v>4.2</v>
      </c>
      <c r="F31">
        <v>133</v>
      </c>
      <c r="G31">
        <f t="shared" si="1"/>
        <v>0.14630000000000001</v>
      </c>
      <c r="H31">
        <f t="shared" si="2"/>
        <v>73.480943351406921</v>
      </c>
      <c r="I31" t="s">
        <v>28</v>
      </c>
      <c r="J31">
        <v>185</v>
      </c>
      <c r="K31" t="s">
        <v>29</v>
      </c>
      <c r="L31">
        <v>330</v>
      </c>
      <c r="M31">
        <f t="shared" si="3"/>
        <v>280.5</v>
      </c>
      <c r="N31">
        <v>0.42799999999999999</v>
      </c>
      <c r="O31">
        <v>7.0300000000000001E-2</v>
      </c>
      <c r="P31">
        <v>0.20200000000000001</v>
      </c>
      <c r="Q31">
        <f t="shared" si="4"/>
        <v>6.3460171602513821E-5</v>
      </c>
      <c r="R31">
        <f t="shared" si="5"/>
        <v>6.2616400000000003E-2</v>
      </c>
      <c r="S31">
        <f t="shared" si="6"/>
        <v>1.0284890000000001E-2</v>
      </c>
      <c r="T31">
        <f t="shared" si="7"/>
        <v>9.2842231054477732E-6</v>
      </c>
      <c r="U31">
        <f t="shared" si="8"/>
        <v>6.2616400000000003E-2</v>
      </c>
      <c r="V31">
        <f t="shared" si="9"/>
        <v>1.0284890000000001E-2</v>
      </c>
    </row>
    <row r="32" spans="1:25" hidden="1" x14ac:dyDescent="0.45">
      <c r="A32" t="s">
        <v>11</v>
      </c>
      <c r="B32">
        <v>31</v>
      </c>
      <c r="C32">
        <v>32</v>
      </c>
      <c r="D32">
        <v>2</v>
      </c>
      <c r="E32">
        <f t="shared" si="0"/>
        <v>8.4</v>
      </c>
      <c r="F32">
        <v>130</v>
      </c>
      <c r="G32">
        <f t="shared" si="1"/>
        <v>0.14299999999999999</v>
      </c>
      <c r="H32">
        <f t="shared" si="2"/>
        <v>146.96188670281384</v>
      </c>
      <c r="J32">
        <v>185</v>
      </c>
      <c r="K32" t="s">
        <v>29</v>
      </c>
      <c r="L32">
        <v>330</v>
      </c>
      <c r="M32">
        <f t="shared" si="3"/>
        <v>280.5</v>
      </c>
      <c r="N32">
        <v>0.42799999999999999</v>
      </c>
      <c r="O32">
        <v>7.0300000000000001E-2</v>
      </c>
      <c r="P32">
        <v>0.20200000000000001</v>
      </c>
      <c r="Q32">
        <f t="shared" si="4"/>
        <v>6.3460171602513821E-5</v>
      </c>
      <c r="R32">
        <f t="shared" si="5"/>
        <v>6.1203999999999995E-2</v>
      </c>
      <c r="S32">
        <f t="shared" si="6"/>
        <v>1.00529E-2</v>
      </c>
      <c r="T32">
        <f t="shared" si="7"/>
        <v>9.0748045391594755E-6</v>
      </c>
      <c r="U32">
        <f t="shared" si="8"/>
        <v>0.24481599999999998</v>
      </c>
      <c r="V32">
        <f t="shared" si="9"/>
        <v>4.02116E-2</v>
      </c>
    </row>
    <row r="33" spans="1:22" hidden="1" x14ac:dyDescent="0.45">
      <c r="A33" t="s">
        <v>11</v>
      </c>
      <c r="B33">
        <v>32</v>
      </c>
      <c r="C33">
        <v>35</v>
      </c>
      <c r="D33">
        <v>3</v>
      </c>
      <c r="E33">
        <f t="shared" si="0"/>
        <v>12.600000000000001</v>
      </c>
      <c r="F33">
        <v>233</v>
      </c>
      <c r="G33">
        <f t="shared" si="1"/>
        <v>0.25630000000000003</v>
      </c>
      <c r="H33">
        <f t="shared" si="2"/>
        <v>220.44283005422079</v>
      </c>
      <c r="J33">
        <v>185</v>
      </c>
      <c r="K33" t="s">
        <v>29</v>
      </c>
      <c r="L33">
        <v>330</v>
      </c>
      <c r="M33">
        <f t="shared" si="3"/>
        <v>280.5</v>
      </c>
      <c r="N33">
        <v>0.42799999999999999</v>
      </c>
      <c r="O33">
        <v>7.0300000000000001E-2</v>
      </c>
      <c r="P33">
        <v>0.20200000000000001</v>
      </c>
      <c r="Q33">
        <f t="shared" si="4"/>
        <v>6.3460171602513821E-5</v>
      </c>
      <c r="R33">
        <f t="shared" si="5"/>
        <v>0.10969640000000001</v>
      </c>
      <c r="S33">
        <f t="shared" si="6"/>
        <v>1.8017890000000002E-2</v>
      </c>
      <c r="T33">
        <f t="shared" si="7"/>
        <v>1.6264841981724294E-5</v>
      </c>
      <c r="U33">
        <f t="shared" si="8"/>
        <v>0.98726760000000013</v>
      </c>
      <c r="V33">
        <f t="shared" si="9"/>
        <v>0.16216101000000002</v>
      </c>
    </row>
    <row r="34" spans="1:22" hidden="1" x14ac:dyDescent="0.45">
      <c r="A34" t="s">
        <v>11</v>
      </c>
      <c r="B34">
        <v>33</v>
      </c>
      <c r="C34">
        <v>34</v>
      </c>
      <c r="D34">
        <v>1</v>
      </c>
      <c r="E34">
        <f t="shared" si="0"/>
        <v>4.2</v>
      </c>
      <c r="F34">
        <v>113</v>
      </c>
      <c r="G34">
        <f t="shared" si="1"/>
        <v>0.12429999999999999</v>
      </c>
      <c r="H34">
        <f t="shared" si="2"/>
        <v>73.480943351406921</v>
      </c>
      <c r="J34">
        <v>185</v>
      </c>
      <c r="K34" t="s">
        <v>29</v>
      </c>
      <c r="L34">
        <v>330</v>
      </c>
      <c r="M34">
        <f t="shared" si="3"/>
        <v>280.5</v>
      </c>
      <c r="N34">
        <v>0.42799999999999999</v>
      </c>
      <c r="O34">
        <v>7.0300000000000001E-2</v>
      </c>
      <c r="P34">
        <v>0.20200000000000001</v>
      </c>
      <c r="Q34">
        <f t="shared" si="4"/>
        <v>6.3460171602513821E-5</v>
      </c>
      <c r="R34">
        <f t="shared" si="5"/>
        <v>5.3200399999999995E-2</v>
      </c>
      <c r="S34">
        <f t="shared" si="6"/>
        <v>8.7382899999999993E-3</v>
      </c>
      <c r="T34">
        <f t="shared" si="7"/>
        <v>7.8880993301924677E-6</v>
      </c>
      <c r="U34">
        <f t="shared" si="8"/>
        <v>5.3200399999999995E-2</v>
      </c>
      <c r="V34">
        <f t="shared" si="9"/>
        <v>8.7382899999999993E-3</v>
      </c>
    </row>
    <row r="35" spans="1:22" hidden="1" x14ac:dyDescent="0.45">
      <c r="A35" t="s">
        <v>11</v>
      </c>
      <c r="B35">
        <v>34</v>
      </c>
      <c r="C35">
        <v>35</v>
      </c>
      <c r="D35">
        <v>2</v>
      </c>
      <c r="E35">
        <f t="shared" si="0"/>
        <v>8.4</v>
      </c>
      <c r="F35">
        <v>233</v>
      </c>
      <c r="G35">
        <f t="shared" si="1"/>
        <v>0.25630000000000003</v>
      </c>
      <c r="H35">
        <f t="shared" si="2"/>
        <v>146.96188670281384</v>
      </c>
      <c r="J35">
        <v>185</v>
      </c>
      <c r="K35" t="s">
        <v>29</v>
      </c>
      <c r="L35">
        <v>330</v>
      </c>
      <c r="M35">
        <f t="shared" si="3"/>
        <v>280.5</v>
      </c>
      <c r="N35">
        <v>0.42799999999999999</v>
      </c>
      <c r="O35">
        <v>7.0300000000000001E-2</v>
      </c>
      <c r="P35">
        <v>0.20200000000000001</v>
      </c>
      <c r="Q35">
        <f t="shared" si="4"/>
        <v>6.3460171602513821E-5</v>
      </c>
      <c r="R35">
        <f t="shared" si="5"/>
        <v>0.10969640000000001</v>
      </c>
      <c r="S35">
        <f t="shared" si="6"/>
        <v>1.8017890000000002E-2</v>
      </c>
      <c r="T35">
        <f t="shared" si="7"/>
        <v>1.6264841981724294E-5</v>
      </c>
      <c r="U35">
        <f t="shared" si="8"/>
        <v>0.43878560000000005</v>
      </c>
      <c r="V35">
        <f t="shared" si="9"/>
        <v>7.2071560000000007E-2</v>
      </c>
    </row>
    <row r="36" spans="1:22" hidden="1" x14ac:dyDescent="0.45">
      <c r="A36" t="s">
        <v>11</v>
      </c>
      <c r="B36">
        <v>35</v>
      </c>
      <c r="C36" t="s">
        <v>43</v>
      </c>
      <c r="D36">
        <v>6</v>
      </c>
      <c r="E36">
        <f t="shared" si="0"/>
        <v>25.200000000000003</v>
      </c>
      <c r="F36">
        <v>82</v>
      </c>
      <c r="G36">
        <f t="shared" si="1"/>
        <v>9.0200000000000002E-2</v>
      </c>
      <c r="H36">
        <f t="shared" si="2"/>
        <v>440.88566010844158</v>
      </c>
      <c r="J36">
        <v>630</v>
      </c>
      <c r="K36" t="s">
        <v>29</v>
      </c>
      <c r="L36">
        <v>593</v>
      </c>
      <c r="M36">
        <f t="shared" si="3"/>
        <v>504.05</v>
      </c>
      <c r="N36">
        <v>0.312</v>
      </c>
      <c r="O36">
        <v>5.04E-2</v>
      </c>
      <c r="P36">
        <v>0.32900000000000001</v>
      </c>
      <c r="Q36">
        <f t="shared" si="4"/>
        <v>1.033583983031042E-4</v>
      </c>
      <c r="R36">
        <f t="shared" si="5"/>
        <v>2.8142400000000001E-2</v>
      </c>
      <c r="S36">
        <f t="shared" si="6"/>
        <v>4.5460800000000001E-3</v>
      </c>
      <c r="T36">
        <f t="shared" si="7"/>
        <v>9.3229275269399984E-6</v>
      </c>
      <c r="U36">
        <f t="shared" si="8"/>
        <v>1.0131264</v>
      </c>
      <c r="V36">
        <f t="shared" si="9"/>
        <v>0.16365888000000001</v>
      </c>
    </row>
    <row r="37" spans="1:22" x14ac:dyDescent="0.45">
      <c r="A37" s="4" t="s">
        <v>11</v>
      </c>
      <c r="B37" s="4" t="s">
        <v>43</v>
      </c>
      <c r="C37" s="4" t="s">
        <v>44</v>
      </c>
      <c r="D37" s="4">
        <v>6</v>
      </c>
      <c r="E37" s="4">
        <f t="shared" si="0"/>
        <v>25.200000000000003</v>
      </c>
      <c r="F37" s="4">
        <v>1136</v>
      </c>
      <c r="G37" s="4">
        <f t="shared" si="1"/>
        <v>1.2495999999999998</v>
      </c>
      <c r="H37" s="4">
        <f t="shared" si="2"/>
        <v>440.88566010844158</v>
      </c>
      <c r="J37" s="4" t="s">
        <v>46</v>
      </c>
      <c r="K37" s="4" t="s">
        <v>47</v>
      </c>
      <c r="L37" s="4">
        <v>615</v>
      </c>
      <c r="M37" s="4">
        <f>L37*0.85</f>
        <v>522.75</v>
      </c>
      <c r="N37" s="4">
        <v>0</v>
      </c>
      <c r="O37" s="4">
        <v>0</v>
      </c>
      <c r="P37" s="4">
        <v>0</v>
      </c>
      <c r="Q37" s="4">
        <f t="shared" si="4"/>
        <v>0</v>
      </c>
      <c r="R37" s="4">
        <v>5.0270000000000002E-2</v>
      </c>
      <c r="S37" s="4">
        <v>0.15129999999999999</v>
      </c>
      <c r="T37" s="4">
        <v>3.0199999999999999E-5</v>
      </c>
      <c r="U37" s="4">
        <f t="shared" si="8"/>
        <v>1.80972</v>
      </c>
      <c r="V37" s="4">
        <f t="shared" si="9"/>
        <v>5.4467999999999996</v>
      </c>
    </row>
    <row r="38" spans="1:22" x14ac:dyDescent="0.45">
      <c r="A38" s="4" t="s">
        <v>11</v>
      </c>
      <c r="B38" s="4" t="s">
        <v>44</v>
      </c>
      <c r="C38" s="4" t="s">
        <v>45</v>
      </c>
      <c r="D38" s="4">
        <v>6</v>
      </c>
      <c r="E38" s="4">
        <f t="shared" si="0"/>
        <v>25.200000000000003</v>
      </c>
      <c r="F38" s="4">
        <v>4566</v>
      </c>
      <c r="G38" s="4">
        <f t="shared" si="1"/>
        <v>5.0226000000000006</v>
      </c>
      <c r="H38" s="4">
        <f t="shared" si="2"/>
        <v>440.88566010844158</v>
      </c>
      <c r="J38" s="4" t="s">
        <v>46</v>
      </c>
      <c r="K38" s="4" t="s">
        <v>47</v>
      </c>
      <c r="L38" s="4">
        <v>615</v>
      </c>
      <c r="M38" s="4">
        <f t="shared" ref="M38" si="10">L38*0.85</f>
        <v>522.75</v>
      </c>
      <c r="N38" s="4">
        <v>0</v>
      </c>
      <c r="O38" s="4">
        <v>0</v>
      </c>
      <c r="P38" s="4">
        <v>0</v>
      </c>
      <c r="Q38" s="4">
        <f t="shared" si="4"/>
        <v>0</v>
      </c>
      <c r="R38" s="4">
        <v>0.20219999999999999</v>
      </c>
      <c r="S38" s="4">
        <v>0.60780000000000001</v>
      </c>
      <c r="T38" s="4">
        <v>1.3999999999999999E-4</v>
      </c>
      <c r="U38" s="4">
        <f t="shared" si="8"/>
        <v>7.2791999999999994</v>
      </c>
      <c r="V38" s="4">
        <f t="shared" si="9"/>
        <v>21.880800000000001</v>
      </c>
    </row>
    <row r="39" spans="1:22" hidden="1" x14ac:dyDescent="0.45">
      <c r="A39" t="s">
        <v>11</v>
      </c>
      <c r="B39" t="s">
        <v>45</v>
      </c>
      <c r="C39" t="s">
        <v>6</v>
      </c>
      <c r="D39">
        <v>6</v>
      </c>
      <c r="E39">
        <f t="shared" si="0"/>
        <v>25.200000000000003</v>
      </c>
      <c r="F39">
        <v>188</v>
      </c>
      <c r="G39">
        <f t="shared" si="1"/>
        <v>0.20680000000000001</v>
      </c>
      <c r="H39">
        <f t="shared" si="2"/>
        <v>440.88566010844158</v>
      </c>
      <c r="J39">
        <v>630</v>
      </c>
      <c r="K39" t="s">
        <v>29</v>
      </c>
      <c r="L39">
        <v>593</v>
      </c>
      <c r="M39">
        <f t="shared" si="3"/>
        <v>504.05</v>
      </c>
      <c r="N39">
        <v>0.312</v>
      </c>
      <c r="O39">
        <v>5.04E-2</v>
      </c>
      <c r="P39">
        <v>0.32900000000000001</v>
      </c>
      <c r="Q39">
        <f t="shared" si="4"/>
        <v>1.033583983031042E-4</v>
      </c>
      <c r="R39">
        <f t="shared" ref="R39:R48" si="11">N39*G39</f>
        <v>6.4521599999999998E-2</v>
      </c>
      <c r="S39">
        <f t="shared" ref="S39:S48" si="12">O39*G39</f>
        <v>1.042272E-2</v>
      </c>
      <c r="T39">
        <f t="shared" ref="T39:T48" si="13">G39*Q39</f>
        <v>2.1374516769081949E-5</v>
      </c>
      <c r="U39">
        <f t="shared" si="8"/>
        <v>2.3227775999999998</v>
      </c>
      <c r="V39">
        <f t="shared" si="9"/>
        <v>0.37521791999999998</v>
      </c>
    </row>
    <row r="40" spans="1:22" hidden="1" x14ac:dyDescent="0.45">
      <c r="A40" t="s">
        <v>39</v>
      </c>
      <c r="B40">
        <v>36</v>
      </c>
      <c r="C40">
        <v>37</v>
      </c>
      <c r="D40">
        <v>1</v>
      </c>
      <c r="E40">
        <f t="shared" si="0"/>
        <v>4.2</v>
      </c>
      <c r="F40">
        <v>188</v>
      </c>
      <c r="G40">
        <f t="shared" si="1"/>
        <v>0.20680000000000001</v>
      </c>
      <c r="H40">
        <f t="shared" si="2"/>
        <v>73.480943351406921</v>
      </c>
      <c r="J40">
        <v>185</v>
      </c>
      <c r="K40" t="s">
        <v>29</v>
      </c>
      <c r="L40">
        <v>330</v>
      </c>
      <c r="M40">
        <f t="shared" si="3"/>
        <v>280.5</v>
      </c>
      <c r="N40">
        <v>0.42799999999999999</v>
      </c>
      <c r="O40">
        <v>7.0300000000000001E-2</v>
      </c>
      <c r="P40">
        <v>0.20200000000000001</v>
      </c>
      <c r="Q40">
        <f t="shared" si="4"/>
        <v>6.3460171602513821E-5</v>
      </c>
      <c r="R40">
        <f t="shared" si="11"/>
        <v>8.8510400000000003E-2</v>
      </c>
      <c r="S40">
        <f t="shared" si="12"/>
        <v>1.453804E-2</v>
      </c>
      <c r="T40">
        <f t="shared" si="13"/>
        <v>1.3123563487399859E-5</v>
      </c>
      <c r="U40">
        <f t="shared" si="8"/>
        <v>8.8510400000000003E-2</v>
      </c>
      <c r="V40">
        <f t="shared" si="9"/>
        <v>1.453804E-2</v>
      </c>
    </row>
    <row r="41" spans="1:22" hidden="1" x14ac:dyDescent="0.45">
      <c r="A41" t="s">
        <v>39</v>
      </c>
      <c r="B41">
        <v>37</v>
      </c>
      <c r="C41">
        <v>38</v>
      </c>
      <c r="D41">
        <v>2</v>
      </c>
      <c r="E41">
        <f t="shared" si="0"/>
        <v>8.4</v>
      </c>
      <c r="F41">
        <v>250</v>
      </c>
      <c r="G41">
        <f t="shared" si="1"/>
        <v>0.27500000000000002</v>
      </c>
      <c r="H41">
        <f t="shared" si="2"/>
        <v>146.96188670281384</v>
      </c>
      <c r="J41">
        <v>185</v>
      </c>
      <c r="K41" t="s">
        <v>29</v>
      </c>
      <c r="L41">
        <v>330</v>
      </c>
      <c r="M41">
        <f t="shared" si="3"/>
        <v>280.5</v>
      </c>
      <c r="N41">
        <v>0.42799999999999999</v>
      </c>
      <c r="O41">
        <v>7.0300000000000001E-2</v>
      </c>
      <c r="P41">
        <v>0.20200000000000001</v>
      </c>
      <c r="Q41">
        <f t="shared" si="4"/>
        <v>6.3460171602513821E-5</v>
      </c>
      <c r="R41">
        <f t="shared" si="11"/>
        <v>0.11770000000000001</v>
      </c>
      <c r="S41">
        <f t="shared" si="12"/>
        <v>1.9332500000000002E-2</v>
      </c>
      <c r="T41">
        <f t="shared" si="13"/>
        <v>1.7451547190691303E-5</v>
      </c>
      <c r="U41">
        <f t="shared" si="8"/>
        <v>0.47080000000000005</v>
      </c>
      <c r="V41">
        <f t="shared" si="9"/>
        <v>7.733000000000001E-2</v>
      </c>
    </row>
    <row r="42" spans="1:22" hidden="1" x14ac:dyDescent="0.45">
      <c r="A42" t="s">
        <v>39</v>
      </c>
      <c r="B42">
        <v>38</v>
      </c>
      <c r="C42">
        <v>39</v>
      </c>
      <c r="D42">
        <v>3</v>
      </c>
      <c r="E42">
        <f t="shared" si="0"/>
        <v>12.600000000000001</v>
      </c>
      <c r="F42">
        <v>282</v>
      </c>
      <c r="G42">
        <f t="shared" si="1"/>
        <v>0.31019999999999998</v>
      </c>
      <c r="H42">
        <f t="shared" si="2"/>
        <v>220.44283005422079</v>
      </c>
      <c r="J42">
        <v>185</v>
      </c>
      <c r="K42" t="s">
        <v>29</v>
      </c>
      <c r="L42">
        <v>330</v>
      </c>
      <c r="M42">
        <f t="shared" si="3"/>
        <v>280.5</v>
      </c>
      <c r="N42">
        <v>0.42799999999999999</v>
      </c>
      <c r="O42">
        <v>7.0300000000000001E-2</v>
      </c>
      <c r="P42">
        <v>0.20200000000000001</v>
      </c>
      <c r="Q42">
        <f t="shared" si="4"/>
        <v>6.3460171602513821E-5</v>
      </c>
      <c r="R42">
        <f t="shared" si="11"/>
        <v>0.13276559999999998</v>
      </c>
      <c r="S42">
        <f t="shared" si="12"/>
        <v>2.180706E-2</v>
      </c>
      <c r="T42">
        <f t="shared" si="13"/>
        <v>1.9685345231099786E-5</v>
      </c>
      <c r="U42">
        <f t="shared" si="8"/>
        <v>1.1948903999999998</v>
      </c>
      <c r="V42">
        <f t="shared" si="9"/>
        <v>0.19626353999999999</v>
      </c>
    </row>
    <row r="43" spans="1:22" hidden="1" x14ac:dyDescent="0.45">
      <c r="A43" t="s">
        <v>39</v>
      </c>
      <c r="B43">
        <v>39</v>
      </c>
      <c r="C43">
        <v>40</v>
      </c>
      <c r="D43">
        <v>4</v>
      </c>
      <c r="E43">
        <f t="shared" si="0"/>
        <v>16.8</v>
      </c>
      <c r="F43">
        <v>266</v>
      </c>
      <c r="G43">
        <f t="shared" si="1"/>
        <v>0.29260000000000003</v>
      </c>
      <c r="H43">
        <f t="shared" si="2"/>
        <v>293.92377340562768</v>
      </c>
      <c r="J43">
        <v>300</v>
      </c>
      <c r="K43" t="s">
        <v>29</v>
      </c>
      <c r="L43">
        <v>421</v>
      </c>
      <c r="M43">
        <f t="shared" si="3"/>
        <v>357.84999999999997</v>
      </c>
      <c r="N43">
        <v>0.36399999999999999</v>
      </c>
      <c r="O43">
        <v>6.2199999999999998E-2</v>
      </c>
      <c r="P43">
        <v>0.24199999999999999</v>
      </c>
      <c r="Q43">
        <f t="shared" si="4"/>
        <v>7.6026542216872997E-5</v>
      </c>
      <c r="R43">
        <f t="shared" si="11"/>
        <v>0.1065064</v>
      </c>
      <c r="S43">
        <f t="shared" si="12"/>
        <v>1.8199720000000003E-2</v>
      </c>
      <c r="T43">
        <f t="shared" si="13"/>
        <v>2.2245366252657042E-5</v>
      </c>
      <c r="U43">
        <f t="shared" si="8"/>
        <v>1.7041024</v>
      </c>
      <c r="V43">
        <f t="shared" si="9"/>
        <v>0.29119552000000004</v>
      </c>
    </row>
    <row r="44" spans="1:22" hidden="1" x14ac:dyDescent="0.45">
      <c r="A44" t="s">
        <v>39</v>
      </c>
      <c r="B44">
        <v>40</v>
      </c>
      <c r="C44">
        <v>41</v>
      </c>
      <c r="D44">
        <v>5</v>
      </c>
      <c r="E44">
        <f t="shared" si="0"/>
        <v>21</v>
      </c>
      <c r="F44">
        <v>902</v>
      </c>
      <c r="G44">
        <f t="shared" si="1"/>
        <v>0.99220000000000008</v>
      </c>
      <c r="H44">
        <f t="shared" si="2"/>
        <v>367.40471675703463</v>
      </c>
      <c r="J44">
        <v>400</v>
      </c>
      <c r="K44" t="s">
        <v>29</v>
      </c>
      <c r="L44">
        <v>475</v>
      </c>
      <c r="M44">
        <f t="shared" si="3"/>
        <v>403.75</v>
      </c>
      <c r="N44">
        <v>0.34200000000000003</v>
      </c>
      <c r="O44">
        <v>5.7299999999999997E-2</v>
      </c>
      <c r="P44">
        <v>0.26700000000000002</v>
      </c>
      <c r="Q44">
        <f t="shared" si="4"/>
        <v>8.3880523850847483E-5</v>
      </c>
      <c r="R44">
        <f t="shared" si="11"/>
        <v>0.33933240000000003</v>
      </c>
      <c r="S44">
        <f t="shared" si="12"/>
        <v>5.6853060000000004E-2</v>
      </c>
      <c r="T44">
        <f t="shared" si="13"/>
        <v>8.322625576481088E-5</v>
      </c>
      <c r="U44">
        <f t="shared" si="8"/>
        <v>8.4833100000000012</v>
      </c>
      <c r="V44">
        <f t="shared" si="9"/>
        <v>1.4213265000000002</v>
      </c>
    </row>
    <row r="45" spans="1:22" hidden="1" x14ac:dyDescent="0.45">
      <c r="A45" t="s">
        <v>39</v>
      </c>
      <c r="B45">
        <v>41</v>
      </c>
      <c r="C45">
        <v>42</v>
      </c>
      <c r="D45">
        <v>6</v>
      </c>
      <c r="E45">
        <f t="shared" si="0"/>
        <v>25.200000000000003</v>
      </c>
      <c r="F45">
        <v>191</v>
      </c>
      <c r="G45">
        <f t="shared" si="1"/>
        <v>0.21009999999999998</v>
      </c>
      <c r="H45">
        <f t="shared" si="2"/>
        <v>440.88566010844158</v>
      </c>
      <c r="J45">
        <v>630</v>
      </c>
      <c r="K45" t="s">
        <v>29</v>
      </c>
      <c r="L45">
        <v>593</v>
      </c>
      <c r="M45">
        <f t="shared" si="3"/>
        <v>504.05</v>
      </c>
      <c r="N45">
        <v>0.312</v>
      </c>
      <c r="O45">
        <v>5.04E-2</v>
      </c>
      <c r="P45">
        <v>0.32900000000000001</v>
      </c>
      <c r="Q45">
        <f t="shared" si="4"/>
        <v>1.033583983031042E-4</v>
      </c>
      <c r="R45">
        <f t="shared" si="11"/>
        <v>6.555119999999999E-2</v>
      </c>
      <c r="S45">
        <f t="shared" si="12"/>
        <v>1.0589039999999999E-2</v>
      </c>
      <c r="T45">
        <f t="shared" si="13"/>
        <v>2.1715599483482191E-5</v>
      </c>
      <c r="U45">
        <f t="shared" si="8"/>
        <v>2.3598431999999998</v>
      </c>
      <c r="V45">
        <f t="shared" si="9"/>
        <v>0.38120543999999995</v>
      </c>
    </row>
    <row r="46" spans="1:22" hidden="1" x14ac:dyDescent="0.45">
      <c r="A46" t="s">
        <v>39</v>
      </c>
      <c r="B46">
        <v>42</v>
      </c>
      <c r="C46" t="s">
        <v>44</v>
      </c>
      <c r="D46">
        <v>7</v>
      </c>
      <c r="E46">
        <f t="shared" si="0"/>
        <v>29.400000000000002</v>
      </c>
      <c r="F46">
        <v>16</v>
      </c>
      <c r="G46">
        <f t="shared" si="1"/>
        <v>1.7600000000000001E-2</v>
      </c>
      <c r="H46">
        <f t="shared" si="2"/>
        <v>514.36660345984853</v>
      </c>
      <c r="J46">
        <v>800</v>
      </c>
      <c r="K46" t="s">
        <v>29</v>
      </c>
      <c r="L46">
        <v>654</v>
      </c>
      <c r="M46">
        <f t="shared" si="3"/>
        <v>555.9</v>
      </c>
      <c r="N46">
        <v>0.30099999999999999</v>
      </c>
      <c r="O46">
        <v>4.7E-2</v>
      </c>
      <c r="P46">
        <v>0.36599999999999999</v>
      </c>
      <c r="Q46">
        <f t="shared" si="4"/>
        <v>1.1498229112138642E-4</v>
      </c>
      <c r="R46">
        <f t="shared" si="11"/>
        <v>5.2976000000000004E-3</v>
      </c>
      <c r="S46">
        <f t="shared" si="12"/>
        <v>8.2720000000000005E-4</v>
      </c>
      <c r="T46">
        <f t="shared" si="13"/>
        <v>2.023688323736401E-6</v>
      </c>
      <c r="U46">
        <f t="shared" si="8"/>
        <v>0.25958240000000005</v>
      </c>
      <c r="V46">
        <f t="shared" si="9"/>
        <v>4.0532800000000001E-2</v>
      </c>
    </row>
    <row r="47" spans="1:22" x14ac:dyDescent="0.45">
      <c r="A47" s="4" t="s">
        <v>39</v>
      </c>
      <c r="B47" s="4" t="s">
        <v>44</v>
      </c>
      <c r="C47" s="4" t="s">
        <v>45</v>
      </c>
      <c r="D47" s="4">
        <v>7</v>
      </c>
      <c r="E47" s="4">
        <f t="shared" si="0"/>
        <v>29.400000000000002</v>
      </c>
      <c r="F47" s="4">
        <v>4566</v>
      </c>
      <c r="G47" s="4">
        <f t="shared" si="1"/>
        <v>5.0226000000000006</v>
      </c>
      <c r="H47" s="4">
        <f t="shared" si="2"/>
        <v>514.36660345984853</v>
      </c>
      <c r="J47" s="4" t="s">
        <v>46</v>
      </c>
      <c r="K47" s="4" t="s">
        <v>47</v>
      </c>
      <c r="L47" s="4">
        <v>615</v>
      </c>
      <c r="M47" s="4">
        <f t="shared" ref="M47" si="14">L47*0.85</f>
        <v>522.75</v>
      </c>
      <c r="N47" s="4">
        <v>0</v>
      </c>
      <c r="O47" s="4">
        <v>0</v>
      </c>
      <c r="P47" s="4">
        <v>0</v>
      </c>
      <c r="Q47" s="4">
        <f t="shared" si="4"/>
        <v>0</v>
      </c>
      <c r="R47" s="4">
        <v>0.2107</v>
      </c>
      <c r="S47" s="4">
        <v>0.60319999999999996</v>
      </c>
      <c r="T47" s="4">
        <v>1.3999999999999999E-4</v>
      </c>
      <c r="U47" s="4">
        <f t="shared" si="8"/>
        <v>10.324299999999999</v>
      </c>
      <c r="V47" s="4">
        <f t="shared" si="9"/>
        <v>29.556799999999999</v>
      </c>
    </row>
    <row r="48" spans="1:22" hidden="1" x14ac:dyDescent="0.45">
      <c r="A48" t="s">
        <v>39</v>
      </c>
      <c r="B48" t="s">
        <v>45</v>
      </c>
      <c r="C48" t="s">
        <v>6</v>
      </c>
      <c r="D48">
        <v>7</v>
      </c>
      <c r="E48">
        <f t="shared" si="0"/>
        <v>29.400000000000002</v>
      </c>
      <c r="F48">
        <v>188</v>
      </c>
      <c r="G48">
        <f t="shared" si="1"/>
        <v>0.20680000000000001</v>
      </c>
      <c r="H48">
        <f t="shared" si="2"/>
        <v>514.36660345984853</v>
      </c>
      <c r="J48">
        <v>800</v>
      </c>
      <c r="K48" t="s">
        <v>29</v>
      </c>
      <c r="L48">
        <v>654</v>
      </c>
      <c r="M48">
        <f t="shared" si="3"/>
        <v>555.9</v>
      </c>
      <c r="N48">
        <v>0.30099999999999999</v>
      </c>
      <c r="O48">
        <v>4.7E-2</v>
      </c>
      <c r="P48">
        <v>0.36599999999999999</v>
      </c>
      <c r="Q48">
        <f t="shared" si="4"/>
        <v>1.1498229112138642E-4</v>
      </c>
      <c r="R48">
        <f t="shared" si="11"/>
        <v>6.2246799999999998E-2</v>
      </c>
      <c r="S48">
        <f t="shared" si="12"/>
        <v>9.7196000000000001E-3</v>
      </c>
      <c r="T48">
        <f t="shared" si="13"/>
        <v>2.3778337803902711E-5</v>
      </c>
      <c r="U48">
        <f t="shared" si="8"/>
        <v>3.0500932000000001</v>
      </c>
      <c r="V48">
        <f t="shared" si="9"/>
        <v>0.47626040000000003</v>
      </c>
    </row>
    <row r="49" spans="1:23" ht="28.5" hidden="1" x14ac:dyDescent="0.45">
      <c r="A49" s="3" t="s">
        <v>42</v>
      </c>
      <c r="B49" s="2" t="s">
        <v>1</v>
      </c>
      <c r="C49" s="2" t="s">
        <v>41</v>
      </c>
      <c r="D49" s="2">
        <v>42</v>
      </c>
      <c r="E49" s="2">
        <v>120</v>
      </c>
      <c r="F49" s="2">
        <v>1175</v>
      </c>
      <c r="G49" s="2">
        <f t="shared" si="1"/>
        <v>1.2925</v>
      </c>
      <c r="H49" s="2">
        <f t="shared" si="2"/>
        <v>2099.4555243259119</v>
      </c>
      <c r="I49" s="2"/>
      <c r="J49" s="2">
        <v>1000</v>
      </c>
      <c r="K49" s="2" t="s">
        <v>29</v>
      </c>
      <c r="L49" s="2">
        <v>733</v>
      </c>
      <c r="M49" s="2">
        <f t="shared" si="3"/>
        <v>623.04999999999995</v>
      </c>
      <c r="N49" s="2">
        <v>0.29299999999999998</v>
      </c>
      <c r="O49" s="2">
        <v>4.41E-2</v>
      </c>
      <c r="P49" s="2">
        <v>0.42699999999999999</v>
      </c>
      <c r="Q49" s="2">
        <f>2*PI()*50*P49*10^-6</f>
        <v>1.3414600630828416E-4</v>
      </c>
      <c r="R49" s="2">
        <f>N49*G49</f>
        <v>0.3787025</v>
      </c>
      <c r="S49" s="2">
        <f>O49*G49</f>
        <v>5.6999250000000001E-2</v>
      </c>
      <c r="T49" s="2">
        <f>G49*Q49</f>
        <v>1.7338371315345728E-4</v>
      </c>
      <c r="U49" s="2"/>
      <c r="V49" s="2"/>
      <c r="W49" s="2">
        <f>H49/4</f>
        <v>524.86388108147798</v>
      </c>
    </row>
    <row r="50" spans="1:23" hidden="1" x14ac:dyDescent="0.45">
      <c r="S50" t="s">
        <v>5</v>
      </c>
      <c r="T50">
        <f>SUM(T2:T48)</f>
        <v>1.4584437268346843E-3</v>
      </c>
      <c r="U50">
        <f t="shared" ref="U50:V50" si="15">SUM(U2:U48)</f>
        <v>115.55792469999999</v>
      </c>
      <c r="V50">
        <f t="shared" si="15"/>
        <v>72.468178429999995</v>
      </c>
    </row>
  </sheetData>
  <autoFilter ref="A1:Z50" xr:uid="{9EC097A5-3976-451C-8E09-4F20B1363154}">
    <filterColumn colId="9">
      <filters>
        <filter val="33/3.00 AAAC/1120"/>
      </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6" ma:contentTypeDescription="Create a new document." ma:contentTypeScope="" ma:versionID="bac8be2826a85e5a9dd452e9d6c31841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bef6fd18dd0aaa5b9dabdafd5fa7b70b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ec4a4bc-2685-4191-8e5b-741c43db70a3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813fe8-1347-4959-8219-8a1b0e95da11">
      <Terms xmlns="http://schemas.microsoft.com/office/infopath/2007/PartnerControls"/>
    </lcf76f155ced4ddcb4097134ff3c332f>
    <TaxCatchAll xmlns="79cd7128-7692-472f-9aff-5e5a6b9f80d3" xsi:nil="true"/>
    <OX2_Project_Id xmlns="79cd7128-7692-472f-9aff-5e5a6b9f80d3" xsi:nil="true"/>
  </documentManagement>
</p:properties>
</file>

<file path=customXml/itemProps1.xml><?xml version="1.0" encoding="utf-8"?>
<ds:datastoreItem xmlns:ds="http://schemas.openxmlformats.org/officeDocument/2006/customXml" ds:itemID="{9B5A7977-60E9-4B0F-A619-85DF58F2896B}"/>
</file>

<file path=customXml/itemProps2.xml><?xml version="1.0" encoding="utf-8"?>
<ds:datastoreItem xmlns:ds="http://schemas.openxmlformats.org/officeDocument/2006/customXml" ds:itemID="{A040DD86-5BF9-43CF-8167-5857A38E7A81}"/>
</file>

<file path=customXml/itemProps3.xml><?xml version="1.0" encoding="utf-8"?>
<ds:datastoreItem xmlns:ds="http://schemas.openxmlformats.org/officeDocument/2006/customXml" ds:itemID="{541CFAD4-D217-4684-8723-B78565872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+veseq</vt:lpstr>
      <vt:lpstr>Cable Typ</vt:lpstr>
      <vt:lpstr>+ve Seq</vt:lpstr>
      <vt:lpstr>0seq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Mani Aulakh</dc:creator>
  <cp:lastModifiedBy>Mani Aulakh</cp:lastModifiedBy>
  <dcterms:created xsi:type="dcterms:W3CDTF">2021-10-28T23:33:07Z</dcterms:created>
  <dcterms:modified xsi:type="dcterms:W3CDTF">2022-09-26T00:03:44Z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0x010100B3416DCB34DD7C4B92E65D12CB7FCD38</vt:lpwstr>
  </property>
  <property fmtid="{D5CDD505-2E9C-101B-9397-08002B2CF9AE}" pid="3" name="Order">
    <vt:r8>187520200</vt:r8>
  </property>
  <property fmtid="{D5CDD505-2E9C-101B-9397-08002B2CF9AE}" pid="4" name="_ExtendedDescription">
    <vt:lpwstr/>
  </property>
</Properties>
</file>