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200" windowHeight="11880"/>
  </bookViews>
  <sheets>
    <sheet name="Основна" sheetId="1" r:id="rId1"/>
    <sheet name="max_short" sheetId="2" r:id="rId2"/>
    <sheet name="max_produce" sheetId="3" r:id="rId3"/>
    <sheet name="min_cost" sheetId="4" r:id="rId4"/>
  </sheets>
  <definedNames>
    <definedName name="solver_adj" localSheetId="2" hidden="1">max_produce!$I$11:$J$11</definedName>
    <definedName name="solver_adj" localSheetId="1" hidden="1">max_short!$I$11:$J$11</definedName>
    <definedName name="solver_adj" localSheetId="3" hidden="1">min_cost!$I$11:$J$11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2" hidden="1">1</definedName>
    <definedName name="solver_drv" localSheetId="1" hidden="1">2</definedName>
    <definedName name="solver_drv" localSheetId="3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2" hidden="1">max_produce!$H$11</definedName>
    <definedName name="solver_lhs1" localSheetId="1" hidden="1">max_short!$I$11:$J$11</definedName>
    <definedName name="solver_lhs1" localSheetId="3" hidden="1">min_cost!$H$11</definedName>
    <definedName name="solver_lhs2" localSheetId="2" hidden="1">max_produce!$I$11:$J$11</definedName>
    <definedName name="solver_lhs2" localSheetId="3" hidden="1">min_cost!$I$11:$J$11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2" hidden="1">2</definedName>
    <definedName name="solver_num" localSheetId="1" hidden="1">1</definedName>
    <definedName name="solver_num" localSheetId="3" hidden="1">2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2" hidden="1">max_produce!$F$11</definedName>
    <definedName name="solver_opt" localSheetId="1" hidden="1">max_short!$F$11</definedName>
    <definedName name="solver_opt" localSheetId="3" hidden="1">min_cost!$F$11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2" hidden="1">1</definedName>
    <definedName name="solver_rbv" localSheetId="1" hidden="1">2</definedName>
    <definedName name="solver_rbv" localSheetId="3" hidden="1">1</definedName>
    <definedName name="solver_rel1" localSheetId="2" hidden="1">1</definedName>
    <definedName name="solver_rel1" localSheetId="1" hidden="1">1</definedName>
    <definedName name="solver_rel1" localSheetId="3" hidden="1">3</definedName>
    <definedName name="solver_rel2" localSheetId="2" hidden="1">4</definedName>
    <definedName name="solver_rel2" localSheetId="3" hidden="1">4</definedName>
    <definedName name="solver_rhs1" localSheetId="2" hidden="1">max_produce!$B$3</definedName>
    <definedName name="solver_rhs1" localSheetId="1" hidden="1">max_short!$I$13:$J$13</definedName>
    <definedName name="solver_rhs1" localSheetId="3" hidden="1">min_cost!$B$3</definedName>
    <definedName name="solver_rhs2" localSheetId="2" hidden="1">целое</definedName>
    <definedName name="solver_rhs2" localSheetId="3" hidden="1">целое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2" hidden="1">1</definedName>
    <definedName name="solver_typ" localSheetId="1" hidden="1">1</definedName>
    <definedName name="solver_typ" localSheetId="3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4" l="1"/>
  <c r="F11" i="4"/>
  <c r="F11" i="3"/>
  <c r="H11" i="3"/>
  <c r="J13" i="2"/>
  <c r="I13" i="2"/>
  <c r="XFD1048575" i="2" l="1" a="1"/>
  <c r="XFD1048575" i="2" s="1"/>
  <c r="XFD1048574" i="2" a="1"/>
  <c r="XFD1048574" i="2" s="1"/>
  <c r="XFD1048573" i="2" a="1"/>
  <c r="XFD1048573" i="2" s="1"/>
  <c r="XFD1048572" i="2" a="1"/>
  <c r="XFD1048572" i="2" s="1"/>
  <c r="XFD1048571" i="2" a="1"/>
  <c r="XFD1048571" i="2" s="1"/>
  <c r="XFD1048570" i="2" a="1"/>
  <c r="XFD1048570" i="2" s="1"/>
  <c r="XFD1048569" i="2" a="1"/>
  <c r="XFD1048569" i="2" s="1"/>
  <c r="XFD1048568" i="2" a="1"/>
  <c r="XFD1048568" i="2" s="1"/>
  <c r="XFD1048567" i="2" a="1"/>
  <c r="XFD1048567" i="2" s="1"/>
  <c r="XFD1048566" i="2" a="1"/>
  <c r="XFD1048566" i="2" s="1"/>
  <c r="XFD1048565" i="2" a="1"/>
  <c r="XFD1048565" i="2" s="1"/>
  <c r="XFD1048564" i="2" a="1"/>
  <c r="XFD1048564" i="2" s="1"/>
  <c r="XFD1048563" i="2" a="1"/>
  <c r="XFD1048563" i="2" s="1"/>
  <c r="XFD1048562" i="2" a="1"/>
  <c r="XFD1048562" i="2" s="1"/>
  <c r="XFD1048561" i="2" a="1"/>
  <c r="XFD1048561" i="2" s="1"/>
  <c r="XFD1048560" i="2" a="1"/>
  <c r="XFD1048560" i="2" s="1"/>
  <c r="XFD1048559" i="2" a="1"/>
  <c r="XFD1048559" i="2" s="1"/>
  <c r="XFD1048558" i="2" a="1"/>
  <c r="XFD1048558" i="2" s="1"/>
  <c r="XFD1048557" i="2" a="1"/>
  <c r="XFD1048557" i="2" s="1"/>
  <c r="XFD1048556" i="2" a="1"/>
  <c r="XFD1048556" i="2" s="1"/>
  <c r="XFD1048555" i="2" a="1"/>
  <c r="XFD1048555" i="2" s="1"/>
  <c r="XFD1048554" i="2" a="1"/>
  <c r="XFD1048554" i="2" s="1"/>
  <c r="XFD1048553" i="2" a="1"/>
  <c r="XFD1048553" i="2" s="1"/>
  <c r="XFD1048552" i="2" a="1"/>
  <c r="XFD1048552" i="2" s="1"/>
  <c r="XFD1048551" i="2" a="1"/>
  <c r="XFD1048551" i="2" s="1"/>
  <c r="XFD1048550" i="2" a="1"/>
  <c r="XFD1048550" i="2" s="1"/>
  <c r="G11" i="2"/>
  <c r="H11" i="2"/>
  <c r="J5" i="1" a="1"/>
  <c r="J5" i="1"/>
  <c r="M5" i="1"/>
  <c r="G18" i="1"/>
  <c r="F16" i="1"/>
  <c r="E16" i="1"/>
  <c r="E13" i="1"/>
  <c r="E12" i="1"/>
  <c r="F12" i="1"/>
  <c r="G12" i="1"/>
  <c r="F13" i="1"/>
  <c r="G13" i="1"/>
  <c r="E14" i="1"/>
  <c r="F14" i="1"/>
  <c r="G14" i="1"/>
  <c r="E15" i="1"/>
  <c r="F15" i="1"/>
  <c r="G15" i="1"/>
  <c r="G16" i="1"/>
  <c r="E17" i="1"/>
  <c r="F17" i="1"/>
  <c r="G17" i="1"/>
  <c r="E18" i="1"/>
  <c r="F18" i="1"/>
  <c r="E19" i="1"/>
  <c r="F19" i="1"/>
  <c r="G19" i="1"/>
  <c r="E20" i="1"/>
  <c r="F20" i="1"/>
  <c r="G20" i="1"/>
  <c r="G11" i="1"/>
  <c r="F11" i="1"/>
  <c r="E11" i="1"/>
  <c r="L5" i="1"/>
  <c r="K5" i="1"/>
  <c r="F11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<sst xmlns="http://schemas.openxmlformats.org/spreadsheetml/2006/main" count="75" uniqueCount="49">
  <si>
    <t>За даним статистичних спостережень побудувати виробничу функцію                                                                                                   Знайти оптимальні витрати капіталу та праці для задач:  1)максимізація прибутку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</si>
  <si>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>p=</t>
  </si>
  <si>
    <t>w(K)=</t>
  </si>
  <si>
    <t>w(L)=</t>
  </si>
  <si>
    <t>beta</t>
  </si>
  <si>
    <t>alpha</t>
  </si>
  <si>
    <t>ln(A)</t>
  </si>
  <si>
    <t>A</t>
  </si>
  <si>
    <t>TC0=</t>
  </si>
  <si>
    <t>q0=</t>
  </si>
  <si>
    <t>F(K,L)=A*(K^alpha)*(L^beta)</t>
  </si>
  <si>
    <t>Виробництво</t>
  </si>
  <si>
    <t>K, Обсяг витрат капіталу</t>
  </si>
  <si>
    <t>L, Обсяг витрат трудових ресурсів</t>
  </si>
  <si>
    <t>q=F(K,L), Обсяг випуску продукції</t>
  </si>
  <si>
    <t>ln(K)</t>
  </si>
  <si>
    <t>ln(L)</t>
  </si>
  <si>
    <t>ln(F)</t>
  </si>
  <si>
    <t>ln(F)=ln(A)+alpha*ln(K)+beta*ln(L)</t>
  </si>
  <si>
    <t>Y=A0+alpha*x1+beta*x2</t>
  </si>
  <si>
    <t>Максимізація прибутку</t>
  </si>
  <si>
    <t>короткостроковий період</t>
  </si>
  <si>
    <t>Прибуток=(Дохід-Витрати)--&gt;max</t>
  </si>
  <si>
    <t>Profit=(Revenue-Costs)--&gt;max</t>
  </si>
  <si>
    <t>Revenue=price*F(K*,L*)</t>
  </si>
  <si>
    <t>Costs=w(K)*K+w(L)*L</t>
  </si>
  <si>
    <t>F(K,L)=A*(K^beta)*(L^alpha)</t>
  </si>
  <si>
    <t>Максимізація</t>
  </si>
  <si>
    <t>ПРИБУТОК</t>
  </si>
  <si>
    <t>Дохід</t>
  </si>
  <si>
    <t>Витрати</t>
  </si>
  <si>
    <t>K*</t>
  </si>
  <si>
    <t>L*</t>
  </si>
  <si>
    <t>Обмеження на K*, L*</t>
  </si>
  <si>
    <t>Максимізація випуску</t>
  </si>
  <si>
    <t>Постановка задачі</t>
  </si>
  <si>
    <t>F(K,L)--&gt;max</t>
  </si>
  <si>
    <t>w(K)*K+w(L)*L≤TC0</t>
  </si>
  <si>
    <t>Максимізуємо</t>
  </si>
  <si>
    <t>Цілі значення змінних</t>
  </si>
  <si>
    <t>ВИПУСК</t>
  </si>
  <si>
    <t>Витрати, TC</t>
  </si>
  <si>
    <t>Мінімізація витрат</t>
  </si>
  <si>
    <t>w(K)*K+w(L)*L--&gt;min</t>
  </si>
  <si>
    <t>F(K*,L*)≥q0</t>
  </si>
  <si>
    <t>Мінімізуємо</t>
  </si>
  <si>
    <t>ВИТРАТИ</t>
  </si>
  <si>
    <t>Випуск</t>
  </si>
  <si>
    <t>Євчика Олексія, Варіант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</si>
</sst>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₴&quot;"/>
  </numFmts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charset val="1"/>
    </font>
    <font>
      <sz val="11"/>
      <color theme="1"/>
      <name val="Calibri"/>
      <charset val="1"/>
    </font>
    <font>
      <sz val="16"/>
      <color theme="1"/>
      <name val="Calibri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  <font>
      <b/>
      <sz val="20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6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D99594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 style="thin">
        <color rgb="FFCCCCCC"/>
      </top>
      <bottom style="thin">
        <color rgb="FFCCCCCC"/>
      </bottom>
      <diagonal/>
    </border>
    <border>
      <left/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thin">
        <color rgb="FFCCCCCC"/>
      </top>
      <bottom style="medium">
        <color indexed="64"/>
      </bottom>
      <diagonal/>
    </border>
    <border>
      <left/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5" fillId="12" borderId="12" xfId="0" applyFont="1" applyFill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11" borderId="12" xfId="0" applyFont="1" applyFill="1" applyBorder="1" applyAlignment="1">
      <alignment wrapText="1" readingOrder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3" fillId="0" borderId="17" xfId="0" applyFont="1" applyBorder="1" applyAlignment="1">
      <alignment readingOrder="1"/>
    </xf>
    <xf numFmtId="0" fontId="3" fillId="0" borderId="18" xfId="0" applyFont="1" applyBorder="1" applyAlignment="1">
      <alignment readingOrder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6" xfId="0" applyFont="1" applyBorder="1" applyAlignment="1">
      <alignment horizontal="center" vertical="center" readingOrder="1"/>
    </xf>
    <xf numFmtId="0" fontId="5" fillId="0" borderId="11" xfId="0" applyFont="1" applyBorder="1" applyAlignment="1">
      <alignment horizontal="center" vertical="center" readingOrder="1"/>
    </xf>
    <xf numFmtId="0" fontId="5" fillId="0" borderId="14" xfId="0" applyFont="1" applyBorder="1" applyAlignment="1">
      <alignment horizontal="center" vertical="center" readingOrder="1"/>
    </xf>
    <xf numFmtId="0" fontId="2" fillId="0" borderId="0" xfId="0" applyFont="1" applyAlignment="1">
      <alignment wrapText="1" readingOrder="1"/>
    </xf>
    <xf numFmtId="0" fontId="6" fillId="0" borderId="5" xfId="0" applyFont="1" applyBorder="1" applyAlignment="1">
      <alignment horizontal="center" vertical="center" wrapText="1" readingOrder="1"/>
    </xf>
    <xf numFmtId="165" fontId="2" fillId="0" borderId="12" xfId="0" applyNumberFormat="1" applyFont="1" applyBorder="1" applyAlignment="1">
      <alignment wrapText="1" readingOrder="1"/>
    </xf>
    <xf numFmtId="165" fontId="2" fillId="0" borderId="12" xfId="0" applyNumberFormat="1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4" xfId="0" applyFont="1" applyBorder="1" applyAlignment="1">
      <alignment readingOrder="1"/>
    </xf>
    <xf numFmtId="0" fontId="3" fillId="0" borderId="20" xfId="0" applyFont="1" applyBorder="1" applyAlignment="1">
      <alignment readingOrder="1"/>
    </xf>
    <xf numFmtId="0" fontId="11" fillId="0" borderId="19" xfId="0" applyFont="1" applyBorder="1" applyAlignment="1">
      <alignment readingOrder="1"/>
    </xf>
    <xf numFmtId="0" fontId="12" fillId="0" borderId="19" xfId="0" applyFont="1" applyBorder="1" applyAlignment="1">
      <alignment readingOrder="1"/>
    </xf>
    <xf numFmtId="0" fontId="11" fillId="11" borderId="19" xfId="0" applyFont="1" applyFill="1" applyBorder="1" applyAlignment="1">
      <alignment horizontal="right" wrapText="1"/>
    </xf>
    <xf numFmtId="0" fontId="12" fillId="0" borderId="19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0" fontId="9" fillId="9" borderId="0" xfId="0" applyFont="1" applyFill="1" applyBorder="1" applyAlignment="1">
      <alignment vertical="center"/>
    </xf>
    <xf numFmtId="0" fontId="8" fillId="9" borderId="0" xfId="0" applyFont="1" applyFill="1" applyBorder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wrapText="1"/>
    </xf>
    <xf numFmtId="0" fontId="0" fillId="0" borderId="0" xfId="0" applyBorder="1"/>
    <xf numFmtId="0" fontId="11" fillId="10" borderId="19" xfId="0" applyFont="1" applyFill="1" applyBorder="1" applyAlignment="1">
      <alignment horizontal="right" vertical="center" wrapText="1"/>
    </xf>
    <xf numFmtId="0" fontId="11" fillId="0" borderId="19" xfId="0" applyFont="1" applyBorder="1" applyAlignment="1">
      <alignment wrapText="1"/>
    </xf>
    <xf numFmtId="0" fontId="10" fillId="11" borderId="19" xfId="0" applyFont="1" applyFill="1" applyBorder="1" applyAlignment="1">
      <alignment horizontal="right" wrapText="1"/>
    </xf>
    <xf numFmtId="0" fontId="7" fillId="8" borderId="19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wrapText="1"/>
    </xf>
    <xf numFmtId="0" fontId="10" fillId="0" borderId="19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5" fillId="0" borderId="19" xfId="0" applyFont="1" applyBorder="1" applyAlignment="1">
      <alignment horizontal="center" vertical="center" readingOrder="1"/>
    </xf>
    <xf numFmtId="0" fontId="10" fillId="0" borderId="19" xfId="0" applyFont="1" applyBorder="1" applyAlignment="1">
      <alignment horizontal="center" wrapText="1"/>
    </xf>
    <xf numFmtId="0" fontId="11" fillId="12" borderId="19" xfId="0" applyFont="1" applyFill="1" applyBorder="1" applyAlignment="1">
      <alignment wrapText="1"/>
    </xf>
    <xf numFmtId="0" fontId="10" fillId="11" borderId="19" xfId="0" applyFont="1" applyFill="1" applyBorder="1" applyAlignment="1">
      <alignment wrapText="1"/>
    </xf>
    <xf numFmtId="0" fontId="10" fillId="0" borderId="19" xfId="0" applyFont="1" applyBorder="1" applyAlignment="1">
      <alignment horizontal="right" wrapText="1"/>
    </xf>
    <xf numFmtId="0" fontId="9" fillId="9" borderId="21" xfId="0" applyFont="1" applyFill="1" applyBorder="1" applyAlignment="1">
      <alignment vertical="center"/>
    </xf>
    <xf numFmtId="0" fontId="8" fillId="9" borderId="22" xfId="0" applyFont="1" applyFill="1" applyBorder="1" applyAlignment="1">
      <alignment wrapText="1"/>
    </xf>
    <xf numFmtId="0" fontId="9" fillId="9" borderId="23" xfId="0" applyFont="1" applyFill="1" applyBorder="1" applyAlignment="1">
      <alignment vertical="center"/>
    </xf>
    <xf numFmtId="0" fontId="8" fillId="9" borderId="24" xfId="0" applyFont="1" applyFill="1" applyBorder="1" applyAlignment="1">
      <alignment wrapText="1"/>
    </xf>
    <xf numFmtId="0" fontId="8" fillId="9" borderId="23" xfId="0" applyFont="1" applyFill="1" applyBorder="1" applyAlignment="1">
      <alignment wrapText="1"/>
    </xf>
    <xf numFmtId="0" fontId="9" fillId="9" borderId="25" xfId="0" applyFont="1" applyFill="1" applyBorder="1" applyAlignment="1">
      <alignment vertical="center"/>
    </xf>
    <xf numFmtId="0" fontId="8" fillId="9" borderId="26" xfId="0" applyFont="1" applyFill="1" applyBorder="1" applyAlignment="1">
      <alignment wrapText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27" xfId="0" applyFont="1" applyBorder="1" applyAlignment="1">
      <alignment horizontal="center" vertical="center" wrapText="1" readingOrder="1"/>
    </xf>
    <xf numFmtId="0" fontId="3" fillId="0" borderId="28" xfId="0" applyFont="1" applyBorder="1" applyAlignment="1">
      <alignment readingOrder="1"/>
    </xf>
    <xf numFmtId="0" fontId="2" fillId="0" borderId="0" xfId="0" applyFont="1" applyBorder="1" applyAlignment="1">
      <alignment wrapText="1" readingOrder="1"/>
    </xf>
    <xf numFmtId="0" fontId="3" fillId="0" borderId="29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30" xfId="0" applyFont="1" applyBorder="1" applyAlignment="1">
      <alignment readingOrder="1"/>
    </xf>
    <xf numFmtId="0" fontId="5" fillId="10" borderId="19" xfId="0" applyFont="1" applyFill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2" fillId="9" borderId="31" xfId="0" applyFont="1" applyFill="1" applyBorder="1" applyAlignment="1">
      <alignment readingOrder="1"/>
    </xf>
    <xf numFmtId="0" fontId="2" fillId="9" borderId="32" xfId="0" applyFont="1" applyFill="1" applyBorder="1" applyAlignment="1">
      <alignment readingOrder="1"/>
    </xf>
    <xf numFmtId="0" fontId="4" fillId="9" borderId="33" xfId="0" applyFont="1" applyFill="1" applyBorder="1" applyAlignment="1">
      <alignment readingOrder="1"/>
    </xf>
    <xf numFmtId="0" fontId="4" fillId="9" borderId="34" xfId="0" applyFont="1" applyFill="1" applyBorder="1" applyAlignment="1">
      <alignment readingOrder="1"/>
    </xf>
    <xf numFmtId="0" fontId="2" fillId="9" borderId="33" xfId="0" applyFont="1" applyFill="1" applyBorder="1" applyAlignment="1">
      <alignment readingOrder="1"/>
    </xf>
    <xf numFmtId="0" fontId="2" fillId="9" borderId="34" xfId="0" applyFont="1" applyFill="1" applyBorder="1" applyAlignment="1">
      <alignment readingOrder="1"/>
    </xf>
    <xf numFmtId="0" fontId="2" fillId="9" borderId="35" xfId="0" applyFont="1" applyFill="1" applyBorder="1" applyAlignment="1">
      <alignment readingOrder="1"/>
    </xf>
    <xf numFmtId="0" fontId="2" fillId="9" borderId="36" xfId="0" applyFont="1" applyFill="1" applyBorder="1" applyAlignment="1">
      <alignment readingOrder="1"/>
    </xf>
    <xf numFmtId="0" fontId="10" fillId="0" borderId="13" xfId="0" applyFont="1" applyBorder="1" applyAlignment="1">
      <alignment readingOrder="1"/>
    </xf>
    <xf numFmtId="0" fontId="10" fillId="8" borderId="6" xfId="0" applyFont="1" applyFill="1" applyBorder="1" applyAlignment="1">
      <alignment wrapText="1" readingOrder="1"/>
    </xf>
    <xf numFmtId="0" fontId="10" fillId="0" borderId="0" xfId="0" applyFont="1" applyBorder="1" applyAlignment="1">
      <alignment vertical="center" wrapText="1"/>
    </xf>
    <xf numFmtId="0" fontId="0" fillId="4" borderId="3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38" xfId="0" applyFill="1" applyBorder="1" applyAlignment="1">
      <alignment horizontal="center" wrapText="1"/>
    </xf>
    <xf numFmtId="0" fontId="0" fillId="4" borderId="39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7DA31-2040-4546-A381-CDAF8A2ED70B}">
  <we:reference id="wa104100404" version="3.0.0.1" store="en-US" storeType="omex"/>
  <we:alternateReferences>
    <we:reference id="wa104100404" version="3.0.0.1" store="en-US" storeType="omex"/>
  </we:alternateReferences>
  <we:properties>
    <we:property name="UniqueID" value="&quot;20244111715458658903&quot;"/>
    <we:property name="fyRY" value="&quot;&quot;"/>
    <we:property name="QyleAz8nNhAnKw==" value="&quot;dxR1&quot;"/>
    <we:property name="QyleAz8nNhssKw==" value="&quot;AQ==&quot;"/>
    <we:property name="YDRdES82HVUEJTpJKwhcRFU0bRsvOA==" value="&quot;Ag==&quot;"/>
    <we:property name="YDRdES82HVUEJTpJKwhcRFU0bQc/OVg=" value="&quot;EHoPVQ==&quot;"/>
    <we:property name="YDRdES82HVUEJTpJKwhcRFU0bQc/OVs=" value="&quot;EHgPVQ==&quot;"/>
    <we:property name="YDRdES82HVUEJTpJKwhcRFU0bRkyJlg=" value="&quot;FAUWRGtvTTZtfXc=&quot;"/>
    <we:property name="YDRdES82HVUEJTpJKwhcRFU0bQcyJlg=" value="&quot;FAQWRGtvTTdtfXc=&quot;"/>
    <we:property name="YDRdES82HVUEJTpJKwhcRFU0bRkyJls=" value="&quot;FAIWTGBxL1Fw&quot;"/>
    <we:property name="YDRdES82HVUEJTpJKwhcRFU0bQcyJls=" value="&quot;AA==&quot;"/>
    <we:property name="YDRdES82HVUEJTpJDgZCW1EkXhAp" value="&quot;FAIWTGBxL1Fw&quot;"/>
    <we:property name="YDRdES82HVUEJTpJFwVa" value="&quot;FAIWRGI=&quot;"/>
    <we:property name="YDRdES82HVUEJTpJFQZIf1ko" value="&quot;AQ==&quot;"/>
    <we:property name="YDRdES82HVUEJTpJKwhcRFU0bRA0Mg==" value="&quot;AA==&quot;"/>
    <we:property name="YDRdES82HVUEJTpJKwhcRFU0bRs/Mg==" value="&quot;AQ==&quot;"/>
    <we:property name="XSdKKik9Bgc9bTEHNBFVQG8jXBI=" value="&quot;dxR1&quot;"/>
    <we:property name="XSdKKik9Bgc9bQ8JICpZXA==" value="&quot;AQ==&quot;"/>
    <we:property name="XSdKKik9Bgc9bQ0KMg==" value="&quot;&quot;"/>
    <we:property name="XSdKKik9Bgc9bTEHNBFVQG8oVxI=" value="&quot;AQ==&quot;"/>
    <we:property name="XSdKKik9Bgc9bTEHNBFVQG82QBA=" value="&quot;AGgCRWplWUQ=&quot;"/>
    <we:property name="XSdKKik9Bgc9bTEHNBFVQG81URk=" value="&quot;AQ==&quot;"/>
    <we:property name="XSdKKik9Bgc9bTEHNBFVQG80Xg0=" value="&quot;AA==&quot;"/>
    <we:property name="XSdKKik9Bgc9bTEHNBFVQG8yXRk=" value="&quot;AGgCRA==&quot;"/>
    <we:property name="XSdKKik9Bgc9bTEHNBFVQG8lRBI=" value="&quot;AGgCRWpk&quot;"/>
    <we:property name="XSdKKik9Bgc9bTEHNBFVQG8rQRk=" value="&quot;AA==&quot;"/>
    <we:property name="XSdKKik9Bgc9bTEHNBFVQG81QQ8=" value="&quot;AXYC&quot;"/>
    <we:property name="XSdKKik9Bgc9bTEHNBFVQG80QRE=" value="&quot;AA==&quot;"/>
    <we:property name="XSdKKik9Bgc9bTEHNBFVQG8rQAE=" value="&quot;AGgCQm8=&quot;"/>
    <we:property name="XSdKKik9Bgc9bTEHNBFVQG8rXBw=" value="&quot;A3Y=&quot;"/>
    <we:property name="XSdKKik9Bgc9bTEHNBFVQG80UAM=" value="&quot;AQ==&quot;"/>
    <we:property name="XSdKKik9Bgc9bTEHNBFVQG8oRgc=" value="&quot;Ag==&quot;"/>
    <we:property name="XSdKKik9Bgc9bTEHNBFVQG8nURY=" value="&quot;AGgCRWs=&quot;"/>
    <we:property name="XSdKKik9Bgc9bTEHNBFVQG80VwY=" value="&quot;BQ==&quot;"/>
    <we:property name="XSdKKik9Bgc9bTEHNBFVQG8nQAY=" value="&quot;AQ==&quot;"/>
    <we:property name="XSdKKik9Bgc9bTEHNBFVQG81RhQ=" value="&quot;AA==&quot;"/>
    <we:property name="XSdKKik9Bgc9bTEHNBFVQG8rVwE=" value="&quot;AQ==&quot;"/>
    <we:property name="XSdKKik9Bgc9bTEHNBFVQG81XRY=" value="&quot;AA==&quot;"/>
    <we:property name="XSdKKik9Bgc9bTEHNBFVQG8qQgE=" value="&quot;AA==&quot;"/>
    <we:property name="XSdKKik9Bgc9bTEHNBFVQG8qQgU=" value="&quot;AA==&quot;"/>
    <we:property name="XSdKKik9Bgc9bTEHNBFVQG8hUwU=" value="&quot;AGgCRWplWUQ=&quot;"/>
    <we:property name="XSdKKik9Bgc9bTEHNBFVQG8vQgY=" value="&quot;AGgLTA==&quot;"/>
    <we:property name="XSdKKik9Bgc9bTEHNBFVQG8gVxQ=" value="&quot;AGgCRWplWUQ=&quot;"/>
    <we:property name="XSdKKik9Bgc9bTEHNBFVQG8vQhw=" value="&quot;AQ==&quot;"/>
    <we:property name="XSdKKik9Bgc9bTEHNBFVQG8vQhE=" value="&quot;Aw==&quot;"/>
    <we:property name="XSdKKik9Bgc9bTEHNBFVQG8oRxg=" value="&quot;AA==&quot;"/>
    <we:property name="XSdKKik9Bgc9bRQJKg5RUFwjQQ==" value="&quot;&quot;"/>
    <we:property name="XSdKKik9Bgc9bTEHNBFVQG8wUxk=" value="&quot;AA==&quot;"/>
  </we:properties>
  <we:bindings>
    <we:binding id="Var0" type="matrix" appref="{2762E1FC-A1B5-4731-A60A-2D520E1E5185}"/>
    <we:binding id="max_shortrefEdit" type="matrix" appref="{A74B1BDA-4372-458C-89C6-A82DF3B8DCDC}"/>
    <we:binding id="max_shortWorker" type="matrix" appref="{FDCDC7F0-5949-43D6-9D56-94FA1671C098}"/>
    <we:binding id="refEdit" type="matrix" appref="{4125CD09-16A6-4A07-8356-F2FEF1D4CBC1}"/>
    <we:binding id="Worker" type="matrix" appref="{79C8A192-EC6C-4D6F-8510-50F4422D8241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H20" sqref="H20"/>
    </sheetView>
  </sheetViews>
  <sheetFormatPr defaultRowHeight="14.25"/>
  <cols>
    <col min="2" max="2" width="16.875" customWidth="1"/>
    <col min="3" max="3" width="19" customWidth="1"/>
    <col min="4" max="4" width="23.75" customWidth="1"/>
    <col min="5" max="5" width="14.75" customWidth="1"/>
    <col min="6" max="6" width="16.75" customWidth="1"/>
    <col min="7" max="7" width="14.75" customWidth="1"/>
    <col min="8" max="8" width="18.75" customWidth="1"/>
    <col min="10" max="10" width="35" customWidth="1"/>
    <col min="11" max="11" width="14.875" customWidth="1"/>
    <col min="12" max="12" width="22.625" customWidth="1"/>
    <col min="13" max="13" width="22.25" customWidth="1"/>
  </cols>
  <sheetData>
    <row r="1" spans="1:18" s="1" customFormat="1" ht="15">
      <c r="A1" s="27" t="s">
        <v>0</v>
      </c>
      <c r="B1" s="27"/>
      <c r="C1" s="27"/>
      <c r="D1" s="27"/>
      <c r="E1" s="27"/>
      <c r="F1" s="27"/>
      <c r="G1" s="7" t="s">
        <v>1</v>
      </c>
      <c r="H1" s="8">
        <v>12</v>
      </c>
      <c r="O1" s="2"/>
      <c r="P1" s="2"/>
      <c r="Q1" s="2"/>
      <c r="R1" s="2"/>
    </row>
    <row r="2" spans="1:18" s="1" customFormat="1" ht="15">
      <c r="A2" s="27"/>
      <c r="B2" s="27"/>
      <c r="C2" s="27"/>
      <c r="D2" s="27"/>
      <c r="E2" s="27"/>
      <c r="F2" s="27"/>
      <c r="G2" s="7" t="s">
        <v>2</v>
      </c>
      <c r="H2" s="8">
        <v>3</v>
      </c>
      <c r="O2" s="2"/>
      <c r="P2" s="2"/>
      <c r="Q2" s="2"/>
      <c r="R2" s="2"/>
    </row>
    <row r="3" spans="1:18" s="1" customFormat="1" ht="15">
      <c r="A3" s="27"/>
      <c r="B3" s="27"/>
      <c r="C3" s="27"/>
      <c r="D3" s="27"/>
      <c r="E3" s="27"/>
      <c r="F3" s="27"/>
      <c r="G3" s="7" t="s">
        <v>3</v>
      </c>
      <c r="H3" s="8">
        <v>1</v>
      </c>
      <c r="O3" s="2"/>
      <c r="P3" s="2"/>
      <c r="Q3" s="2"/>
      <c r="R3" s="2"/>
    </row>
    <row r="4" spans="1:18" s="1" customFormat="1" ht="15">
      <c r="A4" s="27"/>
      <c r="B4" s="27"/>
      <c r="C4" s="27"/>
      <c r="D4" s="27"/>
      <c r="E4" s="27"/>
      <c r="F4" s="27"/>
      <c r="G4" s="6"/>
      <c r="H4" s="5"/>
      <c r="J4" s="10" t="s">
        <v>4</v>
      </c>
      <c r="K4" s="10" t="s">
        <v>5</v>
      </c>
      <c r="L4" s="10" t="s">
        <v>6</v>
      </c>
      <c r="M4" s="10" t="s">
        <v>7</v>
      </c>
      <c r="O4" s="2"/>
      <c r="P4" s="2"/>
      <c r="Q4" s="2"/>
      <c r="R4" s="2"/>
    </row>
    <row r="5" spans="1:18" s="1" customFormat="1" ht="15">
      <c r="A5" s="27"/>
      <c r="B5" s="27"/>
      <c r="C5" s="27"/>
      <c r="D5" s="27"/>
      <c r="E5" s="27"/>
      <c r="F5" s="27"/>
      <c r="G5" s="7" t="s">
        <v>8</v>
      </c>
      <c r="H5" s="8">
        <v>80000</v>
      </c>
      <c r="J5" s="9" cm="1">
        <f t="array" ref="J5:L5">LINEST(G11:G20,E11:F20,1,0)</f>
        <v>0.50330796075372231</v>
      </c>
      <c r="K5" s="9">
        <v>0.47128021237149131</v>
      </c>
      <c r="L5" s="9">
        <v>2.9478611288436669</v>
      </c>
      <c r="M5" s="9">
        <f>EXP(L5)</f>
        <v>19.065132226416907</v>
      </c>
    </row>
    <row r="6" spans="1:18" s="1" customFormat="1" ht="15">
      <c r="A6" s="27"/>
      <c r="B6" s="27"/>
      <c r="C6" s="27"/>
      <c r="D6" s="27"/>
      <c r="E6" s="27"/>
      <c r="F6" s="27"/>
      <c r="G6" s="7" t="s">
        <v>9</v>
      </c>
      <c r="H6" s="8">
        <v>175000</v>
      </c>
    </row>
    <row r="7" spans="1:18" s="1" customFormat="1">
      <c r="A7" s="27"/>
      <c r="B7" s="27"/>
      <c r="C7" s="27"/>
      <c r="D7" s="27"/>
      <c r="E7" s="27"/>
      <c r="F7" s="27"/>
      <c r="G7" s="91" t="s">
        <v>48</v>
      </c>
      <c r="H7" s="92"/>
    </row>
    <row r="8" spans="1:18" s="1" customFormat="1" ht="15">
      <c r="A8" s="27"/>
      <c r="B8" s="27"/>
      <c r="C8" s="27"/>
      <c r="D8" s="27"/>
      <c r="E8" s="27"/>
      <c r="F8" s="27"/>
      <c r="G8" s="93"/>
      <c r="H8" s="94"/>
      <c r="J8" s="22" t="s">
        <v>10</v>
      </c>
    </row>
    <row r="9" spans="1:18" s="1" customFormat="1" ht="15">
      <c r="B9" s="28" t="s">
        <v>11</v>
      </c>
      <c r="C9" s="28"/>
      <c r="D9" s="28"/>
      <c r="E9" s="28"/>
      <c r="F9" s="28"/>
      <c r="G9" s="28"/>
      <c r="J9" s="22"/>
    </row>
    <row r="10" spans="1:18" s="1" customFormat="1" ht="36.75" customHeight="1">
      <c r="B10" s="11" t="s">
        <v>12</v>
      </c>
      <c r="C10" s="11" t="s">
        <v>13</v>
      </c>
      <c r="D10" s="11" t="s">
        <v>14</v>
      </c>
      <c r="E10" s="12" t="s">
        <v>15</v>
      </c>
      <c r="F10" s="12" t="s">
        <v>16</v>
      </c>
      <c r="G10" s="12" t="s">
        <v>17</v>
      </c>
      <c r="J10" s="22" t="s">
        <v>18</v>
      </c>
    </row>
    <row r="11" spans="1:18" s="1" customFormat="1" ht="15">
      <c r="B11" s="3">
        <v>5675</v>
      </c>
      <c r="C11" s="3">
        <v>14280</v>
      </c>
      <c r="D11" s="3">
        <v>140290</v>
      </c>
      <c r="E11" s="4">
        <f>LN(B11)</f>
        <v>8.6438258423496031</v>
      </c>
      <c r="F11" s="4">
        <f>LN(C11)</f>
        <v>9.5666152358935754</v>
      </c>
      <c r="G11" s="4">
        <f>LN(D11)</f>
        <v>11.851466987712818</v>
      </c>
      <c r="J11" s="22"/>
    </row>
    <row r="12" spans="1:18" s="1" customFormat="1" ht="15">
      <c r="B12" s="3">
        <v>4815</v>
      </c>
      <c r="C12" s="3">
        <v>13375</v>
      </c>
      <c r="D12" s="3">
        <v>122315</v>
      </c>
      <c r="E12" s="4">
        <f t="shared" ref="E12:E20" si="0">LN(B12)</f>
        <v>8.4794913242322263</v>
      </c>
      <c r="F12" s="4">
        <f t="shared" ref="F12:F20" si="1">LN(C12)</f>
        <v>9.5011425717642073</v>
      </c>
      <c r="G12" s="4">
        <f t="shared" ref="G12:G20" si="2">LN(D12)</f>
        <v>11.714354963377684</v>
      </c>
      <c r="J12" s="22" t="s">
        <v>19</v>
      </c>
    </row>
    <row r="13" spans="1:18" s="1" customFormat="1" ht="15">
      <c r="B13" s="3">
        <v>4565</v>
      </c>
      <c r="C13" s="3">
        <v>13895</v>
      </c>
      <c r="D13" s="3">
        <v>122960</v>
      </c>
      <c r="E13" s="4">
        <f>LN(B13)</f>
        <v>8.4261737930290685</v>
      </c>
      <c r="F13" s="4">
        <f t="shared" si="1"/>
        <v>9.5392843421766038</v>
      </c>
      <c r="G13" s="4">
        <f t="shared" si="2"/>
        <v>11.719614378212478</v>
      </c>
      <c r="J13" s="22"/>
    </row>
    <row r="14" spans="1:18" s="1" customFormat="1" ht="15">
      <c r="B14" s="3">
        <v>5305</v>
      </c>
      <c r="C14" s="3">
        <v>14435</v>
      </c>
      <c r="D14" s="3">
        <v>137290</v>
      </c>
      <c r="E14" s="4">
        <f t="shared" si="0"/>
        <v>8.5764050510480843</v>
      </c>
      <c r="F14" s="4">
        <f t="shared" si="1"/>
        <v>9.5774110920970354</v>
      </c>
      <c r="G14" s="4">
        <f t="shared" si="2"/>
        <v>11.82985075589165</v>
      </c>
      <c r="J14" s="22"/>
    </row>
    <row r="15" spans="1:18" s="1" customFormat="1" ht="15">
      <c r="B15" s="3">
        <v>5175</v>
      </c>
      <c r="C15" s="3">
        <v>14035</v>
      </c>
      <c r="D15" s="3">
        <v>121530</v>
      </c>
      <c r="E15" s="4">
        <f t="shared" si="0"/>
        <v>8.5515946181335707</v>
      </c>
      <c r="F15" s="4">
        <f t="shared" si="1"/>
        <v>9.5493094887959824</v>
      </c>
      <c r="G15" s="4">
        <f t="shared" si="2"/>
        <v>11.707916424864846</v>
      </c>
      <c r="J15" s="22"/>
    </row>
    <row r="16" spans="1:18" s="1" customFormat="1">
      <c r="B16" s="3">
        <v>4135</v>
      </c>
      <c r="C16" s="3">
        <v>12035</v>
      </c>
      <c r="D16" s="3">
        <v>113060</v>
      </c>
      <c r="E16" s="4">
        <f>LN(B16)</f>
        <v>8.3272426074577925</v>
      </c>
      <c r="F16" s="4">
        <f>LN(C16)</f>
        <v>9.3955743502171725</v>
      </c>
      <c r="G16" s="4">
        <f t="shared" si="2"/>
        <v>11.635673930229283</v>
      </c>
    </row>
    <row r="17" spans="2:7" s="1" customFormat="1">
      <c r="B17" s="3">
        <v>4975</v>
      </c>
      <c r="C17" s="3">
        <v>14180</v>
      </c>
      <c r="D17" s="3">
        <v>130960</v>
      </c>
      <c r="E17" s="4">
        <f t="shared" si="0"/>
        <v>8.5121806495926933</v>
      </c>
      <c r="F17" s="4">
        <f t="shared" si="1"/>
        <v>9.5595878000861187</v>
      </c>
      <c r="G17" s="4">
        <f t="shared" si="2"/>
        <v>11.782647212045017</v>
      </c>
    </row>
    <row r="18" spans="2:7" s="1" customFormat="1">
      <c r="B18" s="3">
        <v>4665</v>
      </c>
      <c r="C18" s="3">
        <v>13935</v>
      </c>
      <c r="D18" s="3">
        <v>124125</v>
      </c>
      <c r="E18" s="4">
        <f t="shared" si="0"/>
        <v>8.4478431132814436</v>
      </c>
      <c r="F18" s="4">
        <f t="shared" si="1"/>
        <v>9.5421589399160478</v>
      </c>
      <c r="G18" s="4">
        <f>LN(D18)</f>
        <v>11.729044401347474</v>
      </c>
    </row>
    <row r="19" spans="2:7" s="1" customFormat="1">
      <c r="B19" s="3">
        <v>5865</v>
      </c>
      <c r="C19" s="3">
        <v>15085</v>
      </c>
      <c r="D19" s="3">
        <v>148960</v>
      </c>
      <c r="E19" s="4">
        <f t="shared" si="0"/>
        <v>8.6767577610875755</v>
      </c>
      <c r="F19" s="4">
        <f t="shared" si="1"/>
        <v>9.6214561515931614</v>
      </c>
      <c r="G19" s="4">
        <f t="shared" si="2"/>
        <v>11.911433092510894</v>
      </c>
    </row>
    <row r="20" spans="2:7" s="1" customFormat="1">
      <c r="B20" s="3">
        <v>4905</v>
      </c>
      <c r="C20" s="3">
        <v>13095</v>
      </c>
      <c r="D20" s="3">
        <v>120910</v>
      </c>
      <c r="E20" s="4">
        <f t="shared" si="0"/>
        <v>8.4980103719994631</v>
      </c>
      <c r="F20" s="4">
        <f t="shared" si="1"/>
        <v>9.4799857569418116</v>
      </c>
      <c r="G20" s="4">
        <f t="shared" si="2"/>
        <v>11.702801746168292</v>
      </c>
    </row>
    <row r="21" spans="2:7" s="1" customFormat="1"/>
    <row r="22" spans="2:7" s="1" customFormat="1"/>
  </sheetData>
  <mergeCells count="3">
    <mergeCell ref="A1:F8"/>
    <mergeCell ref="B9:G9"/>
    <mergeCell ref="G7:H8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2762E1FC-A1B5-4731-A60A-2D520E1E5185}">
          <xm:f>#REF!</xm:f>
        </x15:webExtension>
        <x15:webExtension appRef="{A74B1BDA-4372-458C-89C6-A82DF3B8DCDC}">
          <xm:f>#REF!</xm:f>
        </x15:webExtension>
        <x15:webExtension appRef="{FDCDC7F0-5949-43D6-9D56-94FA1671C098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5"/>
  <sheetViews>
    <sheetView workbookViewId="0">
      <selection activeCell="G11" sqref="G11"/>
    </sheetView>
  </sheetViews>
  <sheetFormatPr defaultRowHeight="14.25"/>
  <cols>
    <col min="4" max="4" width="17.875" customWidth="1"/>
    <col min="5" max="5" width="26.25" customWidth="1"/>
    <col min="6" max="6" width="23.125" customWidth="1"/>
    <col min="7" max="7" width="20.875" customWidth="1"/>
    <col min="8" max="8" width="13.125" customWidth="1"/>
    <col min="9" max="9" width="13.375" customWidth="1"/>
    <col min="10" max="10" width="30" customWidth="1"/>
  </cols>
  <sheetData>
    <row r="1" spans="1:10" ht="29.25" customHeight="1">
      <c r="A1" s="71" t="s">
        <v>20</v>
      </c>
      <c r="B1" s="72"/>
      <c r="C1" s="72"/>
      <c r="D1" s="72"/>
      <c r="E1" s="33"/>
      <c r="F1" s="89" t="s">
        <v>21</v>
      </c>
      <c r="G1" s="13"/>
      <c r="H1" s="79"/>
      <c r="I1" s="80" t="s">
        <v>22</v>
      </c>
      <c r="J1" s="81"/>
    </row>
    <row r="2" spans="1:10" ht="39.75" customHeight="1">
      <c r="A2" s="74"/>
      <c r="B2" s="74"/>
      <c r="C2" s="74"/>
      <c r="D2" s="74"/>
      <c r="E2" s="37"/>
      <c r="F2" s="14"/>
      <c r="G2" s="14"/>
      <c r="H2" s="36"/>
      <c r="I2" s="82" t="s">
        <v>23</v>
      </c>
      <c r="J2" s="83"/>
    </row>
    <row r="3" spans="1:10" ht="24.75" customHeight="1">
      <c r="A3" s="78" t="s">
        <v>1</v>
      </c>
      <c r="B3" s="56">
        <v>12</v>
      </c>
      <c r="C3" s="75"/>
      <c r="D3" s="73"/>
      <c r="E3" s="26"/>
      <c r="F3" s="26"/>
      <c r="G3" s="26"/>
      <c r="H3" s="36"/>
      <c r="I3" s="84" t="s">
        <v>24</v>
      </c>
      <c r="J3" s="85"/>
    </row>
    <row r="4" spans="1:10" ht="17.25" customHeight="1" thickBot="1">
      <c r="A4" s="78" t="s">
        <v>2</v>
      </c>
      <c r="B4" s="56">
        <v>3</v>
      </c>
      <c r="C4" s="76"/>
      <c r="D4" s="39" t="s">
        <v>4</v>
      </c>
      <c r="E4" s="39" t="s">
        <v>5</v>
      </c>
      <c r="F4" s="40"/>
      <c r="G4" s="39" t="s">
        <v>7</v>
      </c>
      <c r="H4" s="76"/>
      <c r="I4" s="86" t="s">
        <v>25</v>
      </c>
      <c r="J4" s="87"/>
    </row>
    <row r="5" spans="1:10" ht="15.75">
      <c r="A5" s="78" t="s">
        <v>3</v>
      </c>
      <c r="B5" s="56">
        <v>1</v>
      </c>
      <c r="C5" s="76"/>
      <c r="D5" s="41">
        <v>0.50330796075372231</v>
      </c>
      <c r="E5" s="41">
        <v>0.47128021237149131</v>
      </c>
      <c r="F5" s="42"/>
      <c r="G5" s="41">
        <v>19.065132226416907</v>
      </c>
      <c r="H5" s="37"/>
      <c r="I5" s="38"/>
      <c r="J5" s="38"/>
    </row>
    <row r="6" spans="1:10" ht="15">
      <c r="A6" s="77"/>
      <c r="B6" s="38"/>
      <c r="C6" s="14"/>
      <c r="D6" s="38"/>
      <c r="E6" s="38"/>
      <c r="F6" s="38"/>
      <c r="G6" s="38"/>
      <c r="H6" s="14"/>
      <c r="I6" s="14"/>
      <c r="J6" s="14"/>
    </row>
    <row r="7" spans="1:10" ht="22.5" customHeight="1">
      <c r="A7" s="29" t="s">
        <v>26</v>
      </c>
      <c r="B7" s="30"/>
      <c r="C7" s="30"/>
      <c r="D7" s="31"/>
      <c r="E7" s="14"/>
      <c r="F7" s="14"/>
      <c r="G7" s="14"/>
      <c r="H7" s="14"/>
      <c r="I7" s="14"/>
      <c r="J7" s="14"/>
    </row>
    <row r="8" spans="1:10" ht="15">
      <c r="A8" s="18"/>
      <c r="B8" s="14"/>
      <c r="C8" s="14"/>
      <c r="D8" s="14"/>
      <c r="E8" s="14"/>
      <c r="F8" s="14"/>
      <c r="G8" s="14"/>
      <c r="H8" s="14"/>
      <c r="I8" s="14"/>
      <c r="J8" s="14"/>
    </row>
    <row r="9" spans="1:10" ht="15.75">
      <c r="A9" s="18"/>
      <c r="B9" s="14"/>
      <c r="C9" s="14"/>
      <c r="D9" s="14"/>
      <c r="E9" s="14"/>
      <c r="F9" s="88" t="s">
        <v>27</v>
      </c>
      <c r="G9" s="15"/>
      <c r="H9" s="15"/>
      <c r="I9" s="15"/>
      <c r="J9" s="15"/>
    </row>
    <row r="10" spans="1:10" ht="15.75">
      <c r="A10" s="18"/>
      <c r="B10" s="14"/>
      <c r="C10" s="14"/>
      <c r="D10" s="14"/>
      <c r="E10" s="16"/>
      <c r="F10" s="19" t="s">
        <v>28</v>
      </c>
      <c r="G10" s="20" t="s">
        <v>29</v>
      </c>
      <c r="H10" s="20" t="s">
        <v>30</v>
      </c>
      <c r="I10" s="21" t="s">
        <v>31</v>
      </c>
      <c r="J10" s="21" t="s">
        <v>32</v>
      </c>
    </row>
    <row r="11" spans="1:10" ht="15.75">
      <c r="A11" s="18"/>
      <c r="B11" s="14"/>
      <c r="C11" s="14"/>
      <c r="D11" s="14"/>
      <c r="E11" s="16"/>
      <c r="F11" s="34">
        <f>G11-H11</f>
        <v>85604.272562779617</v>
      </c>
      <c r="G11" s="35">
        <f>B3*(I11^D5)*(J11^E5)</f>
        <v>88114.272562779617</v>
      </c>
      <c r="H11" s="35">
        <f>B4*I11-B5*J11</f>
        <v>2510</v>
      </c>
      <c r="I11" s="17">
        <v>5865</v>
      </c>
      <c r="J11" s="17">
        <v>15085</v>
      </c>
    </row>
    <row r="12" spans="1:10" ht="15">
      <c r="A12" s="25"/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5.75">
      <c r="A13" s="23"/>
      <c r="B13" s="23"/>
      <c r="C13" s="23"/>
      <c r="D13" s="23"/>
      <c r="E13" s="23"/>
      <c r="F13" s="23"/>
      <c r="G13" s="32" t="s">
        <v>33</v>
      </c>
      <c r="H13" s="32"/>
      <c r="I13" s="24">
        <f>MAX(Основна!B11:B20)</f>
        <v>5865</v>
      </c>
      <c r="J13" s="24">
        <f>MAX(Основна!C11:C20)</f>
        <v>15085</v>
      </c>
    </row>
    <row r="1048550" spans="16384:16384">
      <c r="XFD1048550" cm="1">
        <f t="array" ref="XFD1048550">solver_pre</f>
        <v>9.9999999999999995E-7</v>
      </c>
    </row>
    <row r="1048551" spans="16384:16384">
      <c r="XFD1048551" cm="1">
        <f t="array" ref="XFD1048551">solver_scl</f>
        <v>2</v>
      </c>
    </row>
    <row r="1048552" spans="16384:16384">
      <c r="XFD1048552" cm="1">
        <f t="array" ref="XFD1048552">solver_rlx</f>
        <v>2</v>
      </c>
    </row>
    <row r="1048553" spans="16384:16384">
      <c r="XFD1048553" cm="1">
        <f t="array" ref="XFD1048553">solver_tol</f>
        <v>0.01</v>
      </c>
    </row>
    <row r="1048554" spans="16384:16384">
      <c r="XFD1048554" cm="1">
        <f t="array" ref="XFD1048554">solver_cvg</f>
        <v>1E-4</v>
      </c>
    </row>
    <row r="1048555" spans="16384:16384">
      <c r="XFD1048555" t="e" cm="1">
        <f t="array" ref="XFD1048555">AREAS(solver_adj1)</f>
        <v>#NAME?</v>
      </c>
    </row>
    <row r="1048556" spans="16384:16384">
      <c r="XFD1048556" cm="1">
        <f t="array" ref="XFD1048556">solver_ssz</f>
        <v>100</v>
      </c>
    </row>
    <row r="1048557" spans="16384:16384">
      <c r="XFD1048557" cm="1">
        <f t="array" ref="XFD1048557">solver_rsd</f>
        <v>0</v>
      </c>
    </row>
    <row r="1048558" spans="16384:16384">
      <c r="XFD1048558" cm="1">
        <f t="array" ref="XFD1048558">solver_mrt</f>
        <v>7.4999999999999997E-2</v>
      </c>
    </row>
    <row r="1048559" spans="16384:16384">
      <c r="XFD1048559" cm="1">
        <f t="array" ref="XFD1048559">solver_mni</f>
        <v>30</v>
      </c>
    </row>
    <row r="1048560" spans="16384:16384">
      <c r="XFD1048560" cm="1">
        <f t="array" ref="XFD1048560">solver_rbv</f>
        <v>2</v>
      </c>
    </row>
    <row r="1048561" spans="16384:16384">
      <c r="XFD1048561" cm="1">
        <f t="array" ref="XFD1048561">solver_neg</f>
        <v>1</v>
      </c>
    </row>
    <row r="1048562" spans="16384:16384">
      <c r="XFD1048562" t="e" cm="1">
        <f t="array" ref="XFD1048562">solver_ntr</f>
        <v>#NAME?</v>
      </c>
    </row>
    <row r="1048563" spans="16384:16384">
      <c r="XFD1048563" t="e" cm="1">
        <f t="array" ref="XFD1048563">solver_acc</f>
        <v>#NAME?</v>
      </c>
    </row>
    <row r="1048564" spans="16384:16384">
      <c r="XFD1048564" t="e" cm="1">
        <f t="array" ref="XFD1048564">solver_res</f>
        <v>#NAME?</v>
      </c>
    </row>
    <row r="1048565" spans="16384:16384">
      <c r="XFD1048565" t="e" cm="1">
        <f t="array" ref="XFD1048565">solver_ars</f>
        <v>#NAME?</v>
      </c>
    </row>
    <row r="1048566" spans="16384:16384">
      <c r="XFD1048566" t="e" cm="1">
        <f t="array" ref="XFD1048566">solver_sta</f>
        <v>#NAME?</v>
      </c>
    </row>
    <row r="1048567" spans="16384:16384">
      <c r="XFD1048567" t="e" cm="1">
        <f t="array" ref="XFD1048567">solver_met</f>
        <v>#NAME?</v>
      </c>
    </row>
    <row r="1048568" spans="16384:16384">
      <c r="XFD1048568" t="e" cm="1">
        <f t="array" ref="XFD1048568">solver_soc</f>
        <v>#NAME?</v>
      </c>
    </row>
    <row r="1048569" spans="16384:16384">
      <c r="XFD1048569" t="e" cm="1">
        <f t="array" ref="XFD1048569">solver_lpt</f>
        <v>#NAME?</v>
      </c>
    </row>
    <row r="1048570" spans="16384:16384">
      <c r="XFD1048570" t="e" cm="1">
        <f t="array" ref="XFD1048570">solver_lpp</f>
        <v>#NAME?</v>
      </c>
    </row>
    <row r="1048571" spans="16384:16384">
      <c r="XFD1048571" t="e" cm="1">
        <f t="array" ref="XFD1048571">solver_gap</f>
        <v>#NAME?</v>
      </c>
    </row>
    <row r="1048572" spans="16384:16384">
      <c r="XFD1048572" t="e" cm="1">
        <f t="array" ref="XFD1048572">solver_ips</f>
        <v>#NAME?</v>
      </c>
    </row>
    <row r="1048573" spans="16384:16384">
      <c r="XFD1048573" t="e" cm="1">
        <f t="array" ref="XFD1048573">solver_fea</f>
        <v>#NAME?</v>
      </c>
    </row>
    <row r="1048574" spans="16384:16384">
      <c r="XFD1048574" t="e" cm="1">
        <f t="array" ref="XFD1048574">solver_ipi</f>
        <v>#NAME?</v>
      </c>
    </row>
    <row r="1048575" spans="16384:16384">
      <c r="XFD1048575" t="e" cm="1">
        <f t="array" ref="XFD1048575">solver_ipd</f>
        <v>#NAME?</v>
      </c>
    </row>
  </sheetData>
  <mergeCells count="8">
    <mergeCell ref="A7:D7"/>
    <mergeCell ref="G13:H13"/>
    <mergeCell ref="I1:J1"/>
    <mergeCell ref="I2:J2"/>
    <mergeCell ref="A1:E1"/>
    <mergeCell ref="A2:D2"/>
    <mergeCell ref="I3:J3"/>
    <mergeCell ref="I4:J4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125CD09-16A6-4A07-8356-F2FEF1D4CBC1}">
          <xm:f>max_short!1:1048576</xm:f>
        </x15:webExtension>
        <x15:webExtension appRef="{79C8A192-EC6C-4D6F-8510-50F4422D8241}">
          <xm:f>max_short!XFD1048550:XFD1048575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11" sqref="H11"/>
    </sheetView>
  </sheetViews>
  <sheetFormatPr defaultRowHeight="14.25"/>
  <cols>
    <col min="4" max="4" width="15.75" customWidth="1"/>
    <col min="5" max="5" width="12.625" customWidth="1"/>
    <col min="6" max="6" width="15.5" customWidth="1"/>
    <col min="8" max="8" width="12.75" customWidth="1"/>
    <col min="9" max="9" width="13.25" customWidth="1"/>
    <col min="10" max="10" width="11.75" customWidth="1"/>
  </cols>
  <sheetData>
    <row r="1" spans="1:12" ht="26.25">
      <c r="A1" s="43" t="s">
        <v>34</v>
      </c>
      <c r="B1" s="43"/>
      <c r="C1" s="43"/>
      <c r="D1" s="43"/>
      <c r="E1" s="43"/>
      <c r="F1" s="44"/>
      <c r="G1" s="45"/>
      <c r="H1" s="45"/>
      <c r="I1" s="64" t="s">
        <v>35</v>
      </c>
      <c r="J1" s="65"/>
      <c r="K1" s="45"/>
      <c r="L1" s="51"/>
    </row>
    <row r="2" spans="1:12" ht="18.75">
      <c r="A2" s="48"/>
      <c r="B2" s="48"/>
      <c r="C2" s="48"/>
      <c r="D2" s="48"/>
      <c r="E2" s="44"/>
      <c r="F2" s="44"/>
      <c r="G2" s="45"/>
      <c r="H2" s="45"/>
      <c r="I2" s="66" t="s">
        <v>36</v>
      </c>
      <c r="J2" s="67"/>
      <c r="K2" s="45"/>
      <c r="L2" s="51"/>
    </row>
    <row r="3" spans="1:12" ht="15.75">
      <c r="A3" s="52" t="s">
        <v>8</v>
      </c>
      <c r="B3" s="56">
        <v>80000</v>
      </c>
      <c r="C3" s="44"/>
      <c r="D3" s="44"/>
      <c r="E3" s="44"/>
      <c r="F3" s="44"/>
      <c r="G3" s="45"/>
      <c r="H3" s="45"/>
      <c r="I3" s="68"/>
      <c r="J3" s="67"/>
      <c r="K3" s="45"/>
      <c r="L3" s="51"/>
    </row>
    <row r="4" spans="1:12" ht="19.5" thickBot="1">
      <c r="A4" s="52" t="s">
        <v>2</v>
      </c>
      <c r="B4" s="56">
        <v>3</v>
      </c>
      <c r="C4" s="44"/>
      <c r="D4" s="57" t="s">
        <v>4</v>
      </c>
      <c r="E4" s="57" t="s">
        <v>5</v>
      </c>
      <c r="F4" s="58"/>
      <c r="G4" s="57" t="s">
        <v>7</v>
      </c>
      <c r="H4" s="45"/>
      <c r="I4" s="69" t="s">
        <v>37</v>
      </c>
      <c r="J4" s="70"/>
      <c r="K4" s="45"/>
      <c r="L4" s="51"/>
    </row>
    <row r="5" spans="1:12" ht="15.75">
      <c r="A5" s="52" t="s">
        <v>3</v>
      </c>
      <c r="B5" s="56">
        <v>1</v>
      </c>
      <c r="C5" s="44"/>
      <c r="D5" s="54">
        <v>0.50330796075372231</v>
      </c>
      <c r="E5" s="54">
        <v>0.47128021237149131</v>
      </c>
      <c r="F5" s="58"/>
      <c r="G5" s="54">
        <v>19.065132226416907</v>
      </c>
      <c r="H5" s="45"/>
      <c r="I5" s="45"/>
      <c r="J5" s="45"/>
      <c r="K5" s="45"/>
      <c r="L5" s="51"/>
    </row>
    <row r="6" spans="1:12" ht="15">
      <c r="A6" s="44"/>
      <c r="B6" s="44"/>
      <c r="C6" s="44"/>
      <c r="D6" s="44"/>
      <c r="E6" s="44"/>
      <c r="F6" s="44"/>
      <c r="G6" s="45"/>
      <c r="H6" s="45"/>
      <c r="I6" s="45"/>
      <c r="J6" s="45"/>
      <c r="K6" s="45"/>
      <c r="L6" s="51"/>
    </row>
    <row r="7" spans="1:12" ht="16.5" customHeight="1">
      <c r="A7" s="59" t="s">
        <v>26</v>
      </c>
      <c r="B7" s="59"/>
      <c r="C7" s="59"/>
      <c r="D7" s="59"/>
      <c r="E7" s="44"/>
      <c r="F7" s="44"/>
      <c r="G7" s="45"/>
      <c r="H7" s="45"/>
      <c r="I7" s="45"/>
      <c r="J7" s="45"/>
      <c r="K7" s="45"/>
      <c r="L7" s="51"/>
    </row>
    <row r="8" spans="1:12" ht="1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51"/>
    </row>
    <row r="9" spans="1:12" ht="15.75">
      <c r="A9" s="45"/>
      <c r="B9" s="45"/>
      <c r="C9" s="45"/>
      <c r="D9" s="45"/>
      <c r="E9" s="45"/>
      <c r="F9" s="57" t="s">
        <v>38</v>
      </c>
      <c r="G9" s="58"/>
      <c r="H9" s="58"/>
      <c r="I9" s="60" t="s">
        <v>39</v>
      </c>
      <c r="J9" s="60"/>
      <c r="K9" s="45"/>
      <c r="L9" s="51"/>
    </row>
    <row r="10" spans="1:12" ht="15.75">
      <c r="A10" s="45"/>
      <c r="B10" s="45"/>
      <c r="C10" s="45"/>
      <c r="D10" s="45"/>
      <c r="E10" s="45"/>
      <c r="F10" s="61" t="s">
        <v>40</v>
      </c>
      <c r="G10" s="58"/>
      <c r="H10" s="57" t="s">
        <v>41</v>
      </c>
      <c r="I10" s="62" t="s">
        <v>31</v>
      </c>
      <c r="J10" s="62" t="s">
        <v>32</v>
      </c>
      <c r="K10" s="45"/>
      <c r="L10" s="51"/>
    </row>
    <row r="11" spans="1:12" ht="15.75">
      <c r="A11" s="45"/>
      <c r="B11" s="45"/>
      <c r="C11" s="45"/>
      <c r="D11" s="45"/>
      <c r="E11" s="45"/>
      <c r="F11" s="63">
        <f>G5*(I11^D5)*(J11^E5)</f>
        <v>335307.0840223782</v>
      </c>
      <c r="G11" s="58"/>
      <c r="H11" s="63">
        <f>B4*I11+B5*J11</f>
        <v>80000</v>
      </c>
      <c r="I11" s="63">
        <v>13771</v>
      </c>
      <c r="J11" s="63">
        <v>38687</v>
      </c>
      <c r="K11" s="45"/>
      <c r="L11" s="51"/>
    </row>
    <row r="12" spans="1:12" ht="1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51"/>
    </row>
    <row r="13" spans="1:12" ht="1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51"/>
    </row>
    <row r="14" spans="1:1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</row>
  </sheetData>
  <mergeCells count="4">
    <mergeCell ref="A1:E1"/>
    <mergeCell ref="A2:D2"/>
    <mergeCell ref="A7:D7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11" sqref="F11"/>
    </sheetView>
  </sheetViews>
  <sheetFormatPr defaultRowHeight="14.25"/>
  <cols>
    <col min="6" max="6" width="13.25" customWidth="1"/>
    <col min="9" max="9" width="12.125" customWidth="1"/>
    <col min="10" max="10" width="14.375" customWidth="1"/>
  </cols>
  <sheetData>
    <row r="1" spans="1:16" ht="26.25">
      <c r="A1" s="55" t="s">
        <v>42</v>
      </c>
      <c r="B1" s="55"/>
      <c r="C1" s="55"/>
      <c r="D1" s="55"/>
      <c r="E1" s="55"/>
      <c r="F1" s="44"/>
      <c r="G1" s="45"/>
      <c r="H1" s="45"/>
      <c r="I1" s="46" t="s">
        <v>35</v>
      </c>
      <c r="J1" s="47"/>
      <c r="K1" s="45"/>
      <c r="L1" s="45"/>
      <c r="M1" s="45"/>
      <c r="N1" s="45"/>
      <c r="O1" s="45"/>
      <c r="P1" s="45"/>
    </row>
    <row r="2" spans="1:16" ht="18.75">
      <c r="A2" s="90"/>
      <c r="B2" s="90"/>
      <c r="C2" s="90"/>
      <c r="D2" s="90"/>
      <c r="E2" s="90"/>
      <c r="F2" s="44"/>
      <c r="G2" s="45"/>
      <c r="H2" s="45"/>
      <c r="I2" s="46" t="s">
        <v>43</v>
      </c>
      <c r="J2" s="47"/>
      <c r="K2" s="45"/>
      <c r="L2" s="45"/>
      <c r="M2" s="45"/>
      <c r="N2" s="45"/>
      <c r="O2" s="45"/>
      <c r="P2" s="45"/>
    </row>
    <row r="3" spans="1:16" ht="15">
      <c r="A3" s="7" t="s">
        <v>9</v>
      </c>
      <c r="B3" s="8">
        <v>175000</v>
      </c>
      <c r="C3" s="44"/>
      <c r="D3" s="44"/>
      <c r="E3" s="44"/>
      <c r="F3" s="44"/>
      <c r="G3" s="45"/>
      <c r="H3" s="45"/>
      <c r="I3" s="47"/>
      <c r="J3" s="47"/>
      <c r="K3" s="45"/>
      <c r="L3" s="45"/>
      <c r="M3" s="45"/>
      <c r="N3" s="45"/>
      <c r="O3" s="45"/>
      <c r="P3" s="45"/>
    </row>
    <row r="4" spans="1:16" ht="18.75">
      <c r="A4" s="52" t="s">
        <v>2</v>
      </c>
      <c r="B4" s="56">
        <v>3</v>
      </c>
      <c r="C4" s="44"/>
      <c r="D4" s="53" t="s">
        <v>4</v>
      </c>
      <c r="E4" s="53" t="s">
        <v>5</v>
      </c>
      <c r="F4" s="58"/>
      <c r="G4" s="53" t="s">
        <v>7</v>
      </c>
      <c r="H4" s="45"/>
      <c r="I4" s="46" t="s">
        <v>44</v>
      </c>
      <c r="J4" s="47"/>
      <c r="K4" s="45"/>
      <c r="L4" s="45"/>
      <c r="M4" s="45"/>
      <c r="N4" s="45"/>
      <c r="O4" s="45"/>
      <c r="P4" s="45"/>
    </row>
    <row r="5" spans="1:16" ht="15.75">
      <c r="A5" s="52" t="s">
        <v>3</v>
      </c>
      <c r="B5" s="56">
        <v>1</v>
      </c>
      <c r="C5" s="44"/>
      <c r="D5" s="9">
        <v>0.50330796075372231</v>
      </c>
      <c r="E5" s="9">
        <v>0.47128021237149131</v>
      </c>
      <c r="F5" s="9"/>
      <c r="G5" s="9">
        <v>19.065132226416907</v>
      </c>
      <c r="H5" s="45"/>
      <c r="I5" s="45"/>
      <c r="J5" s="45"/>
      <c r="K5" s="45"/>
      <c r="L5" s="45"/>
      <c r="M5" s="45"/>
      <c r="N5" s="45"/>
      <c r="O5" s="45"/>
      <c r="P5" s="45"/>
    </row>
    <row r="6" spans="1:16" ht="21">
      <c r="A6" s="44"/>
      <c r="B6" s="44"/>
      <c r="C6" s="44"/>
      <c r="D6" s="44"/>
      <c r="E6" s="44"/>
      <c r="F6" s="44"/>
      <c r="G6" s="45"/>
      <c r="H6" s="45"/>
      <c r="I6" s="45"/>
      <c r="J6" s="45"/>
      <c r="K6" s="45"/>
      <c r="L6" s="49"/>
      <c r="M6" s="45"/>
      <c r="N6" s="45"/>
      <c r="O6" s="45"/>
      <c r="P6" s="45"/>
    </row>
    <row r="7" spans="1:16" ht="15.75" customHeight="1">
      <c r="A7" s="29" t="s">
        <v>26</v>
      </c>
      <c r="B7" s="30"/>
      <c r="C7" s="30"/>
      <c r="D7" s="31"/>
      <c r="E7" s="44"/>
      <c r="F7" s="44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ht="15.7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50"/>
      <c r="M8" s="45"/>
      <c r="N8" s="45"/>
      <c r="O8" s="45"/>
      <c r="P8" s="45"/>
    </row>
    <row r="9" spans="1:16" ht="15.75">
      <c r="A9" s="45"/>
      <c r="B9" s="45"/>
      <c r="C9" s="45"/>
      <c r="D9" s="45"/>
      <c r="E9" s="45"/>
      <c r="F9" s="57" t="s">
        <v>45</v>
      </c>
      <c r="G9" s="58"/>
      <c r="H9" s="58"/>
      <c r="I9" s="60" t="s">
        <v>39</v>
      </c>
      <c r="J9" s="60"/>
      <c r="K9" s="45"/>
      <c r="L9" s="45"/>
      <c r="M9" s="45"/>
      <c r="N9" s="45"/>
      <c r="O9" s="45"/>
      <c r="P9" s="45"/>
    </row>
    <row r="10" spans="1:16" ht="15.75">
      <c r="A10" s="45"/>
      <c r="B10" s="45"/>
      <c r="C10" s="45"/>
      <c r="D10" s="45"/>
      <c r="E10" s="45"/>
      <c r="F10" s="61" t="s">
        <v>46</v>
      </c>
      <c r="G10" s="58"/>
      <c r="H10" s="57" t="s">
        <v>47</v>
      </c>
      <c r="I10" s="62" t="s">
        <v>31</v>
      </c>
      <c r="J10" s="62" t="s">
        <v>32</v>
      </c>
      <c r="K10" s="45"/>
      <c r="L10" s="45"/>
      <c r="M10" s="45"/>
      <c r="N10" s="45"/>
      <c r="O10" s="45"/>
      <c r="P10" s="45"/>
    </row>
    <row r="11" spans="1:16" ht="15.75">
      <c r="A11" s="45"/>
      <c r="B11" s="45"/>
      <c r="C11" s="45"/>
      <c r="D11" s="45"/>
      <c r="E11" s="45"/>
      <c r="F11" s="63">
        <f>I11*B4+J11*B5</f>
        <v>41051</v>
      </c>
      <c r="G11" s="58"/>
      <c r="H11" s="63">
        <f>G5*(I11^D5)*(J11^E5)</f>
        <v>175000.77450156701</v>
      </c>
      <c r="I11" s="63">
        <v>7066</v>
      </c>
      <c r="J11" s="63">
        <v>19853</v>
      </c>
      <c r="K11" s="45"/>
      <c r="L11" s="45"/>
      <c r="M11" s="45"/>
      <c r="N11" s="45"/>
      <c r="O11" s="45"/>
      <c r="P11" s="45"/>
    </row>
    <row r="12" spans="1:16" ht="1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</row>
    <row r="14" spans="1:16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</row>
    <row r="15" spans="1:1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</row>
    <row r="18" spans="1:16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</row>
    <row r="19" spans="1:16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</row>
  </sheetData>
  <mergeCells count="3">
    <mergeCell ref="A1:E1"/>
    <mergeCell ref="A7:D7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Основна</vt:lpstr>
      <vt:lpstr>max_short</vt:lpstr>
      <vt:lpstr>max_produce</vt:lpstr>
      <vt:lpstr>min_cost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2024-05-10T15:14:56Z</dcterms:created>
  <dcterms:modified xsi:type="dcterms:W3CDTF">2024-05-15T14:33:07Z</dcterms:modified>
  <cp:category/>
  <cp:contentStatus/>
</cp:coreProperties>
</file>