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并行程序设计\实验代码\lab2_SIMD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H53" i="1"/>
  <c r="I47" i="1"/>
  <c r="I52" i="1"/>
  <c r="I51" i="1"/>
  <c r="I50" i="1"/>
  <c r="I49" i="1"/>
  <c r="I48" i="1"/>
  <c r="H52" i="1"/>
  <c r="H51" i="1"/>
  <c r="H50" i="1"/>
  <c r="H49" i="1"/>
  <c r="H48" i="1"/>
  <c r="H47" i="1"/>
  <c r="H43" i="1"/>
  <c r="H42" i="1"/>
  <c r="H41" i="1"/>
  <c r="H40" i="1"/>
  <c r="H39" i="1"/>
  <c r="H38" i="1"/>
  <c r="H37" i="1"/>
  <c r="N19" i="1" l="1"/>
  <c r="M19" i="1"/>
  <c r="L19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L26" i="1"/>
  <c r="N26" i="1"/>
  <c r="M26" i="1"/>
  <c r="O25" i="1"/>
  <c r="N25" i="1"/>
  <c r="M25" i="1"/>
  <c r="L25" i="1"/>
  <c r="L18" i="1"/>
  <c r="N18" i="1"/>
  <c r="M18" i="1"/>
  <c r="N17" i="1"/>
  <c r="M17" i="1"/>
  <c r="L17" i="1"/>
  <c r="N16" i="1"/>
  <c r="M16" i="1"/>
  <c r="L16" i="1"/>
  <c r="N15" i="1"/>
  <c r="M15" i="1"/>
  <c r="L15" i="1"/>
  <c r="N14" i="1"/>
  <c r="M14" i="1"/>
  <c r="L14" i="1"/>
  <c r="Q10" i="1"/>
  <c r="P10" i="1"/>
  <c r="O10" i="1"/>
  <c r="N10" i="1"/>
  <c r="M10" i="1"/>
  <c r="L10" i="1"/>
  <c r="L9" i="1"/>
  <c r="Q9" i="1"/>
  <c r="P9" i="1"/>
  <c r="O9" i="1"/>
  <c r="N9" i="1"/>
  <c r="M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</calcChain>
</file>

<file path=xl/sharedStrings.xml><?xml version="1.0" encoding="utf-8"?>
<sst xmlns="http://schemas.openxmlformats.org/spreadsheetml/2006/main" count="60" uniqueCount="50">
  <si>
    <t>普通高斯消元实验1：不同部分向量化</t>
    <phoneticPr fontId="1" type="noConversion"/>
  </si>
  <si>
    <t>n</t>
    <phoneticPr fontId="1" type="noConversion"/>
  </si>
  <si>
    <t>串行</t>
    <phoneticPr fontId="1" type="noConversion"/>
  </si>
  <si>
    <t>SSE1(ms)</t>
    <phoneticPr fontId="1" type="noConversion"/>
  </si>
  <si>
    <t>SSE2(ms)</t>
    <phoneticPr fontId="1" type="noConversion"/>
  </si>
  <si>
    <t>SSE(ms)</t>
    <phoneticPr fontId="1" type="noConversion"/>
  </si>
  <si>
    <t>AVX1(ms)</t>
    <phoneticPr fontId="1" type="noConversion"/>
  </si>
  <si>
    <t>AVX2(ms)</t>
    <phoneticPr fontId="1" type="noConversion"/>
  </si>
  <si>
    <t>AVX(ms)</t>
    <phoneticPr fontId="1" type="noConversion"/>
  </si>
  <si>
    <t>n</t>
    <phoneticPr fontId="1" type="noConversion"/>
  </si>
  <si>
    <t>串行</t>
    <phoneticPr fontId="1" type="noConversion"/>
  </si>
  <si>
    <t>Neon1(ms)</t>
    <phoneticPr fontId="1" type="noConversion"/>
  </si>
  <si>
    <t>Neon2(ms)</t>
    <phoneticPr fontId="1" type="noConversion"/>
  </si>
  <si>
    <t>Neon(ms)</t>
    <phoneticPr fontId="1" type="noConversion"/>
  </si>
  <si>
    <t>普通高斯消元实验2：对齐和不对齐</t>
    <phoneticPr fontId="1" type="noConversion"/>
  </si>
  <si>
    <t>n</t>
    <phoneticPr fontId="1" type="noConversion"/>
  </si>
  <si>
    <t>SSE(不对齐)</t>
    <phoneticPr fontId="1" type="noConversion"/>
  </si>
  <si>
    <t>SSE(对齐)</t>
    <phoneticPr fontId="1" type="noConversion"/>
  </si>
  <si>
    <t>AVX(不对齐)</t>
    <phoneticPr fontId="1" type="noConversion"/>
  </si>
  <si>
    <t>AVX(对齐)</t>
    <phoneticPr fontId="1" type="noConversion"/>
  </si>
  <si>
    <t>串行(ms)</t>
    <phoneticPr fontId="1" type="noConversion"/>
  </si>
  <si>
    <t>运行时间</t>
    <phoneticPr fontId="1" type="noConversion"/>
  </si>
  <si>
    <t>加速比</t>
    <phoneticPr fontId="1" type="noConversion"/>
  </si>
  <si>
    <t>SSE1</t>
    <phoneticPr fontId="1" type="noConversion"/>
  </si>
  <si>
    <t>SSE2</t>
    <phoneticPr fontId="1" type="noConversion"/>
  </si>
  <si>
    <t>SSE</t>
    <phoneticPr fontId="1" type="noConversion"/>
  </si>
  <si>
    <t>AVX1</t>
    <phoneticPr fontId="1" type="noConversion"/>
  </si>
  <si>
    <t>AVX2</t>
    <phoneticPr fontId="1" type="noConversion"/>
  </si>
  <si>
    <t>AVX</t>
    <phoneticPr fontId="1" type="noConversion"/>
  </si>
  <si>
    <t>运行时间</t>
    <phoneticPr fontId="1" type="noConversion"/>
  </si>
  <si>
    <t>加速比</t>
    <phoneticPr fontId="1" type="noConversion"/>
  </si>
  <si>
    <t>n</t>
    <phoneticPr fontId="1" type="noConversion"/>
  </si>
  <si>
    <t>Neon1</t>
    <phoneticPr fontId="1" type="noConversion"/>
  </si>
  <si>
    <t>Neon2</t>
    <phoneticPr fontId="1" type="noConversion"/>
  </si>
  <si>
    <t>Neon</t>
    <phoneticPr fontId="1" type="noConversion"/>
  </si>
  <si>
    <t>运行时间</t>
    <phoneticPr fontId="1" type="noConversion"/>
  </si>
  <si>
    <t>加速比</t>
    <phoneticPr fontId="1" type="noConversion"/>
  </si>
  <si>
    <t>特殊高斯消元实验1：不同平台、不同指令向量化</t>
    <phoneticPr fontId="1" type="noConversion"/>
  </si>
  <si>
    <t>运行时间</t>
    <phoneticPr fontId="1" type="noConversion"/>
  </si>
  <si>
    <t>串行(ms)</t>
    <phoneticPr fontId="1" type="noConversion"/>
  </si>
  <si>
    <t>Neon(ms)</t>
    <phoneticPr fontId="1" type="noConversion"/>
  </si>
  <si>
    <t>Col</t>
    <phoneticPr fontId="1" type="noConversion"/>
  </si>
  <si>
    <t>Col</t>
    <phoneticPr fontId="1" type="noConversion"/>
  </si>
  <si>
    <t>AVX(ms)</t>
    <phoneticPr fontId="1" type="noConversion"/>
  </si>
  <si>
    <t>运行时间</t>
    <phoneticPr fontId="1" type="noConversion"/>
  </si>
  <si>
    <t>加速比</t>
    <phoneticPr fontId="1" type="noConversion"/>
  </si>
  <si>
    <t>Neon</t>
    <phoneticPr fontId="1" type="noConversion"/>
  </si>
  <si>
    <t>加速比</t>
    <phoneticPr fontId="1" type="noConversion"/>
  </si>
  <si>
    <t>SSE</t>
    <phoneticPr fontId="1" type="noConversion"/>
  </si>
  <si>
    <t>AVX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</si>
</sst>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tabSelected="1" topLeftCell="A25" zoomScale="88" workbookViewId="0">
      <selection activeCell="K51" sqref="K51"/>
    </sheetView>
  </sheetViews>
  <sheetFormatPr defaultRowHeight="13.8" x14ac:dyDescent="0.25"/>
  <cols>
    <col min="4" max="4" width="10.77734375" customWidth="1"/>
    <col min="5" max="5" width="10" customWidth="1"/>
    <col min="6" max="6" width="11" customWidth="1"/>
    <col min="12" max="12" width="11.33203125" customWidth="1"/>
    <col min="13" max="13" width="9.5546875" customWidth="1"/>
    <col min="14" max="14" width="12.109375" customWidth="1"/>
    <col min="15" max="15" width="9.77734375" customWidth="1"/>
    <col min="16" max="16" width="8.88671875" customWidth="1"/>
    <col min="17" max="17" width="8.77734375" customWidth="1"/>
  </cols>
  <sheetData>
    <row r="2" spans="2:17" x14ac:dyDescent="0.25">
      <c r="B2" t="s">
        <v>0</v>
      </c>
    </row>
    <row r="3" spans="2:17" x14ac:dyDescent="0.25">
      <c r="B3" t="s">
        <v>21</v>
      </c>
      <c r="K3" t="s">
        <v>22</v>
      </c>
    </row>
    <row r="4" spans="2:17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t="s">
        <v>15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</row>
    <row r="5" spans="2:17" x14ac:dyDescent="0.25">
      <c r="B5">
        <v>64</v>
      </c>
      <c r="C5">
        <v>0.54</v>
      </c>
      <c r="D5">
        <v>0.46</v>
      </c>
      <c r="E5">
        <v>0.317</v>
      </c>
      <c r="F5">
        <v>0.29099999999999998</v>
      </c>
      <c r="G5">
        <v>0.40400000000000003</v>
      </c>
      <c r="H5">
        <v>0.24199999999999999</v>
      </c>
      <c r="I5">
        <v>0.151</v>
      </c>
      <c r="K5">
        <v>64</v>
      </c>
      <c r="L5" s="1">
        <f>C5/D5</f>
        <v>1.173913043478261</v>
      </c>
      <c r="M5" s="1">
        <f>C5/E5</f>
        <v>1.7034700315457414</v>
      </c>
      <c r="N5" s="1">
        <f>C5/F5</f>
        <v>1.8556701030927838</v>
      </c>
      <c r="O5" s="1">
        <f>C5/G5</f>
        <v>1.3366336633663367</v>
      </c>
      <c r="P5" s="1">
        <f>C5/H5</f>
        <v>2.2314049586776861</v>
      </c>
      <c r="Q5" s="1">
        <f>C5/I5</f>
        <v>3.5761589403973515</v>
      </c>
    </row>
    <row r="6" spans="2:17" x14ac:dyDescent="0.25">
      <c r="B6">
        <v>128</v>
      </c>
      <c r="C6">
        <v>2.4510000000000001</v>
      </c>
      <c r="D6">
        <v>2.8639999999999999</v>
      </c>
      <c r="E6">
        <v>1.56</v>
      </c>
      <c r="F6">
        <v>1.55</v>
      </c>
      <c r="G6">
        <v>2.61</v>
      </c>
      <c r="H6">
        <v>0.69399999999999995</v>
      </c>
      <c r="I6">
        <v>0.81100000000000005</v>
      </c>
      <c r="K6">
        <v>128</v>
      </c>
      <c r="L6" s="1">
        <f>C6/2.864</f>
        <v>0.85579608938547491</v>
      </c>
      <c r="M6" s="1">
        <f>C6/1.56</f>
        <v>1.5711538461538461</v>
      </c>
      <c r="N6" s="1">
        <f>C6/1.55</f>
        <v>1.5812903225806452</v>
      </c>
      <c r="O6" s="1">
        <f>C6/2.61</f>
        <v>0.93908045977011501</v>
      </c>
      <c r="P6" s="1">
        <f>C6/0.694</f>
        <v>3.5317002881844384</v>
      </c>
      <c r="Q6" s="1">
        <f>C6/0.811</f>
        <v>3.0221948212083847</v>
      </c>
    </row>
    <row r="7" spans="2:17" x14ac:dyDescent="0.25">
      <c r="B7">
        <v>256</v>
      </c>
      <c r="C7">
        <v>17.795999999999999</v>
      </c>
      <c r="D7">
        <v>31.419</v>
      </c>
      <c r="E7">
        <v>9.2230000000000008</v>
      </c>
      <c r="F7">
        <v>8.8620000000000001</v>
      </c>
      <c r="G7">
        <v>18.908999999999999</v>
      </c>
      <c r="H7">
        <v>4.5839999999999996</v>
      </c>
      <c r="I7">
        <v>4.5529999999999999</v>
      </c>
      <c r="K7">
        <v>256</v>
      </c>
      <c r="L7" s="1">
        <f>C7/31.419</f>
        <v>0.56640886088035902</v>
      </c>
      <c r="M7" s="1">
        <f>C7/9.223</f>
        <v>1.9295240160468392</v>
      </c>
      <c r="N7" s="1">
        <f>C7/8.862</f>
        <v>2.0081245768449558</v>
      </c>
      <c r="O7" s="1">
        <f>C7/18.909</f>
        <v>0.94113914009201971</v>
      </c>
      <c r="P7" s="1">
        <f>C7/4.584</f>
        <v>3.8821989528795813</v>
      </c>
      <c r="Q7" s="1">
        <f>C7/4.553</f>
        <v>3.9086316714254337</v>
      </c>
    </row>
    <row r="8" spans="2:17" x14ac:dyDescent="0.25">
      <c r="B8">
        <v>512</v>
      </c>
      <c r="C8">
        <v>129.483</v>
      </c>
      <c r="D8">
        <v>111.315</v>
      </c>
      <c r="E8">
        <v>72.873000000000005</v>
      </c>
      <c r="F8">
        <v>68.444999999999993</v>
      </c>
      <c r="G8">
        <v>148.482</v>
      </c>
      <c r="H8">
        <v>108.60899999999999</v>
      </c>
      <c r="I8">
        <v>126.15900000000001</v>
      </c>
      <c r="K8">
        <v>512</v>
      </c>
      <c r="L8" s="1">
        <f>C8/111.315</f>
        <v>1.1632125050532274</v>
      </c>
      <c r="M8" s="1">
        <f>C8/72.873</f>
        <v>1.7768309250339631</v>
      </c>
      <c r="N8" s="1">
        <f>C8/68.445</f>
        <v>1.8917817225509537</v>
      </c>
      <c r="O8" s="1">
        <f>C8/148.482</f>
        <v>0.87204509637531824</v>
      </c>
      <c r="P8" s="1">
        <f>C8/108.609</f>
        <v>1.1921940170704086</v>
      </c>
      <c r="Q8" s="1">
        <f>C8/126.159</f>
        <v>1.0263477040876989</v>
      </c>
    </row>
    <row r="9" spans="2:17" x14ac:dyDescent="0.25">
      <c r="B9">
        <v>1024</v>
      </c>
      <c r="C9">
        <v>1796.03</v>
      </c>
      <c r="D9">
        <v>1425.01</v>
      </c>
      <c r="E9">
        <v>573.60599999999999</v>
      </c>
      <c r="F9">
        <v>562.33199999999999</v>
      </c>
      <c r="G9">
        <v>1216.1099999999999</v>
      </c>
      <c r="H9">
        <v>252.102</v>
      </c>
      <c r="I9">
        <v>255.31200000000001</v>
      </c>
      <c r="K9">
        <v>1024</v>
      </c>
      <c r="L9" s="1">
        <f>C9/1425.01</f>
        <v>1.2603630851713321</v>
      </c>
      <c r="M9" s="1">
        <f>C9/573.606</f>
        <v>3.131121362049909</v>
      </c>
      <c r="N9" s="1">
        <f>C9/562.332</f>
        <v>3.1938961325338058</v>
      </c>
      <c r="O9" s="1">
        <f>C9/1216.11</f>
        <v>1.4768647572999154</v>
      </c>
      <c r="P9" s="1">
        <f>C9/252.102</f>
        <v>7.1242195619233479</v>
      </c>
      <c r="Q9" s="1">
        <f>C9/255.312</f>
        <v>7.0346478034718301</v>
      </c>
    </row>
    <row r="10" spans="2:17" x14ac:dyDescent="0.25">
      <c r="B10">
        <v>2048</v>
      </c>
      <c r="C10">
        <v>8172.52</v>
      </c>
      <c r="D10">
        <v>9803.74</v>
      </c>
      <c r="E10">
        <v>6113.4</v>
      </c>
      <c r="F10">
        <v>6036.09</v>
      </c>
      <c r="G10">
        <v>9400.64</v>
      </c>
      <c r="H10">
        <v>2493.98</v>
      </c>
      <c r="I10">
        <v>3075.38</v>
      </c>
      <c r="K10">
        <v>2048</v>
      </c>
      <c r="L10" s="1">
        <f>C10/9803.74</f>
        <v>0.83361247850310194</v>
      </c>
      <c r="M10" s="1">
        <f>C10/6113.4</f>
        <v>1.336820754408349</v>
      </c>
      <c r="N10" s="1">
        <f>C10/6036.09</f>
        <v>1.3539427013182375</v>
      </c>
      <c r="O10" s="1">
        <f>C10/9400.64</f>
        <v>0.86935783095619035</v>
      </c>
      <c r="P10" s="1">
        <f>C10/2493.98</f>
        <v>3.2768987722435625</v>
      </c>
      <c r="Q10" s="1">
        <f>C10/3075.38</f>
        <v>2.6574016869460033</v>
      </c>
    </row>
    <row r="12" spans="2:17" x14ac:dyDescent="0.25">
      <c r="B12" t="s">
        <v>29</v>
      </c>
      <c r="K12" t="s">
        <v>30</v>
      </c>
    </row>
    <row r="13" spans="2:17" x14ac:dyDescent="0.25">
      <c r="B13" t="s">
        <v>9</v>
      </c>
      <c r="C13" t="s">
        <v>10</v>
      </c>
      <c r="D13" t="s">
        <v>11</v>
      </c>
      <c r="E13" t="s">
        <v>12</v>
      </c>
      <c r="F13" t="s">
        <v>13</v>
      </c>
      <c r="K13" t="s">
        <v>31</v>
      </c>
      <c r="L13" t="s">
        <v>32</v>
      </c>
      <c r="M13" t="s">
        <v>33</v>
      </c>
      <c r="N13" t="s">
        <v>34</v>
      </c>
    </row>
    <row r="14" spans="2:17" x14ac:dyDescent="0.25">
      <c r="B14">
        <v>64</v>
      </c>
      <c r="C14">
        <v>0.44800000000000001</v>
      </c>
      <c r="D14">
        <v>0.44900000000000001</v>
      </c>
      <c r="E14">
        <v>0.47699999999999998</v>
      </c>
      <c r="F14">
        <v>0.48299999999999998</v>
      </c>
      <c r="K14">
        <v>64</v>
      </c>
      <c r="L14" s="1">
        <f>C14/0.449</f>
        <v>0.99777282850779514</v>
      </c>
      <c r="M14" s="1">
        <f>C14/0.477</f>
        <v>0.93920335429769397</v>
      </c>
      <c r="N14" s="1">
        <f>C14/0.483</f>
        <v>0.92753623188405798</v>
      </c>
    </row>
    <row r="15" spans="2:17" x14ac:dyDescent="0.25">
      <c r="B15">
        <v>128</v>
      </c>
      <c r="C15">
        <v>3.5089999999999999</v>
      </c>
      <c r="D15">
        <v>3.5059999999999998</v>
      </c>
      <c r="E15">
        <v>3.5030000000000001</v>
      </c>
      <c r="F15">
        <v>3.5070000000000001</v>
      </c>
      <c r="K15">
        <v>128</v>
      </c>
      <c r="L15" s="1">
        <f>C15/3.506</f>
        <v>1.0008556759840275</v>
      </c>
      <c r="M15" s="1">
        <f>C15/3.503</f>
        <v>1.0017128175849273</v>
      </c>
      <c r="N15" s="1">
        <f>C15/3.507</f>
        <v>1.0005702879954377</v>
      </c>
    </row>
    <row r="16" spans="2:17" x14ac:dyDescent="0.25">
      <c r="B16">
        <v>256</v>
      </c>
      <c r="C16">
        <v>27.975000000000001</v>
      </c>
      <c r="D16">
        <v>22.56</v>
      </c>
      <c r="E16">
        <v>20.481999999999999</v>
      </c>
      <c r="F16">
        <v>21.981000000000002</v>
      </c>
      <c r="K16">
        <v>256</v>
      </c>
      <c r="L16" s="1">
        <f>C16/22.56</f>
        <v>1.240026595744681</v>
      </c>
      <c r="M16" s="1">
        <f>C16/20.482</f>
        <v>1.3658334147055953</v>
      </c>
      <c r="N16" s="1">
        <f>C16/21.981</f>
        <v>1.2726900504981575</v>
      </c>
    </row>
    <row r="17" spans="2:15" x14ac:dyDescent="0.25">
      <c r="B17">
        <v>512</v>
      </c>
      <c r="C17">
        <v>228.08</v>
      </c>
      <c r="D17">
        <v>180.52</v>
      </c>
      <c r="E17">
        <v>169.43</v>
      </c>
      <c r="F17">
        <v>165.267</v>
      </c>
      <c r="K17">
        <v>512</v>
      </c>
      <c r="L17" s="1">
        <f>C17/180.52</f>
        <v>1.2634611123421227</v>
      </c>
      <c r="M17" s="1">
        <f>C17/169.43</f>
        <v>1.3461606563182436</v>
      </c>
      <c r="N17" s="1">
        <f>C17/165.267</f>
        <v>1.3800698264021252</v>
      </c>
    </row>
    <row r="18" spans="2:15" x14ac:dyDescent="0.25">
      <c r="B18">
        <v>1024</v>
      </c>
      <c r="C18">
        <v>1897.77</v>
      </c>
      <c r="D18">
        <v>1534.82</v>
      </c>
      <c r="E18">
        <v>1293.28</v>
      </c>
      <c r="F18">
        <v>1167.4100000000001</v>
      </c>
      <c r="K18">
        <v>1024</v>
      </c>
      <c r="L18" s="1">
        <f>C18/1534.82</f>
        <v>1.2364772416309404</v>
      </c>
      <c r="M18" s="1">
        <f>C18/1293.28</f>
        <v>1.4674084498329829</v>
      </c>
      <c r="N18" s="1">
        <f>C18/1167.41</f>
        <v>1.625624245123821</v>
      </c>
    </row>
    <row r="19" spans="2:15" x14ac:dyDescent="0.25">
      <c r="B19">
        <v>2048</v>
      </c>
      <c r="C19">
        <v>15369.8</v>
      </c>
      <c r="D19">
        <v>13327.82</v>
      </c>
      <c r="E19">
        <v>8773.32</v>
      </c>
      <c r="F19">
        <v>10269.89</v>
      </c>
      <c r="K19">
        <v>2048</v>
      </c>
      <c r="L19" s="1">
        <f>C19/13327.82</f>
        <v>1.1532118531012574</v>
      </c>
      <c r="M19" s="1">
        <f>C19/8773.32</f>
        <v>1.751879562126994</v>
      </c>
      <c r="N19" s="1">
        <f>C19/10269.89</f>
        <v>1.4965885710557756</v>
      </c>
    </row>
    <row r="22" spans="2:15" x14ac:dyDescent="0.25">
      <c r="B22" t="s">
        <v>14</v>
      </c>
    </row>
    <row r="23" spans="2:15" x14ac:dyDescent="0.25">
      <c r="B23" t="s">
        <v>35</v>
      </c>
      <c r="K23" t="s">
        <v>36</v>
      </c>
    </row>
    <row r="24" spans="2:15" x14ac:dyDescent="0.25">
      <c r="B24" t="s">
        <v>15</v>
      </c>
      <c r="C24" t="s">
        <v>20</v>
      </c>
      <c r="D24" t="s">
        <v>16</v>
      </c>
      <c r="E24" t="s">
        <v>17</v>
      </c>
      <c r="F24" t="s">
        <v>18</v>
      </c>
      <c r="G24" t="s">
        <v>19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</row>
    <row r="25" spans="2:15" x14ac:dyDescent="0.25">
      <c r="B25">
        <v>64</v>
      </c>
      <c r="C25">
        <v>0.20300000000000001</v>
      </c>
      <c r="D25">
        <v>0.126</v>
      </c>
      <c r="E25">
        <v>0.128</v>
      </c>
      <c r="F25">
        <v>8.7999999999999995E-2</v>
      </c>
      <c r="G25">
        <v>8.8999999999999996E-2</v>
      </c>
      <c r="K25">
        <v>64</v>
      </c>
      <c r="L25" s="1">
        <f>C25/0.126</f>
        <v>1.6111111111111112</v>
      </c>
      <c r="M25" s="1">
        <f>C25/0.128</f>
        <v>1.5859375</v>
      </c>
      <c r="N25" s="1">
        <f>C25/0.088</f>
        <v>2.3068181818181821</v>
      </c>
      <c r="O25" s="1">
        <f>C25/0.089</f>
        <v>2.2808988764044948</v>
      </c>
    </row>
    <row r="26" spans="2:15" x14ac:dyDescent="0.25">
      <c r="B26">
        <v>128</v>
      </c>
      <c r="C26">
        <v>1.643</v>
      </c>
      <c r="D26">
        <v>0.97</v>
      </c>
      <c r="E26">
        <v>0.94099999999999995</v>
      </c>
      <c r="F26">
        <v>0.52700000000000002</v>
      </c>
      <c r="G26">
        <v>0.63500000000000001</v>
      </c>
      <c r="K26">
        <v>128</v>
      </c>
      <c r="L26" s="1">
        <f>C26/0.97</f>
        <v>1.6938144329896907</v>
      </c>
      <c r="M26" s="1">
        <f>C26/0.941</f>
        <v>1.7460148777895856</v>
      </c>
      <c r="N26" s="1">
        <f>C26/0.527</f>
        <v>3.1176470588235294</v>
      </c>
      <c r="O26" s="1">
        <f>C26/0.635</f>
        <v>2.5874015748031498</v>
      </c>
    </row>
    <row r="27" spans="2:15" x14ac:dyDescent="0.25">
      <c r="B27">
        <v>256</v>
      </c>
      <c r="C27">
        <v>13.202</v>
      </c>
      <c r="D27">
        <v>7.2960000000000003</v>
      </c>
      <c r="E27">
        <v>7.9169999999999998</v>
      </c>
      <c r="F27">
        <v>4.5609999999999999</v>
      </c>
      <c r="G27">
        <v>4.9930000000000003</v>
      </c>
      <c r="K27">
        <v>256</v>
      </c>
      <c r="L27" s="1">
        <f>C27/7.296</f>
        <v>1.8094846491228069</v>
      </c>
      <c r="M27" s="1">
        <f>C27/7.917</f>
        <v>1.667550839964633</v>
      </c>
      <c r="N27" s="1">
        <f>C27/4.561</f>
        <v>2.8945406709055033</v>
      </c>
      <c r="O27" s="1">
        <f>C27/4.993</f>
        <v>2.6441017424394149</v>
      </c>
    </row>
    <row r="28" spans="2:15" x14ac:dyDescent="0.25">
      <c r="B28">
        <v>512</v>
      </c>
      <c r="C28">
        <v>96.441000000000003</v>
      </c>
      <c r="D28">
        <v>57.573</v>
      </c>
      <c r="E28">
        <v>57.066000000000003</v>
      </c>
      <c r="F28">
        <v>27.527000000000001</v>
      </c>
      <c r="G28">
        <v>27.015999999999998</v>
      </c>
      <c r="K28">
        <v>512</v>
      </c>
      <c r="L28" s="1">
        <f>C28/57.573</f>
        <v>1.6751081235996039</v>
      </c>
      <c r="M28" s="1">
        <f>C28/57.066</f>
        <v>1.6899905372726316</v>
      </c>
      <c r="N28" s="1">
        <f>C28/27.527</f>
        <v>3.5035056489991643</v>
      </c>
      <c r="O28" s="1">
        <f>C28/27.016</f>
        <v>3.569773467574771</v>
      </c>
    </row>
    <row r="29" spans="2:15" x14ac:dyDescent="0.25">
      <c r="B29">
        <v>1024</v>
      </c>
      <c r="C29">
        <v>931.202</v>
      </c>
      <c r="D29">
        <v>655.44200000000001</v>
      </c>
      <c r="E29">
        <v>483.928</v>
      </c>
      <c r="F29">
        <v>212.398</v>
      </c>
      <c r="G29">
        <v>205.63300000000001</v>
      </c>
      <c r="K29">
        <v>1024</v>
      </c>
      <c r="L29" s="1">
        <f>C29/655.442</f>
        <v>1.4207237253639529</v>
      </c>
      <c r="M29" s="1">
        <f>C29/483.928</f>
        <v>1.9242573275363277</v>
      </c>
      <c r="N29" s="1">
        <f>C29/212.398</f>
        <v>4.3842314899387</v>
      </c>
      <c r="O29" s="1">
        <f>C29/205.633</f>
        <v>4.528465761818385</v>
      </c>
    </row>
    <row r="30" spans="2:15" x14ac:dyDescent="0.25">
      <c r="B30">
        <v>2048</v>
      </c>
      <c r="C30">
        <v>7257.66</v>
      </c>
      <c r="D30">
        <v>4175.68</v>
      </c>
      <c r="E30">
        <v>3953.88</v>
      </c>
      <c r="F30">
        <v>2283.81</v>
      </c>
      <c r="G30">
        <v>2092.87</v>
      </c>
      <c r="K30">
        <v>2048</v>
      </c>
      <c r="L30" s="1">
        <f>C30/4175.68</f>
        <v>1.7380785883975782</v>
      </c>
      <c r="M30" s="1">
        <f>C30/3953.88</f>
        <v>1.8355792285046586</v>
      </c>
      <c r="N30" s="1">
        <f>C30/2283.81</f>
        <v>3.1778738161230575</v>
      </c>
      <c r="O30" s="1">
        <f>C30/2092.87</f>
        <v>3.4678025868783058</v>
      </c>
    </row>
    <row r="34" spans="2:9" x14ac:dyDescent="0.25">
      <c r="B34" t="s">
        <v>37</v>
      </c>
    </row>
    <row r="35" spans="2:9" x14ac:dyDescent="0.25">
      <c r="B35" t="s">
        <v>38</v>
      </c>
      <c r="G35" t="s">
        <v>45</v>
      </c>
    </row>
    <row r="36" spans="2:9" x14ac:dyDescent="0.25">
      <c r="B36" t="s">
        <v>42</v>
      </c>
      <c r="C36" t="s">
        <v>39</v>
      </c>
      <c r="D36" t="s">
        <v>40</v>
      </c>
      <c r="G36" t="s">
        <v>42</v>
      </c>
      <c r="H36" t="s">
        <v>46</v>
      </c>
    </row>
    <row r="37" spans="2:9" x14ac:dyDescent="0.25">
      <c r="B37">
        <v>130</v>
      </c>
      <c r="C37" s="1">
        <v>5.7999999999999996E-3</v>
      </c>
      <c r="D37">
        <v>6.0000000000000001E-3</v>
      </c>
      <c r="G37">
        <v>130</v>
      </c>
      <c r="H37" s="1">
        <f>C37/D37</f>
        <v>0.96666666666666656</v>
      </c>
    </row>
    <row r="38" spans="2:9" x14ac:dyDescent="0.25">
      <c r="B38">
        <v>254</v>
      </c>
      <c r="C38" s="1">
        <v>0.2321</v>
      </c>
      <c r="D38">
        <v>0.23100000000000001</v>
      </c>
      <c r="G38">
        <v>254</v>
      </c>
      <c r="H38" s="1">
        <f>C38/D38</f>
        <v>1.0047619047619047</v>
      </c>
    </row>
    <row r="39" spans="2:9" x14ac:dyDescent="0.25">
      <c r="B39">
        <v>562</v>
      </c>
      <c r="C39" s="1">
        <v>0.35720000000000002</v>
      </c>
      <c r="D39">
        <v>0.34200000000000003</v>
      </c>
      <c r="G39">
        <v>562</v>
      </c>
      <c r="H39" s="1">
        <f>C39/D39</f>
        <v>1.0444444444444445</v>
      </c>
    </row>
    <row r="40" spans="2:9" x14ac:dyDescent="0.25">
      <c r="B40">
        <v>1011</v>
      </c>
      <c r="C40">
        <v>15.922000000000001</v>
      </c>
      <c r="D40">
        <v>14.784000000000001</v>
      </c>
      <c r="G40">
        <v>1011</v>
      </c>
      <c r="H40" s="1">
        <f>C40/D40</f>
        <v>1.0769751082251082</v>
      </c>
    </row>
    <row r="41" spans="2:9" x14ac:dyDescent="0.25">
      <c r="B41">
        <v>2362</v>
      </c>
      <c r="C41">
        <v>122.41500000000001</v>
      </c>
      <c r="D41">
        <v>105.70399999999999</v>
      </c>
      <c r="G41">
        <v>2362</v>
      </c>
      <c r="H41" s="1">
        <f>C41/D41</f>
        <v>1.1580924089911453</v>
      </c>
    </row>
    <row r="42" spans="2:9" x14ac:dyDescent="0.25">
      <c r="B42">
        <v>3799</v>
      </c>
      <c r="C42">
        <v>2398.8200000000002</v>
      </c>
      <c r="D42">
        <v>2075.38</v>
      </c>
      <c r="G42">
        <v>3799</v>
      </c>
      <c r="H42" s="1">
        <f>C42/D42</f>
        <v>1.1558461582939028</v>
      </c>
    </row>
    <row r="43" spans="2:9" x14ac:dyDescent="0.25">
      <c r="B43">
        <v>8399</v>
      </c>
      <c r="C43">
        <v>32699.599999999999</v>
      </c>
      <c r="D43">
        <v>27404.799999999999</v>
      </c>
      <c r="G43">
        <v>8399</v>
      </c>
      <c r="H43" s="1">
        <f>C43/D43</f>
        <v>1.1932070294255022</v>
      </c>
    </row>
    <row r="45" spans="2:9" x14ac:dyDescent="0.25">
      <c r="B45" t="s">
        <v>44</v>
      </c>
      <c r="G45" t="s">
        <v>47</v>
      </c>
    </row>
    <row r="46" spans="2:9" x14ac:dyDescent="0.25">
      <c r="B46" t="s">
        <v>41</v>
      </c>
      <c r="C46" t="s">
        <v>39</v>
      </c>
      <c r="D46" t="s">
        <v>5</v>
      </c>
      <c r="E46" t="s">
        <v>43</v>
      </c>
      <c r="G46" t="s">
        <v>41</v>
      </c>
      <c r="H46" t="s">
        <v>48</v>
      </c>
      <c r="I46" t="s">
        <v>49</v>
      </c>
    </row>
    <row r="47" spans="2:9" x14ac:dyDescent="0.25">
      <c r="B47">
        <v>130</v>
      </c>
      <c r="C47" s="1">
        <v>5.9449999999999998E-3</v>
      </c>
      <c r="D47" s="1">
        <v>7.5570000000000003E-3</v>
      </c>
      <c r="E47" s="1">
        <v>6.3270000000000002E-3</v>
      </c>
      <c r="G47">
        <v>130</v>
      </c>
      <c r="H47" s="1">
        <f>C47/D47</f>
        <v>0.78668783908958573</v>
      </c>
      <c r="I47" s="1">
        <f>C47/E47</f>
        <v>0.93962383436067642</v>
      </c>
    </row>
    <row r="48" spans="2:9" x14ac:dyDescent="0.25">
      <c r="B48">
        <v>254</v>
      </c>
      <c r="C48" s="1">
        <v>0.213588</v>
      </c>
      <c r="D48" s="1">
        <v>0.17572199999999999</v>
      </c>
      <c r="E48" s="1">
        <v>0.15975600000000001</v>
      </c>
      <c r="G48">
        <v>254</v>
      </c>
      <c r="H48" s="1">
        <f>C48/D48</f>
        <v>1.2154881005224161</v>
      </c>
      <c r="I48" s="1">
        <f>C48/E48</f>
        <v>1.3369638699015998</v>
      </c>
    </row>
    <row r="49" spans="2:9" x14ac:dyDescent="0.25">
      <c r="B49">
        <v>562</v>
      </c>
      <c r="C49" s="1">
        <v>0.29162700000000003</v>
      </c>
      <c r="D49" s="1">
        <v>0.239506</v>
      </c>
      <c r="E49" s="1">
        <v>0.19444600000000001</v>
      </c>
      <c r="G49">
        <v>562</v>
      </c>
      <c r="H49" s="1">
        <f>C49/D49</f>
        <v>1.2176187652918926</v>
      </c>
      <c r="I49" s="1">
        <f>C49/E49</f>
        <v>1.4997840017279862</v>
      </c>
    </row>
    <row r="50" spans="2:9" x14ac:dyDescent="0.25">
      <c r="B50">
        <v>1011</v>
      </c>
      <c r="C50" s="1">
        <v>11.3126</v>
      </c>
      <c r="D50" s="1">
        <v>9.1302800000000008</v>
      </c>
      <c r="E50" s="1">
        <v>6.5271299999999997</v>
      </c>
      <c r="G50">
        <v>1011</v>
      </c>
      <c r="H50" s="1">
        <f>C50/D50</f>
        <v>1.239020051958976</v>
      </c>
      <c r="I50" s="1">
        <f>C50/E50</f>
        <v>1.7331660316249256</v>
      </c>
    </row>
    <row r="51" spans="2:9" x14ac:dyDescent="0.25">
      <c r="B51">
        <v>2362</v>
      </c>
      <c r="C51" s="1">
        <v>76.897199999999998</v>
      </c>
      <c r="D51" s="1">
        <v>55.631599999999999</v>
      </c>
      <c r="E51" s="1">
        <v>43.984499999999997</v>
      </c>
      <c r="G51">
        <v>2362</v>
      </c>
      <c r="H51" s="1">
        <f>C51/D51</f>
        <v>1.3822575658438729</v>
      </c>
      <c r="I51" s="1">
        <f>C51/E51</f>
        <v>1.7482795075537974</v>
      </c>
    </row>
    <row r="52" spans="2:9" x14ac:dyDescent="0.25">
      <c r="B52">
        <v>3799</v>
      </c>
      <c r="C52">
        <v>1259.1600000000001</v>
      </c>
      <c r="D52">
        <v>873.91499999999996</v>
      </c>
      <c r="E52">
        <v>717.98</v>
      </c>
      <c r="G52">
        <v>3799</v>
      </c>
      <c r="H52" s="1">
        <f>C52/D52</f>
        <v>1.4408266250150188</v>
      </c>
      <c r="I52" s="1">
        <f>C52/E52</f>
        <v>1.7537535864508762</v>
      </c>
    </row>
    <row r="53" spans="2:9" x14ac:dyDescent="0.25">
      <c r="B53">
        <v>8399</v>
      </c>
      <c r="C53">
        <v>16526.7</v>
      </c>
      <c r="D53">
        <v>11056.7</v>
      </c>
      <c r="E53">
        <v>8791.07</v>
      </c>
      <c r="G53">
        <v>8399</v>
      </c>
      <c r="H53" s="1">
        <f>C53/D53</f>
        <v>1.4947226568505974</v>
      </c>
      <c r="I53" s="1">
        <f>C53/E53</f>
        <v>1.8799418045812399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ybx</dc:creator>
  <cp:lastModifiedBy>ybx</cp:lastModifiedBy>
  <dcterms:created xsi:type="dcterms:W3CDTF">2024-04-23T04:57:24Z</dcterms:created>
  <dcterms:modified xsi:type="dcterms:W3CDTF">2024-04-26T05:41:15Z</dcterms:modified>
</cp:coreProperties>
</file>