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rin\CAS\Avions_d'expérimentation\P68_Observer_2\"/>
    </mc:Choice>
  </mc:AlternateContent>
  <xr:revisionPtr revIDLastSave="0" documentId="13_ncr:1_{96AE2BA7-B028-485B-9720-678C56A49169}" xr6:coauthVersionLast="47" xr6:coauthVersionMax="47" xr10:uidLastSave="{00000000-0000-0000-0000-000000000000}"/>
  <bookViews>
    <workbookView xWindow="120" yWindow="825" windowWidth="16815" windowHeight="7410" xr2:uid="{00000000-000D-0000-FFFF-FFFF00000000}"/>
  </bookViews>
  <sheets>
    <sheet name="P68 Observer" sheetId="1" r:id="rId1"/>
    <sheet name="Analyse Pesées" sheetId="5" r:id="rId2"/>
    <sheet name="P68 C" sheetId="4" r:id="rId3"/>
    <sheet name="Feuil2" sheetId="2" r:id="rId4"/>
    <sheet name="Feuil3" sheetId="3" r:id="rId5"/>
  </sheets>
  <definedNames>
    <definedName name="_xlnm.Print_Area" localSheetId="0">'P68 Observer'!$A$1:$I$56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4" i="1" l="1"/>
  <c r="C46" i="1"/>
  <c r="C40" i="1" l="1"/>
  <c r="C39" i="1"/>
  <c r="E40" i="1" l="1"/>
  <c r="C38" i="1"/>
  <c r="C43" i="1" l="1"/>
  <c r="C41" i="1" l="1"/>
  <c r="C45" i="1" l="1"/>
  <c r="C48" i="1" l="1"/>
  <c r="E39" i="1"/>
  <c r="E41" i="1"/>
  <c r="E42" i="1"/>
  <c r="E43" i="1"/>
  <c r="C47" i="1"/>
  <c r="E38" i="1"/>
  <c r="C37" i="1"/>
  <c r="E25" i="1"/>
  <c r="F25" i="1" s="1"/>
  <c r="E24" i="1"/>
  <c r="F24" i="1" s="1"/>
  <c r="G36" i="1"/>
  <c r="F36" i="1"/>
  <c r="L68" i="5"/>
  <c r="L67" i="5"/>
  <c r="L66" i="5"/>
  <c r="L65" i="5"/>
  <c r="L64" i="5"/>
  <c r="B53" i="5"/>
  <c r="D53" i="5" s="1"/>
  <c r="D52" i="5"/>
  <c r="D51" i="5"/>
  <c r="D50" i="5"/>
  <c r="D49" i="5"/>
  <c r="D41" i="5"/>
  <c r="D40" i="5"/>
  <c r="D39" i="5"/>
  <c r="D38" i="5"/>
  <c r="D37" i="5"/>
  <c r="D21" i="5"/>
  <c r="D20" i="5"/>
  <c r="D19" i="5"/>
  <c r="D18" i="5"/>
  <c r="B15" i="5"/>
  <c r="D14" i="5"/>
  <c r="D13" i="5"/>
  <c r="D15" i="5" s="1"/>
  <c r="B8" i="5"/>
  <c r="I8" i="5" s="1"/>
  <c r="K7" i="5"/>
  <c r="D7" i="5"/>
  <c r="K6" i="5"/>
  <c r="D6" i="5"/>
  <c r="K5" i="5"/>
  <c r="D5" i="5"/>
  <c r="H36" i="1" l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D8" i="5"/>
  <c r="C8" i="5" s="1"/>
  <c r="F8" i="5" s="1"/>
  <c r="B16" i="5"/>
  <c r="E37" i="1"/>
  <c r="G37" i="1" s="1"/>
  <c r="G38" i="1" s="1"/>
  <c r="B48" i="5"/>
  <c r="B54" i="5" s="1"/>
  <c r="G54" i="5" s="1"/>
  <c r="B36" i="5"/>
  <c r="B42" i="5" s="1"/>
  <c r="D16" i="5"/>
  <c r="B35" i="4"/>
  <c r="D35" i="4" s="1"/>
  <c r="B36" i="4"/>
  <c r="D36" i="4" s="1"/>
  <c r="B37" i="4"/>
  <c r="D37" i="4" s="1"/>
  <c r="B34" i="4"/>
  <c r="D34" i="4" s="1"/>
  <c r="E20" i="1"/>
  <c r="F20" i="1" s="1"/>
  <c r="E21" i="1"/>
  <c r="F21" i="1" s="1"/>
  <c r="E22" i="1"/>
  <c r="F22" i="1" s="1"/>
  <c r="E23" i="1"/>
  <c r="F23" i="1" s="1"/>
  <c r="E19" i="1"/>
  <c r="F19" i="1" s="1"/>
  <c r="M50" i="4"/>
  <c r="M51" i="4"/>
  <c r="M52" i="4"/>
  <c r="M53" i="4"/>
  <c r="M49" i="4"/>
  <c r="B15" i="4"/>
  <c r="D14" i="4"/>
  <c r="D13" i="4"/>
  <c r="D15" i="4" s="1"/>
  <c r="B8" i="4"/>
  <c r="D7" i="4"/>
  <c r="D6" i="4"/>
  <c r="D5" i="4"/>
  <c r="K8" i="5" l="1"/>
  <c r="J8" i="5" s="1"/>
  <c r="H38" i="1"/>
  <c r="G39" i="1"/>
  <c r="G40" i="1" s="1"/>
  <c r="E52" i="1"/>
  <c r="H37" i="1"/>
  <c r="D36" i="5"/>
  <c r="D42" i="5" s="1"/>
  <c r="C42" i="5" s="1"/>
  <c r="F42" i="5" s="1"/>
  <c r="D48" i="5"/>
  <c r="D54" i="5" s="1"/>
  <c r="C54" i="5" s="1"/>
  <c r="F54" i="5" s="1"/>
  <c r="D62" i="5" s="1"/>
  <c r="C16" i="5"/>
  <c r="F16" i="5" s="1"/>
  <c r="B16" i="4"/>
  <c r="B33" i="4" s="1"/>
  <c r="D8" i="4"/>
  <c r="D16" i="4" s="1"/>
  <c r="H39" i="1" l="1"/>
  <c r="G41" i="1"/>
  <c r="H40" i="1"/>
  <c r="C52" i="1"/>
  <c r="C8" i="4"/>
  <c r="F8" i="4" s="1"/>
  <c r="C16" i="4"/>
  <c r="F16" i="4" s="1"/>
  <c r="D33" i="4"/>
  <c r="G42" i="1" l="1"/>
  <c r="H41" i="1"/>
  <c r="E45" i="1"/>
  <c r="E46" i="1"/>
  <c r="E47" i="1"/>
  <c r="E48" i="1"/>
  <c r="E44" i="1"/>
  <c r="G43" i="1" l="1"/>
  <c r="H43" i="1" s="1"/>
  <c r="H42" i="1"/>
  <c r="B38" i="4"/>
  <c r="G44" i="1" l="1"/>
  <c r="D38" i="4"/>
  <c r="D39" i="4" s="1"/>
  <c r="B39" i="4"/>
  <c r="G45" i="1" l="1"/>
  <c r="H44" i="1"/>
  <c r="C39" i="4"/>
  <c r="F39" i="4" s="1"/>
  <c r="H45" i="1" l="1"/>
  <c r="G46" i="1"/>
  <c r="E62" i="5"/>
  <c r="G47" i="1" l="1"/>
  <c r="H46" i="1"/>
  <c r="G48" i="1" l="1"/>
  <c r="H48" i="1" s="1"/>
  <c r="D52" i="1" s="1"/>
  <c r="H47" i="1"/>
  <c r="F52" i="1" s="1"/>
</calcChain>
</file>

<file path=xl/sharedStrings.xml><?xml version="1.0" encoding="utf-8"?>
<sst xmlns="http://schemas.openxmlformats.org/spreadsheetml/2006/main" count="153" uniqueCount="80">
  <si>
    <t>Version 2 du 28/03/2022</t>
  </si>
  <si>
    <t>P68 Observer - Centrage</t>
  </si>
  <si>
    <t>limites du domaine de centrage</t>
  </si>
  <si>
    <t>Unités</t>
  </si>
  <si>
    <t>M</t>
  </si>
  <si>
    <t>Arm</t>
  </si>
  <si>
    <t>Moment</t>
  </si>
  <si>
    <t>Mcumulé</t>
  </si>
  <si>
    <t>MomCumulé</t>
  </si>
  <si>
    <t>C cumulé</t>
  </si>
  <si>
    <t>Basic aircraft</t>
  </si>
  <si>
    <t>Sièges 3-4 (nbre)</t>
  </si>
  <si>
    <t>Sièges 5-6 (nbre)</t>
  </si>
  <si>
    <t>rails</t>
  </si>
  <si>
    <t>support de lest</t>
  </si>
  <si>
    <t>Lest (kg)</t>
  </si>
  <si>
    <t>baie de mesure (+19mm)</t>
  </si>
  <si>
    <t xml:space="preserve">Baie d'expérimentation </t>
  </si>
  <si>
    <t>Pilote +Copil (kg)</t>
  </si>
  <si>
    <t>Passagers Sièges 3-4 (kg)</t>
  </si>
  <si>
    <t>clarifier le bras de levier (.146 ou .186)</t>
  </si>
  <si>
    <t>Passagers Sièges 5-6 (kg)</t>
  </si>
  <si>
    <t>Bagages (kg)</t>
  </si>
  <si>
    <t>Fuel (l)</t>
  </si>
  <si>
    <t>TOW</t>
  </si>
  <si>
    <t>TO CG</t>
  </si>
  <si>
    <t>ZFW</t>
  </si>
  <si>
    <t>ZF CG</t>
  </si>
  <si>
    <t>Basic Aircraft :  avions vide + 6 sièges + lot de bord + inconsommables</t>
  </si>
  <si>
    <t>Lot de bord : sacoche avion, escabeau, fourche, sandows arrimage</t>
  </si>
  <si>
    <t>Type vol</t>
  </si>
  <si>
    <t>POB</t>
  </si>
  <si>
    <t>Sieges occupés</t>
  </si>
  <si>
    <t>Baie mesure</t>
  </si>
  <si>
    <t>Baie expe</t>
  </si>
  <si>
    <t>Lest (Kg)</t>
  </si>
  <si>
    <t>FH</t>
  </si>
  <si>
    <t>4 (320 Kg)</t>
  </si>
  <si>
    <t>1-2-4-5</t>
  </si>
  <si>
    <t>oui</t>
  </si>
  <si>
    <t>TP standard</t>
  </si>
  <si>
    <t>4 (350Kg)</t>
  </si>
  <si>
    <t>non</t>
  </si>
  <si>
    <t>Centrage arrière TM</t>
  </si>
  <si>
    <t>1(80Kg)</t>
  </si>
  <si>
    <t>Centrage arrière isae</t>
  </si>
  <si>
    <t>2(160Kg)</t>
  </si>
  <si>
    <t>1-5</t>
  </si>
  <si>
    <t>Centrage arrière isae bis</t>
  </si>
  <si>
    <t>1-2</t>
  </si>
  <si>
    <t>Centrage arrière TP</t>
  </si>
  <si>
    <t>1-3-5-6</t>
  </si>
  <si>
    <t>Fiche de pesée</t>
  </si>
  <si>
    <t>Configuration 1</t>
  </si>
  <si>
    <t>masse ajoutée</t>
  </si>
  <si>
    <t>N</t>
  </si>
  <si>
    <t>L</t>
  </si>
  <si>
    <t>R</t>
  </si>
  <si>
    <t>C%</t>
  </si>
  <si>
    <t>Delta</t>
  </si>
  <si>
    <t>Avec inconsommables</t>
  </si>
  <si>
    <t>Std fuel</t>
  </si>
  <si>
    <t>LR fuel</t>
  </si>
  <si>
    <t>Total</t>
  </si>
  <si>
    <t>rails + support de lest</t>
  </si>
  <si>
    <t>CF 1 -&gt; CF3</t>
  </si>
  <si>
    <t>100 kg de lest</t>
  </si>
  <si>
    <t>Bae d'expérimentation</t>
  </si>
  <si>
    <t>Centrage vol d'évaluation</t>
  </si>
  <si>
    <t>Pilote +Copil</t>
  </si>
  <si>
    <t>Sièges 3-4</t>
  </si>
  <si>
    <t>Sièges 5-6</t>
  </si>
  <si>
    <t>Bagages</t>
  </si>
  <si>
    <t>Fuel</t>
  </si>
  <si>
    <t>Centrage</t>
  </si>
  <si>
    <t>Diag centrage</t>
  </si>
  <si>
    <t>1890 max</t>
  </si>
  <si>
    <t>Obs</t>
  </si>
  <si>
    <t>P68C</t>
  </si>
  <si>
    <t>P68 C - Centrage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</si>
</sst>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&quot; kg&quot;"/>
    <numFmt numFmtId="167" formatCode="0&quot; l&quot;"/>
    <numFmt numFmtId="168" formatCode="0&quot; U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5" xfId="0" applyFont="1" applyFill="1" applyBorder="1"/>
    <xf numFmtId="165" fontId="2" fillId="2" borderId="6" xfId="1" applyNumberFormat="1" applyFont="1" applyFill="1" applyBorder="1"/>
    <xf numFmtId="0" fontId="2" fillId="2" borderId="6" xfId="0" applyFont="1" applyFill="1" applyBorder="1"/>
    <xf numFmtId="165" fontId="2" fillId="2" borderId="7" xfId="1" applyNumberFormat="1" applyFont="1" applyFill="1" applyBorder="1"/>
    <xf numFmtId="0" fontId="0" fillId="2" borderId="1" xfId="0" applyFill="1" applyBorder="1"/>
    <xf numFmtId="164" fontId="0" fillId="2" borderId="9" xfId="1" applyNumberFormat="1" applyFont="1" applyFill="1" applyBorder="1"/>
    <xf numFmtId="0" fontId="0" fillId="2" borderId="6" xfId="0" applyFill="1" applyBorder="1"/>
    <xf numFmtId="164" fontId="0" fillId="2" borderId="7" xfId="1" applyNumberFormat="1" applyFont="1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0" fillId="2" borderId="3" xfId="0" applyFill="1" applyBorder="1"/>
    <xf numFmtId="164" fontId="0" fillId="2" borderId="4" xfId="1" applyNumberFormat="1" applyFont="1" applyFill="1" applyBorder="1"/>
    <xf numFmtId="0" fontId="0" fillId="0" borderId="2" xfId="0" applyBorder="1" applyProtection="1">
      <protection locked="0"/>
    </xf>
    <xf numFmtId="166" fontId="0" fillId="0" borderId="8" xfId="0" applyNumberFormat="1" applyBorder="1" applyProtection="1">
      <protection locked="0"/>
    </xf>
    <xf numFmtId="168" fontId="0" fillId="0" borderId="8" xfId="0" applyNumberFormat="1" applyBorder="1" applyProtection="1">
      <protection locked="0"/>
    </xf>
    <xf numFmtId="0" fontId="5" fillId="2" borderId="6" xfId="0" applyFont="1" applyFill="1" applyBorder="1"/>
    <xf numFmtId="165" fontId="5" fillId="2" borderId="6" xfId="1" applyNumberFormat="1" applyFont="1" applyFill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/>
    <xf numFmtId="165" fontId="2" fillId="2" borderId="1" xfId="1" applyNumberFormat="1" applyFont="1" applyFill="1" applyBorder="1"/>
    <xf numFmtId="0" fontId="5" fillId="2" borderId="1" xfId="0" applyFont="1" applyFill="1" applyBorder="1"/>
    <xf numFmtId="165" fontId="5" fillId="2" borderId="1" xfId="1" applyNumberFormat="1" applyFont="1" applyFill="1" applyBorder="1"/>
    <xf numFmtId="0" fontId="2" fillId="0" borderId="14" xfId="0" applyFont="1" applyBorder="1"/>
    <xf numFmtId="0" fontId="2" fillId="2" borderId="2" xfId="0" applyFont="1" applyFill="1" applyBorder="1"/>
    <xf numFmtId="165" fontId="2" fillId="2" borderId="3" xfId="1" applyNumberFormat="1" applyFont="1" applyFill="1" applyBorder="1"/>
    <xf numFmtId="0" fontId="5" fillId="2" borderId="3" xfId="0" applyFont="1" applyFill="1" applyBorder="1"/>
    <xf numFmtId="165" fontId="2" fillId="2" borderId="4" xfId="1" applyNumberFormat="1" applyFont="1" applyFill="1" applyBorder="1"/>
    <xf numFmtId="0" fontId="2" fillId="2" borderId="8" xfId="0" applyFont="1" applyFill="1" applyBorder="1"/>
    <xf numFmtId="165" fontId="2" fillId="2" borderId="9" xfId="1" applyNumberFormat="1" applyFont="1" applyFill="1" applyBorder="1"/>
    <xf numFmtId="165" fontId="4" fillId="2" borderId="9" xfId="1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2" borderId="3" xfId="0" applyNumberFormat="1" applyFill="1" applyBorder="1"/>
    <xf numFmtId="164" fontId="0" fillId="2" borderId="1" xfId="0" applyNumberFormat="1" applyFill="1" applyBorder="1"/>
    <xf numFmtId="164" fontId="0" fillId="2" borderId="6" xfId="0" applyNumberFormat="1" applyFill="1" applyBorder="1"/>
    <xf numFmtId="167" fontId="0" fillId="0" borderId="5" xfId="0" applyNumberFormat="1" applyBorder="1" applyProtection="1">
      <protection locked="0"/>
    </xf>
    <xf numFmtId="0" fontId="0" fillId="0" borderId="18" xfId="0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P68 Observer 2</a:t>
            </a:r>
          </a:p>
        </c:rich>
      </c:tx>
      <c:layout>
        <c:manualLayout>
          <c:xMode val="edge"/>
          <c:yMode val="edge"/>
          <c:x val="0.48139280064131429"/>
          <c:y val="3.844221257635471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'P68 Observer'!$E$19:$E$23</c:f>
              <c:numCache>
                <c:formatCode>0.000</c:formatCode>
                <c:ptCount val="5"/>
                <c:pt idx="0">
                  <c:v>0.26</c:v>
                </c:pt>
                <c:pt idx="1">
                  <c:v>0.26</c:v>
                </c:pt>
                <c:pt idx="2">
                  <c:v>0.34836852207293667</c:v>
                </c:pt>
                <c:pt idx="3">
                  <c:v>0.48080614203454897</c:v>
                </c:pt>
                <c:pt idx="4">
                  <c:v>0.48099999999999998</c:v>
                </c:pt>
              </c:numCache>
            </c:numRef>
          </c:xVal>
          <c:yVal>
            <c:numRef>
              <c:f>'P68 Observer'!$D$19:$D$23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D-CC4E-B83C-5090497229FC}"/>
            </c:ext>
          </c:extLst>
        </c:ser>
        <c:ser>
          <c:idx val="1"/>
          <c:order val="1"/>
          <c:xVal>
            <c:numRef>
              <c:f>'P68 Observer'!$H$48</c:f>
              <c:numCache>
                <c:formatCode>0.000</c:formatCode>
                <c:ptCount val="1"/>
                <c:pt idx="0">
                  <c:v>0.395099506101104</c:v>
                </c:pt>
              </c:numCache>
            </c:numRef>
          </c:xVal>
          <c:yVal>
            <c:numRef>
              <c:f>'P68 Observer'!$F$48</c:f>
              <c:numCache>
                <c:formatCode>General</c:formatCode>
                <c:ptCount val="1"/>
                <c:pt idx="0">
                  <c:v>2065.1999999999998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D-CC4E-B83C-5090497229FC}"/>
            </c:ext>
          </c:extLst>
        </c:ser>
        <c:ser>
          <c:idx val="2"/>
          <c:order val="2"/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'P68 Observer'!$H$36:$H$48</c:f>
              <c:numCache>
                <c:formatCode>0.000</c:formatCode>
                <c:ptCount val="13"/>
                <c:pt idx="0">
                  <c:v>0.44858126259234377</c:v>
                </c:pt>
                <c:pt idx="1">
                  <c:v>0.45260141987829611</c:v>
                </c:pt>
                <c:pt idx="2">
                  <c:v>0.45260141987829611</c:v>
                </c:pt>
                <c:pt idx="3">
                  <c:v>0.45386134936178829</c:v>
                </c:pt>
                <c:pt idx="4">
                  <c:v>0.45386134936178829</c:v>
                </c:pt>
                <c:pt idx="5">
                  <c:v>0.45386134936178829</c:v>
                </c:pt>
                <c:pt idx="6">
                  <c:v>0.48586497204524765</c:v>
                </c:pt>
                <c:pt idx="7">
                  <c:v>0.48586497204524765</c:v>
                </c:pt>
                <c:pt idx="8">
                  <c:v>0.35058149805676597</c:v>
                </c:pt>
                <c:pt idx="9">
                  <c:v>0.32846629403794037</c:v>
                </c:pt>
                <c:pt idx="10">
                  <c:v>0.3513084036340039</c:v>
                </c:pt>
                <c:pt idx="11">
                  <c:v>0.3513084036340039</c:v>
                </c:pt>
                <c:pt idx="12">
                  <c:v>0.395099506101104</c:v>
                </c:pt>
              </c:numCache>
            </c:numRef>
          </c:xVal>
          <c:yVal>
            <c:numRef>
              <c:f>'P68 Observer'!$F$36:$F$48</c:f>
              <c:numCache>
                <c:formatCode>General</c:formatCode>
                <c:ptCount val="13"/>
                <c:pt idx="0">
                  <c:v>1489</c:v>
                </c:pt>
                <c:pt idx="1">
                  <c:v>1479</c:v>
                </c:pt>
                <c:pt idx="2">
                  <c:v>1479</c:v>
                </c:pt>
                <c:pt idx="3">
                  <c:v>1480.7</c:v>
                </c:pt>
                <c:pt idx="4">
                  <c:v>1480.7</c:v>
                </c:pt>
                <c:pt idx="5">
                  <c:v>1480.7</c:v>
                </c:pt>
                <c:pt idx="6">
                  <c:v>1538.2</c:v>
                </c:pt>
                <c:pt idx="7">
                  <c:v>1538.2</c:v>
                </c:pt>
                <c:pt idx="8">
                  <c:v>1698.2</c:v>
                </c:pt>
                <c:pt idx="9">
                  <c:v>1771.2</c:v>
                </c:pt>
                <c:pt idx="10">
                  <c:v>1849.2</c:v>
                </c:pt>
                <c:pt idx="11">
                  <c:v>1849.2</c:v>
                </c:pt>
                <c:pt idx="12">
                  <c:v>2065.1999999999998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1D-CC4E-B83C-5090497229FC}"/>
            </c:ext>
          </c:extLst>
        </c:ser>
        <c:ser>
          <c:idx val="3"/>
          <c:order val="3"/>
          <c:tx>
            <c:v>MZFW</c:v>
          </c:tx>
          <c:xVal>
            <c:numRef>
              <c:f>'P68 Observer'!$E$24:$E$25</c:f>
              <c:numCache>
                <c:formatCode>0.000</c:formatCode>
                <c:ptCount val="2"/>
                <c:pt idx="0">
                  <c:v>0.30687830687830686</c:v>
                </c:pt>
                <c:pt idx="1">
                  <c:v>0.50264550264550267</c:v>
                </c:pt>
              </c:numCache>
            </c:numRef>
          </c:xVal>
          <c:yVal>
            <c:numRef>
              <c:f>'P68 Observer'!$D$24:$D$25</c:f>
              <c:numCache>
                <c:formatCode>General</c:formatCode>
                <c:ptCount val="2"/>
                <c:pt idx="0">
                  <c:v>1890</c:v>
                </c:pt>
                <c:pt idx="1">
                  <c:v>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1D-CC4E-B83C-50904972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49056"/>
        <c:axId val="257550976"/>
      </c:scatterChart>
      <c:valAx>
        <c:axId val="257549056"/>
        <c:scaling>
          <c:orientation val="minMax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Position du Centre de gravité (m)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7550976"/>
        <c:crosses val="autoZero"/>
        <c:crossBetween val="midCat"/>
      </c:valAx>
      <c:valAx>
        <c:axId val="257550976"/>
        <c:scaling>
          <c:orientation val="minMax"/>
          <c:max val="2200"/>
          <c:min val="1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Masse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5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'Analyse Pesées'!$J$64:$J$68</c:f>
              <c:numCache>
                <c:formatCode>General</c:formatCode>
                <c:ptCount val="5"/>
                <c:pt idx="0">
                  <c:v>260</c:v>
                </c:pt>
                <c:pt idx="1">
                  <c:v>416</c:v>
                </c:pt>
                <c:pt idx="2">
                  <c:v>726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'Analyse Pesées'!$K$64:$K$68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B-8342-9D12-EFE98C6DCC22}"/>
            </c:ext>
          </c:extLst>
        </c:ser>
        <c:ser>
          <c:idx val="1"/>
          <c:order val="1"/>
          <c:tx>
            <c:v>Centrage</c:v>
          </c:tx>
          <c:xVal>
            <c:numRef>
              <c:f>'Analyse Pesées'!$D$54</c:f>
              <c:numCache>
                <c:formatCode>General</c:formatCode>
                <c:ptCount val="1"/>
                <c:pt idx="0">
                  <c:v>844.08899999999983</c:v>
                </c:pt>
              </c:numCache>
            </c:numRef>
          </c:xVal>
          <c:yVal>
            <c:numRef>
              <c:f>'Analyse Pesées'!$B$54</c:f>
              <c:numCache>
                <c:formatCode>General</c:formatCode>
                <c:ptCount val="1"/>
                <c:pt idx="0">
                  <c:v>2179.4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B-8342-9D12-EFE98C6D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1696"/>
        <c:axId val="257903232"/>
      </c:scatterChart>
      <c:valAx>
        <c:axId val="2579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903232"/>
        <c:crosses val="autoZero"/>
        <c:crossBetween val="midCat"/>
      </c:valAx>
      <c:valAx>
        <c:axId val="257903232"/>
        <c:scaling>
          <c:orientation val="minMax"/>
          <c:max val="22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0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'Analyse Pesées'!$J$64:$J$68</c:f>
              <c:numCache>
                <c:formatCode>General</c:formatCode>
                <c:ptCount val="5"/>
                <c:pt idx="0">
                  <c:v>260</c:v>
                </c:pt>
                <c:pt idx="1">
                  <c:v>416</c:v>
                </c:pt>
                <c:pt idx="2">
                  <c:v>726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'Analyse Pesées'!$K$64:$K$68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3-E94F-A86B-68E7FD452B2A}"/>
            </c:ext>
          </c:extLst>
        </c:ser>
        <c:ser>
          <c:idx val="1"/>
          <c:order val="1"/>
          <c:xVal>
            <c:numRef>
              <c:f>'Analyse Pesées'!$D$42</c:f>
              <c:numCache>
                <c:formatCode>General</c:formatCode>
                <c:ptCount val="1"/>
                <c:pt idx="0">
                  <c:v>737.32099999999991</c:v>
                </c:pt>
              </c:numCache>
            </c:numRef>
          </c:xVal>
          <c:yVal>
            <c:numRef>
              <c:f>'Analyse Pesées'!$B$42</c:f>
              <c:numCache>
                <c:formatCode>General</c:formatCode>
                <c:ptCount val="1"/>
                <c:pt idx="0">
                  <c:v>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3-E94F-A86B-68E7FD45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40864"/>
        <c:axId val="257942656"/>
      </c:scatterChart>
      <c:valAx>
        <c:axId val="257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942656"/>
        <c:crosses val="autoZero"/>
        <c:crossBetween val="midCat"/>
      </c:valAx>
      <c:valAx>
        <c:axId val="257942656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4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'Analyse Pesées'!$L$64:$L$68</c:f>
              <c:numCache>
                <c:formatCode>0.000</c:formatCode>
                <c:ptCount val="5"/>
                <c:pt idx="0">
                  <c:v>0.26</c:v>
                </c:pt>
                <c:pt idx="1">
                  <c:v>0.26</c:v>
                </c:pt>
                <c:pt idx="2">
                  <c:v>0.34836852207293667</c:v>
                </c:pt>
                <c:pt idx="3">
                  <c:v>0.48080614203454897</c:v>
                </c:pt>
                <c:pt idx="4">
                  <c:v>0.48099999999999998</c:v>
                </c:pt>
              </c:numCache>
            </c:numRef>
          </c:xVal>
          <c:yVal>
            <c:numRef>
              <c:f>'Analyse Pesées'!$K$64:$K$68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B349-882F-AADD814A6766}"/>
            </c:ext>
          </c:extLst>
        </c:ser>
        <c:ser>
          <c:idx val="1"/>
          <c:order val="1"/>
          <c:xVal>
            <c:numRef>
              <c:f>'Analyse Pesées'!$C$54</c:f>
              <c:numCache>
                <c:formatCode>0.000</c:formatCode>
                <c:ptCount val="1"/>
                <c:pt idx="0">
                  <c:v>0.38730338625309707</c:v>
                </c:pt>
              </c:numCache>
            </c:numRef>
          </c:xVal>
          <c:yVal>
            <c:numRef>
              <c:f>'Analyse Pesées'!$B$54</c:f>
              <c:numCache>
                <c:formatCode>General</c:formatCode>
                <c:ptCount val="1"/>
                <c:pt idx="0">
                  <c:v>2179.4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B349-882F-AADD814A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29440"/>
        <c:axId val="258030976"/>
      </c:scatterChart>
      <c:valAx>
        <c:axId val="258029440"/>
        <c:scaling>
          <c:orientation val="minMax"/>
          <c:min val="0.2"/>
        </c:scaling>
        <c:delete val="0"/>
        <c:axPos val="b"/>
        <c:numFmt formatCode="0.000" sourceLinked="1"/>
        <c:majorTickMark val="out"/>
        <c:minorTickMark val="none"/>
        <c:tickLblPos val="nextTo"/>
        <c:crossAx val="258030976"/>
        <c:crosses val="autoZero"/>
        <c:crossBetween val="midCat"/>
      </c:valAx>
      <c:valAx>
        <c:axId val="258030976"/>
        <c:scaling>
          <c:orientation val="minMax"/>
          <c:max val="22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2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Observer vs P68C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P68 C</c:v>
          </c:tx>
          <c:xVal>
            <c:numRef>
              <c:f>'P68 C'!$K$49:$K$53</c:f>
              <c:numCache>
                <c:formatCode>General</c:formatCode>
                <c:ptCount val="5"/>
                <c:pt idx="0">
                  <c:v>230</c:v>
                </c:pt>
                <c:pt idx="1">
                  <c:v>386</c:v>
                </c:pt>
                <c:pt idx="2">
                  <c:v>667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'P68 C'!$L$49:$L$53</c:f>
              <c:numCache>
                <c:formatCode>General</c:formatCode>
                <c:ptCount val="5"/>
                <c:pt idx="0">
                  <c:v>1000</c:v>
                </c:pt>
                <c:pt idx="1">
                  <c:v>1680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D-9F4E-BEFB-9668D75CED9E}"/>
            </c:ext>
          </c:extLst>
        </c:ser>
        <c:ser>
          <c:idx val="4"/>
          <c:order val="2"/>
          <c:tx>
            <c:v>Centrage</c:v>
          </c:tx>
          <c:dPt>
            <c:idx val="0"/>
            <c:marker>
              <c:symbol val="square"/>
              <c:size val="7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6D-9F4E-BEFB-9668D75CED9E}"/>
              </c:ext>
            </c:extLst>
          </c:dPt>
          <c:xVal>
            <c:numRef>
              <c:f>'Analyse Pesées'!$D$54</c:f>
              <c:numCache>
                <c:formatCode>General</c:formatCode>
                <c:ptCount val="1"/>
                <c:pt idx="0">
                  <c:v>844.08899999999983</c:v>
                </c:pt>
              </c:numCache>
            </c:numRef>
          </c:xVal>
          <c:yVal>
            <c:numRef>
              <c:f>'Analyse Pesées'!$B$54</c:f>
              <c:numCache>
                <c:formatCode>General</c:formatCode>
                <c:ptCount val="1"/>
                <c:pt idx="0">
                  <c:v>2179.4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D-9F4E-BEFB-9668D75CED9E}"/>
            </c:ext>
          </c:extLst>
        </c:ser>
        <c:ser>
          <c:idx val="0"/>
          <c:order val="0"/>
          <c:tx>
            <c:v>Observer</c:v>
          </c:tx>
          <c:xVal>
            <c:numRef>
              <c:f>'Analyse Pesées'!$J$64:$J$68</c:f>
              <c:numCache>
                <c:formatCode>General</c:formatCode>
                <c:ptCount val="5"/>
                <c:pt idx="0">
                  <c:v>260</c:v>
                </c:pt>
                <c:pt idx="1">
                  <c:v>416</c:v>
                </c:pt>
                <c:pt idx="2">
                  <c:v>726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'Analyse Pesées'!$K$64:$K$68</c:f>
              <c:numCache>
                <c:formatCode>General</c:formatCode>
                <c:ptCount val="5"/>
                <c:pt idx="0">
                  <c:v>1000</c:v>
                </c:pt>
                <c:pt idx="1">
                  <c:v>1600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D-9F4E-BEFB-9668D75C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58496"/>
        <c:axId val="258064768"/>
      </c:scatterChart>
      <c:valAx>
        <c:axId val="2580584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58064768"/>
        <c:crosses val="autoZero"/>
        <c:crossBetween val="midCat"/>
      </c:valAx>
      <c:valAx>
        <c:axId val="258064768"/>
        <c:scaling>
          <c:orientation val="minMax"/>
          <c:max val="2200"/>
          <c:min val="100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58058496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'P68 C'!$K$49:$K$53</c:f>
              <c:numCache>
                <c:formatCode>General</c:formatCode>
                <c:ptCount val="5"/>
                <c:pt idx="0">
                  <c:v>230</c:v>
                </c:pt>
                <c:pt idx="1">
                  <c:v>386</c:v>
                </c:pt>
                <c:pt idx="2">
                  <c:v>667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'P68 C'!$L$49:$L$53</c:f>
              <c:numCache>
                <c:formatCode>General</c:formatCode>
                <c:ptCount val="5"/>
                <c:pt idx="0">
                  <c:v>1000</c:v>
                </c:pt>
                <c:pt idx="1">
                  <c:v>1680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A34C-A9B5-84F3964DD59E}"/>
            </c:ext>
          </c:extLst>
        </c:ser>
        <c:ser>
          <c:idx val="1"/>
          <c:order val="1"/>
          <c:tx>
            <c:v>Centrage</c:v>
          </c:tx>
          <c:xVal>
            <c:numRef>
              <c:f>'P68 C'!$D$39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'P68 C'!$B$39</c:f>
              <c:numCache>
                <c:formatCode>General</c:formatCode>
                <c:ptCount val="1"/>
                <c:pt idx="0">
                  <c:v>1443.6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7-A34C-A9B5-84F3964D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37664"/>
        <c:axId val="282739456"/>
      </c:scatterChart>
      <c:valAx>
        <c:axId val="2827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739456"/>
        <c:crosses val="autoZero"/>
        <c:crossBetween val="midCat"/>
      </c:valAx>
      <c:valAx>
        <c:axId val="282739456"/>
        <c:scaling>
          <c:orientation val="minMax"/>
          <c:max val="22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3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'P68 C'!$K$49:$K$53</c:f>
              <c:numCache>
                <c:formatCode>General</c:formatCode>
                <c:ptCount val="5"/>
                <c:pt idx="0">
                  <c:v>230</c:v>
                </c:pt>
                <c:pt idx="1">
                  <c:v>386</c:v>
                </c:pt>
                <c:pt idx="2">
                  <c:v>667</c:v>
                </c:pt>
                <c:pt idx="3">
                  <c:v>1002</c:v>
                </c:pt>
                <c:pt idx="4">
                  <c:v>481</c:v>
                </c:pt>
              </c:numCache>
            </c:numRef>
          </c:xVal>
          <c:yVal>
            <c:numRef>
              <c:f>'P68 C'!$L$49:$L$53</c:f>
              <c:numCache>
                <c:formatCode>General</c:formatCode>
                <c:ptCount val="5"/>
                <c:pt idx="0">
                  <c:v>1000</c:v>
                </c:pt>
                <c:pt idx="1">
                  <c:v>1680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7-C443-9DA5-BF9AEEE3CF53}"/>
            </c:ext>
          </c:extLst>
        </c:ser>
        <c:ser>
          <c:idx val="1"/>
          <c:order val="1"/>
          <c:xVal>
            <c:numRef>
              <c:f>'P68 C'!$D$27</c:f>
              <c:numCache>
                <c:formatCode>General</c:formatCode>
                <c:ptCount val="1"/>
              </c:numCache>
            </c:numRef>
          </c:xVal>
          <c:yVal>
            <c:numRef>
              <c:f>'P68 C'!$B$27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7-C443-9DA5-BF9AEEE3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68896"/>
        <c:axId val="282770432"/>
      </c:scatterChart>
      <c:valAx>
        <c:axId val="2827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770432"/>
        <c:crosses val="autoZero"/>
        <c:crossBetween val="midCat"/>
      </c:valAx>
      <c:valAx>
        <c:axId val="282770432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6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'P68 C'!$M$49:$M$53</c:f>
              <c:numCache>
                <c:formatCode>0.000</c:formatCode>
                <c:ptCount val="5"/>
                <c:pt idx="0">
                  <c:v>0.23</c:v>
                </c:pt>
                <c:pt idx="1">
                  <c:v>0.22976190476190475</c:v>
                </c:pt>
                <c:pt idx="2">
                  <c:v>0.32005758157389635</c:v>
                </c:pt>
                <c:pt idx="3">
                  <c:v>0.48080614203454897</c:v>
                </c:pt>
                <c:pt idx="4">
                  <c:v>0.48099999999999998</c:v>
                </c:pt>
              </c:numCache>
            </c:numRef>
          </c:xVal>
          <c:yVal>
            <c:numRef>
              <c:f>'P68 C'!$L$49:$L$53</c:f>
              <c:numCache>
                <c:formatCode>General</c:formatCode>
                <c:ptCount val="5"/>
                <c:pt idx="0">
                  <c:v>1000</c:v>
                </c:pt>
                <c:pt idx="1">
                  <c:v>1680</c:v>
                </c:pt>
                <c:pt idx="2">
                  <c:v>2084</c:v>
                </c:pt>
                <c:pt idx="3">
                  <c:v>2084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A-444A-B3BC-7AF959E350A7}"/>
            </c:ext>
          </c:extLst>
        </c:ser>
        <c:ser>
          <c:idx val="1"/>
          <c:order val="1"/>
          <c:xVal>
            <c:numRef>
              <c:f>'P68 C'!$C$39</c:f>
              <c:numCache>
                <c:formatCode>0.000</c:formatCode>
                <c:ptCount val="1"/>
                <c:pt idx="0">
                  <c:v>0</c:v>
                </c:pt>
              </c:numCache>
            </c:numRef>
          </c:xVal>
          <c:yVal>
            <c:numRef>
              <c:f>'P68 C'!$B$39</c:f>
              <c:numCache>
                <c:formatCode>General</c:formatCode>
                <c:ptCount val="1"/>
                <c:pt idx="0">
                  <c:v>1443.6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A-444A-B3BC-7AF959E3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12256"/>
        <c:axId val="284513792"/>
      </c:scatterChart>
      <c:valAx>
        <c:axId val="284512256"/>
        <c:scaling>
          <c:orientation val="minMax"/>
          <c:min val="0.2"/>
        </c:scaling>
        <c:delete val="0"/>
        <c:axPos val="b"/>
        <c:numFmt formatCode="0.000" sourceLinked="1"/>
        <c:majorTickMark val="out"/>
        <c:minorTickMark val="none"/>
        <c:tickLblPos val="nextTo"/>
        <c:crossAx val="284513792"/>
        <c:crosses val="autoZero"/>
        <c:crossBetween val="midCat"/>
      </c:valAx>
      <c:valAx>
        <c:axId val="284513792"/>
        <c:scaling>
          <c:orientation val="minMax"/>
          <c:max val="22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1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295086</xdr:colOff>
      <xdr:row>1</xdr:row>
      <xdr:rowOff>164353</xdr:rowOff>
    </xdr:from>
    <xdr:to>
      <xdr:col>9</xdr:col>
      <xdr:colOff>14941</xdr:colOff>
      <xdr:row>33</xdr:row>
      <xdr:rowOff>44823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0.15138</cdr:x>
      <cdr:y>0.34171</cdr:y>
    </cdr:from>
    <cdr:to>
      <cdr:x>0.3157</cdr:x>
      <cdr:y>0.39447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9D0AF42C-5386-D440-ACAF-3E20A9DA8876}"/>
            </a:ext>
          </a:extLst>
        </cdr:cNvPr>
        <cdr:cNvSpPr txBox="1"/>
      </cdr:nvSpPr>
      <cdr:spPr>
        <a:xfrm xmlns:a="http://schemas.openxmlformats.org/drawingml/2006/main">
          <a:off x="1004796" y="2032000"/>
          <a:ext cx="1090706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rgbClr val="7030A0"/>
              </a:solidFill>
            </a:rPr>
            <a:t>MZFW 1890 kg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352425</xdr:colOff>
      <xdr:row>2</xdr:row>
      <xdr:rowOff>133350</xdr:rowOff>
    </xdr:from>
    <xdr:to>
      <xdr:col>20</xdr:col>
      <xdr:colOff>38100</xdr:colOff>
      <xdr:row>31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E12A03-CABE-BF49-965F-5A13E279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514350"/>
          <a:ext cx="5464175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</xdr:colOff>
      <xdr:row>47</xdr:row>
      <xdr:rowOff>80962</xdr:rowOff>
    </xdr:from>
    <xdr:to>
      <xdr:col>14</xdr:col>
      <xdr:colOff>19050</xdr:colOff>
      <xdr:row>61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C02F82-DB74-8944-B209-567BD42C5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0</xdr:colOff>
      <xdr:row>46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6E127A-CF0D-9C4A-B9CE-ED4BEE0A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276225</xdr:colOff>
      <xdr:row>4</xdr:row>
      <xdr:rowOff>61827</xdr:rowOff>
    </xdr:from>
    <xdr:to>
      <xdr:col>27</xdr:col>
      <xdr:colOff>238125</xdr:colOff>
      <xdr:row>31</xdr:row>
      <xdr:rowOff>143300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60E559E-E641-EC46-B1A9-251126ABB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5225" y="823827"/>
          <a:ext cx="5740400" cy="522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638735</xdr:colOff>
      <xdr:row>47</xdr:row>
      <xdr:rowOff>0</xdr:rowOff>
    </xdr:from>
    <xdr:to>
      <xdr:col>21</xdr:col>
      <xdr:colOff>0</xdr:colOff>
      <xdr:row>62</xdr:row>
      <xdr:rowOff>44824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46C86D-EFEC-714E-867D-8C5388F5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22412</xdr:colOff>
      <xdr:row>63</xdr:row>
      <xdr:rowOff>89647</xdr:rowOff>
    </xdr:from>
    <xdr:to>
      <xdr:col>7</xdr:col>
      <xdr:colOff>212911</xdr:colOff>
      <xdr:row>85</xdr:row>
      <xdr:rowOff>132229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447D124-5566-E642-BF8B-CB3FB6F11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32</xdr:row>
      <xdr:rowOff>80962</xdr:rowOff>
    </xdr:from>
    <xdr:to>
      <xdr:col>14</xdr:col>
      <xdr:colOff>19050</xdr:colOff>
      <xdr:row>46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21</xdr:col>
      <xdr:colOff>0</xdr:colOff>
      <xdr:row>46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390524</xdr:colOff>
      <xdr:row>4</xdr:row>
      <xdr:rowOff>188190</xdr:rowOff>
    </xdr:from>
    <xdr:to>
      <xdr:col>21</xdr:col>
      <xdr:colOff>361949</xdr:colOff>
      <xdr:row>31</xdr:row>
      <xdr:rowOff>66675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4" y="950190"/>
          <a:ext cx="5305425" cy="5021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627529</xdr:colOff>
      <xdr:row>31</xdr:row>
      <xdr:rowOff>69165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1971" y="190500"/>
          <a:ext cx="5199529" cy="578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0"/>
  <sheetViews>
    <sheetView tabSelected="1" zoomScale="85" zoomScaleNormal="85" workbookViewId="0">
      <selection activeCell="E37" sqref="E37"/>
    </sheetView>
  </sheetViews>
  <sheetFormatPr defaultColWidth="11.42578125" defaultRowHeight="15"/>
  <cols>
    <col min="1" max="1" width="40.7109375" customWidth="1"/>
    <col min="3" max="3" width="12.42578125" bestFit="1" customWidth="1"/>
  </cols>
  <sheetData>
    <row r="1" spans="1:11" ht="21">
      <c r="A1" t="s">
        <v>0</v>
      </c>
      <c r="C1" s="69" t="s">
        <v>1</v>
      </c>
      <c r="D1" s="69"/>
      <c r="E1" s="69"/>
      <c r="F1" s="69"/>
    </row>
    <row r="7" spans="1:11">
      <c r="F7" s="1"/>
    </row>
    <row r="8" spans="1:11">
      <c r="B8" s="1"/>
      <c r="C8" s="2"/>
      <c r="D8" s="1"/>
      <c r="F8" s="3"/>
      <c r="H8" s="6"/>
      <c r="I8" s="6"/>
      <c r="J8" s="6"/>
      <c r="K8" s="1"/>
    </row>
    <row r="9" spans="1:11">
      <c r="F9" s="1"/>
    </row>
    <row r="10" spans="1:11">
      <c r="F10" s="1"/>
    </row>
    <row r="11" spans="1:11">
      <c r="F11" s="1"/>
    </row>
    <row r="12" spans="1:11">
      <c r="F12" s="1"/>
    </row>
    <row r="13" spans="1:11">
      <c r="F13" s="1"/>
    </row>
    <row r="14" spans="1:11">
      <c r="F14" s="1"/>
    </row>
    <row r="15" spans="1:11">
      <c r="F15" s="1"/>
    </row>
    <row r="16" spans="1:11">
      <c r="B16" s="1"/>
      <c r="C16" s="2"/>
      <c r="D16" s="1"/>
      <c r="F16" s="3"/>
    </row>
    <row r="18" spans="3:6">
      <c r="C18" t="s">
        <v>2</v>
      </c>
    </row>
    <row r="19" spans="3:6">
      <c r="C19">
        <v>260</v>
      </c>
      <c r="D19">
        <v>1000</v>
      </c>
      <c r="E19" s="4">
        <f>C19/D19</f>
        <v>0.26</v>
      </c>
      <c r="F19" s="7">
        <f>E19/1.55</f>
        <v>0.16774193548387098</v>
      </c>
    </row>
    <row r="20" spans="3:6">
      <c r="C20">
        <v>416</v>
      </c>
      <c r="D20">
        <v>1600</v>
      </c>
      <c r="E20" s="4">
        <f t="shared" ref="E20:E25" si="0">C20/D20</f>
        <v>0.26</v>
      </c>
      <c r="F20" s="7">
        <f t="shared" ref="F20:F25" si="1">E20/1.55</f>
        <v>0.16774193548387098</v>
      </c>
    </row>
    <row r="21" spans="3:6">
      <c r="C21">
        <v>726</v>
      </c>
      <c r="D21">
        <v>2084</v>
      </c>
      <c r="E21" s="4">
        <f t="shared" si="0"/>
        <v>0.34836852207293667</v>
      </c>
      <c r="F21" s="7">
        <f t="shared" si="1"/>
        <v>0.22475388520834624</v>
      </c>
    </row>
    <row r="22" spans="3:6">
      <c r="C22">
        <v>1002</v>
      </c>
      <c r="D22">
        <v>2084</v>
      </c>
      <c r="E22" s="4">
        <f t="shared" si="0"/>
        <v>0.48080614203454897</v>
      </c>
      <c r="F22" s="7">
        <f t="shared" si="1"/>
        <v>0.31019751099003157</v>
      </c>
    </row>
    <row r="23" spans="3:6">
      <c r="C23">
        <v>481</v>
      </c>
      <c r="D23">
        <v>1000</v>
      </c>
      <c r="E23" s="4">
        <f t="shared" si="0"/>
        <v>0.48099999999999998</v>
      </c>
      <c r="F23" s="7">
        <f t="shared" si="1"/>
        <v>0.31032258064516127</v>
      </c>
    </row>
    <row r="24" spans="3:6">
      <c r="C24">
        <v>580</v>
      </c>
      <c r="D24">
        <v>1890</v>
      </c>
      <c r="E24" s="4">
        <f t="shared" si="0"/>
        <v>0.30687830687830686</v>
      </c>
      <c r="F24" s="7">
        <f t="shared" si="1"/>
        <v>0.19798600443761732</v>
      </c>
    </row>
    <row r="25" spans="3:6">
      <c r="C25">
        <v>950</v>
      </c>
      <c r="D25">
        <v>1890</v>
      </c>
      <c r="E25" s="4">
        <f t="shared" si="0"/>
        <v>0.50264550264550267</v>
      </c>
      <c r="F25" s="7">
        <f t="shared" si="1"/>
        <v>0.32428742106161462</v>
      </c>
    </row>
    <row r="34" spans="1:10" ht="15.75" thickBot="1"/>
    <row r="35" spans="1:10" ht="15.75" thickBot="1">
      <c r="A35" s="64"/>
      <c r="B35" s="65" t="s">
        <v>3</v>
      </c>
      <c r="C35" s="66" t="s">
        <v>4</v>
      </c>
      <c r="D35" s="66" t="s">
        <v>5</v>
      </c>
      <c r="E35" s="66" t="s">
        <v>6</v>
      </c>
      <c r="F35" s="66" t="s">
        <v>7</v>
      </c>
      <c r="G35" s="66" t="s">
        <v>8</v>
      </c>
      <c r="H35" s="67" t="s">
        <v>9</v>
      </c>
    </row>
    <row r="36" spans="1:10">
      <c r="A36" s="19" t="s">
        <v>10</v>
      </c>
      <c r="B36" s="25"/>
      <c r="C36" s="23">
        <v>1489</v>
      </c>
      <c r="D36" s="23">
        <v>0.44858126259234377</v>
      </c>
      <c r="E36" s="60">
        <v>667.93749999999989</v>
      </c>
      <c r="F36" s="23">
        <f>C36</f>
        <v>1489</v>
      </c>
      <c r="G36" s="60">
        <f>E36</f>
        <v>667.93749999999989</v>
      </c>
      <c r="H36" s="24">
        <f>G36/F36</f>
        <v>0.44858126259234377</v>
      </c>
    </row>
    <row r="37" spans="1:10">
      <c r="A37" s="19" t="s">
        <v>11</v>
      </c>
      <c r="B37" s="27">
        <v>1</v>
      </c>
      <c r="C37" s="15">
        <f>(B37-2)*10</f>
        <v>-10</v>
      </c>
      <c r="D37" s="15">
        <v>-0.14599999999999999</v>
      </c>
      <c r="E37" s="15">
        <f>C37*D37</f>
        <v>1.46</v>
      </c>
      <c r="F37" s="15">
        <f t="shared" ref="F37:F48" si="2">C37+F36</f>
        <v>1479</v>
      </c>
      <c r="G37" s="61">
        <f t="shared" ref="G37:G48" si="3">E37+G36</f>
        <v>669.39749999999992</v>
      </c>
      <c r="H37" s="16">
        <f t="shared" ref="H37:H48" si="4">G37/F37</f>
        <v>0.45260141987829611</v>
      </c>
    </row>
    <row r="38" spans="1:10">
      <c r="A38" s="19" t="s">
        <v>12</v>
      </c>
      <c r="B38" s="27">
        <v>2</v>
      </c>
      <c r="C38" s="15">
        <f>(B38-2)*10.5</f>
        <v>0</v>
      </c>
      <c r="D38" s="15">
        <v>0.87</v>
      </c>
      <c r="E38" s="15">
        <f>C38*D38</f>
        <v>0</v>
      </c>
      <c r="F38" s="15">
        <f t="shared" si="2"/>
        <v>1479</v>
      </c>
      <c r="G38" s="61">
        <f t="shared" si="3"/>
        <v>669.39749999999992</v>
      </c>
      <c r="H38" s="16">
        <f t="shared" si="4"/>
        <v>0.45260141987829611</v>
      </c>
    </row>
    <row r="39" spans="1:10">
      <c r="A39" s="19" t="s">
        <v>13</v>
      </c>
      <c r="B39" s="27">
        <v>1</v>
      </c>
      <c r="C39" s="15">
        <f>1.7*B39</f>
        <v>1.7</v>
      </c>
      <c r="D39" s="15">
        <v>1.55</v>
      </c>
      <c r="E39" s="15">
        <f>D39*C39</f>
        <v>2.6349999999999998</v>
      </c>
      <c r="F39" s="15">
        <f t="shared" si="2"/>
        <v>1480.7</v>
      </c>
      <c r="G39" s="61">
        <f t="shared" si="3"/>
        <v>672.03249999999991</v>
      </c>
      <c r="H39" s="16">
        <f t="shared" si="4"/>
        <v>0.45386134936178829</v>
      </c>
    </row>
    <row r="40" spans="1:10">
      <c r="A40" s="19" t="s">
        <v>14</v>
      </c>
      <c r="B40" s="27">
        <v>0</v>
      </c>
      <c r="C40" s="15">
        <f>3.4*B40</f>
        <v>0</v>
      </c>
      <c r="D40" s="15">
        <v>1.88</v>
      </c>
      <c r="E40" s="15">
        <f>D40*C40</f>
        <v>0</v>
      </c>
      <c r="F40" s="15">
        <f t="shared" si="2"/>
        <v>1480.7</v>
      </c>
      <c r="G40" s="61">
        <f t="shared" si="3"/>
        <v>672.03249999999991</v>
      </c>
      <c r="H40" s="16">
        <f t="shared" si="4"/>
        <v>0.45386134936178829</v>
      </c>
    </row>
    <row r="41" spans="1:10">
      <c r="A41" s="19" t="s">
        <v>15</v>
      </c>
      <c r="B41" s="26">
        <v>0</v>
      </c>
      <c r="C41" s="15">
        <f>B41</f>
        <v>0</v>
      </c>
      <c r="D41" s="15">
        <v>1.88</v>
      </c>
      <c r="E41" s="15">
        <f>C41*D41</f>
        <v>0</v>
      </c>
      <c r="F41" s="15">
        <f t="shared" si="2"/>
        <v>1480.7</v>
      </c>
      <c r="G41" s="61">
        <f t="shared" si="3"/>
        <v>672.03249999999991</v>
      </c>
      <c r="H41" s="16">
        <f t="shared" si="4"/>
        <v>0.45386134936178829</v>
      </c>
    </row>
    <row r="42" spans="1:10">
      <c r="A42" s="19" t="s">
        <v>16</v>
      </c>
      <c r="B42" s="27">
        <v>1</v>
      </c>
      <c r="C42" s="15">
        <f>B42*57.5</f>
        <v>57.5</v>
      </c>
      <c r="D42" s="15">
        <v>1.31</v>
      </c>
      <c r="E42" s="15">
        <f>C42*D42</f>
        <v>75.325000000000003</v>
      </c>
      <c r="F42" s="15">
        <f t="shared" si="2"/>
        <v>1538.2</v>
      </c>
      <c r="G42" s="61">
        <f t="shared" si="3"/>
        <v>747.35749999999996</v>
      </c>
      <c r="H42" s="16">
        <f t="shared" si="4"/>
        <v>0.48586497204524765</v>
      </c>
    </row>
    <row r="43" spans="1:10">
      <c r="A43" s="19" t="s">
        <v>17</v>
      </c>
      <c r="B43" s="27">
        <v>0</v>
      </c>
      <c r="C43" s="15">
        <f>B43*32.5</f>
        <v>0</v>
      </c>
      <c r="D43" s="15">
        <v>0.67</v>
      </c>
      <c r="E43" s="15">
        <f>C43*D43</f>
        <v>0</v>
      </c>
      <c r="F43" s="15">
        <f t="shared" si="2"/>
        <v>1538.2</v>
      </c>
      <c r="G43" s="61">
        <f t="shared" si="3"/>
        <v>747.35749999999996</v>
      </c>
      <c r="H43" s="16">
        <f t="shared" si="4"/>
        <v>0.48586497204524765</v>
      </c>
    </row>
    <row r="44" spans="1:10">
      <c r="A44" s="19" t="s">
        <v>18</v>
      </c>
      <c r="B44" s="26">
        <v>160</v>
      </c>
      <c r="C44" s="15">
        <f>B44</f>
        <v>160</v>
      </c>
      <c r="D44" s="15">
        <v>-0.95</v>
      </c>
      <c r="E44" s="15">
        <f>C44*D44</f>
        <v>-152</v>
      </c>
      <c r="F44" s="15">
        <f t="shared" si="2"/>
        <v>1698.2</v>
      </c>
      <c r="G44" s="61">
        <f t="shared" si="3"/>
        <v>595.35749999999996</v>
      </c>
      <c r="H44" s="16">
        <f t="shared" si="4"/>
        <v>0.35058149805676597</v>
      </c>
    </row>
    <row r="45" spans="1:10">
      <c r="A45" s="19" t="s">
        <v>19</v>
      </c>
      <c r="B45" s="26">
        <v>73</v>
      </c>
      <c r="C45" s="15">
        <f>B45</f>
        <v>73</v>
      </c>
      <c r="D45" s="15">
        <v>-0.186</v>
      </c>
      <c r="E45" s="15">
        <f t="shared" ref="E45:E48" si="5">C45*D45</f>
        <v>-13.577999999999999</v>
      </c>
      <c r="F45" s="15">
        <f t="shared" si="2"/>
        <v>1771.2</v>
      </c>
      <c r="G45" s="61">
        <f t="shared" si="3"/>
        <v>581.77949999999998</v>
      </c>
      <c r="H45" s="16">
        <f t="shared" si="4"/>
        <v>0.32846629403794037</v>
      </c>
      <c r="J45" t="s">
        <v>20</v>
      </c>
    </row>
    <row r="46" spans="1:10">
      <c r="A46" s="19" t="s">
        <v>21</v>
      </c>
      <c r="B46" s="26">
        <v>78</v>
      </c>
      <c r="C46" s="15">
        <f>B46</f>
        <v>78</v>
      </c>
      <c r="D46" s="15">
        <v>0.87</v>
      </c>
      <c r="E46" s="15">
        <f t="shared" si="5"/>
        <v>67.86</v>
      </c>
      <c r="F46" s="15">
        <f t="shared" si="2"/>
        <v>1849.2</v>
      </c>
      <c r="G46" s="61">
        <f t="shared" si="3"/>
        <v>649.6395</v>
      </c>
      <c r="H46" s="16">
        <f t="shared" si="4"/>
        <v>0.3513084036340039</v>
      </c>
    </row>
    <row r="47" spans="1:10">
      <c r="A47" s="19" t="s">
        <v>22</v>
      </c>
      <c r="B47" s="26">
        <v>0</v>
      </c>
      <c r="C47" s="15">
        <f>B47</f>
        <v>0</v>
      </c>
      <c r="D47" s="15">
        <v>1.542</v>
      </c>
      <c r="E47" s="15">
        <f t="shared" si="5"/>
        <v>0</v>
      </c>
      <c r="F47" s="15">
        <f t="shared" si="2"/>
        <v>1849.2</v>
      </c>
      <c r="G47" s="61">
        <f t="shared" si="3"/>
        <v>649.6395</v>
      </c>
      <c r="H47" s="16">
        <f t="shared" si="4"/>
        <v>0.3513084036340039</v>
      </c>
    </row>
    <row r="48" spans="1:10" ht="15.75" thickBot="1">
      <c r="A48" s="20" t="s">
        <v>23</v>
      </c>
      <c r="B48" s="63">
        <v>300</v>
      </c>
      <c r="C48" s="17">
        <f>B48*0.72</f>
        <v>216</v>
      </c>
      <c r="D48" s="17">
        <v>0.77</v>
      </c>
      <c r="E48" s="17">
        <f t="shared" si="5"/>
        <v>166.32</v>
      </c>
      <c r="F48" s="17">
        <f t="shared" si="2"/>
        <v>2065.1999999999998</v>
      </c>
      <c r="G48" s="62">
        <f t="shared" si="3"/>
        <v>815.95949999999993</v>
      </c>
      <c r="H48" s="18">
        <f t="shared" si="4"/>
        <v>0.395099506101104</v>
      </c>
    </row>
    <row r="49" spans="1:17">
      <c r="C49" s="1"/>
      <c r="D49" s="2"/>
      <c r="E49" s="1"/>
      <c r="G49" s="3"/>
    </row>
    <row r="50" spans="1:17" ht="15.75" thickBot="1"/>
    <row r="51" spans="1:17">
      <c r="C51" s="8" t="s">
        <v>24</v>
      </c>
      <c r="D51" s="9" t="s">
        <v>25</v>
      </c>
      <c r="E51" s="9" t="s">
        <v>26</v>
      </c>
      <c r="F51" s="10" t="s">
        <v>27</v>
      </c>
    </row>
    <row r="52" spans="1:17" ht="15.75" thickBot="1">
      <c r="C52" s="11">
        <f>F48</f>
        <v>2065.1999999999998</v>
      </c>
      <c r="D52" s="12">
        <f>H48/1.55</f>
        <v>0.25490290716200259</v>
      </c>
      <c r="E52" s="13">
        <f>F47</f>
        <v>1849.2</v>
      </c>
      <c r="F52" s="14">
        <f>H47/1.55</f>
        <v>0.22665058298967994</v>
      </c>
    </row>
    <row r="54" spans="1:17">
      <c r="P54" s="68"/>
      <c r="Q54" s="68"/>
    </row>
    <row r="55" spans="1:17">
      <c r="A55" t="s">
        <v>28</v>
      </c>
    </row>
    <row r="56" spans="1:17">
      <c r="A56" t="s">
        <v>29</v>
      </c>
    </row>
    <row r="58" spans="1:17" ht="15.75" thickBot="1"/>
    <row r="59" spans="1:17" ht="15.75" thickBot="1">
      <c r="A59" s="49" t="s">
        <v>30</v>
      </c>
      <c r="B59" s="52" t="s">
        <v>31</v>
      </c>
      <c r="C59" s="53" t="s">
        <v>32</v>
      </c>
      <c r="D59" s="53" t="s">
        <v>23</v>
      </c>
      <c r="E59" s="53" t="s">
        <v>33</v>
      </c>
      <c r="F59" s="53" t="s">
        <v>34</v>
      </c>
      <c r="G59" s="54" t="s">
        <v>35</v>
      </c>
      <c r="H59" s="41" t="s">
        <v>24</v>
      </c>
      <c r="I59" s="21" t="s">
        <v>25</v>
      </c>
      <c r="J59" s="21" t="s">
        <v>26</v>
      </c>
      <c r="K59" s="22" t="s">
        <v>27</v>
      </c>
    </row>
    <row r="60" spans="1:17">
      <c r="A60" s="50" t="s">
        <v>36</v>
      </c>
      <c r="B60" s="55" t="s">
        <v>37</v>
      </c>
      <c r="C60" s="56" t="s">
        <v>38</v>
      </c>
      <c r="D60" s="56">
        <v>200</v>
      </c>
      <c r="E60" s="56" t="s">
        <v>39</v>
      </c>
      <c r="F60" s="56" t="s">
        <v>39</v>
      </c>
      <c r="G60" s="57">
        <v>0</v>
      </c>
      <c r="H60" s="42">
        <v>2025</v>
      </c>
      <c r="I60" s="43">
        <v>0.24757037037037033</v>
      </c>
      <c r="J60" s="44">
        <v>1881</v>
      </c>
      <c r="K60" s="45">
        <v>0.2284925657251633</v>
      </c>
    </row>
    <row r="61" spans="1:17">
      <c r="A61" s="50" t="s">
        <v>40</v>
      </c>
      <c r="B61" s="58" t="s">
        <v>41</v>
      </c>
      <c r="C61" s="30" t="s">
        <v>38</v>
      </c>
      <c r="D61" s="30">
        <v>200</v>
      </c>
      <c r="E61" s="30" t="s">
        <v>39</v>
      </c>
      <c r="F61" s="31" t="s">
        <v>42</v>
      </c>
      <c r="G61" s="33">
        <v>0</v>
      </c>
      <c r="H61" s="46">
        <v>2022</v>
      </c>
      <c r="I61" s="38">
        <v>0.23178950894993772</v>
      </c>
      <c r="J61" s="39">
        <v>1878</v>
      </c>
      <c r="K61" s="47">
        <v>0.21147119447593524</v>
      </c>
    </row>
    <row r="62" spans="1:17">
      <c r="A62" s="50" t="s">
        <v>43</v>
      </c>
      <c r="B62" s="58" t="s">
        <v>44</v>
      </c>
      <c r="C62" s="30">
        <v>1</v>
      </c>
      <c r="D62" s="30">
        <v>200</v>
      </c>
      <c r="E62" s="30" t="s">
        <v>39</v>
      </c>
      <c r="F62" s="31" t="s">
        <v>39</v>
      </c>
      <c r="G62" s="33">
        <v>40</v>
      </c>
      <c r="H62" s="46">
        <v>1825</v>
      </c>
      <c r="I62" s="40">
        <v>0.30845479452054791</v>
      </c>
      <c r="J62" s="37">
        <v>1681</v>
      </c>
      <c r="K62" s="48">
        <v>0.29232273416361226</v>
      </c>
    </row>
    <row r="63" spans="1:17">
      <c r="A63" s="50" t="s">
        <v>45</v>
      </c>
      <c r="B63" s="58" t="s">
        <v>46</v>
      </c>
      <c r="C63" s="32" t="s">
        <v>47</v>
      </c>
      <c r="D63" s="30">
        <v>300</v>
      </c>
      <c r="E63" s="30" t="s">
        <v>39</v>
      </c>
      <c r="F63" s="31" t="s">
        <v>42</v>
      </c>
      <c r="G63" s="33">
        <v>0</v>
      </c>
      <c r="H63" s="46">
        <v>1937</v>
      </c>
      <c r="I63" s="40">
        <v>0.30755291688177588</v>
      </c>
      <c r="J63" s="37">
        <v>1721</v>
      </c>
      <c r="K63" s="48">
        <v>0.2838040524076399</v>
      </c>
    </row>
    <row r="64" spans="1:17">
      <c r="A64" s="50" t="s">
        <v>48</v>
      </c>
      <c r="B64" s="58" t="s">
        <v>46</v>
      </c>
      <c r="C64" s="32" t="s">
        <v>49</v>
      </c>
      <c r="D64" s="30">
        <v>300</v>
      </c>
      <c r="E64" s="30" t="s">
        <v>39</v>
      </c>
      <c r="F64" s="31" t="s">
        <v>39</v>
      </c>
      <c r="G64" s="33">
        <v>100</v>
      </c>
      <c r="H64" s="46">
        <v>2037</v>
      </c>
      <c r="I64" s="40">
        <v>0.30509176999699111</v>
      </c>
      <c r="J64" s="37">
        <v>1821</v>
      </c>
      <c r="K64" s="48">
        <v>0.28235513985580413</v>
      </c>
    </row>
    <row r="65" spans="1:11" ht="15.75" thickBot="1">
      <c r="A65" s="51" t="s">
        <v>50</v>
      </c>
      <c r="B65" s="59" t="s">
        <v>37</v>
      </c>
      <c r="C65" s="34" t="s">
        <v>51</v>
      </c>
      <c r="D65" s="34">
        <v>200</v>
      </c>
      <c r="E65" s="34" t="s">
        <v>39</v>
      </c>
      <c r="F65" s="35" t="s">
        <v>42</v>
      </c>
      <c r="G65" s="36">
        <v>30</v>
      </c>
      <c r="H65" s="11">
        <v>2032</v>
      </c>
      <c r="I65" s="29">
        <v>0.30635683896367788</v>
      </c>
      <c r="J65" s="28">
        <v>1888</v>
      </c>
      <c r="K65" s="14">
        <v>0.29183348141060683</v>
      </c>
    </row>
    <row r="69" spans="1:11">
      <c r="D69" s="1"/>
      <c r="E69" s="1"/>
    </row>
    <row r="70" spans="1:11">
      <c r="D70" s="3"/>
      <c r="E70" s="3"/>
    </row>
  </sheetData>
  <mergeCells count="2">
    <mergeCell ref="P54:Q54"/>
    <mergeCell ref="C1:F1"/>
  </mergeCells>
  <conditionalFormatting sqref="G61">
    <cfRule type="cellIs" dxfId="1" priority="1" operator="greaterThan">
      <formula>1890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zoomScale="85" zoomScaleNormal="85" workbookViewId="0">
      <selection activeCell="F16" sqref="F16"/>
    </sheetView>
  </sheetViews>
  <sheetFormatPr defaultColWidth="11.42578125" defaultRowHeight="15"/>
  <cols>
    <col min="1" max="1" width="20.85546875" bestFit="1" customWidth="1"/>
    <col min="3" max="3" width="12.42578125" bestFit="1" customWidth="1"/>
  </cols>
  <sheetData>
    <row r="1" spans="1:11">
      <c r="E1" s="68" t="s">
        <v>1</v>
      </c>
      <c r="F1" s="68"/>
    </row>
    <row r="3" spans="1:11">
      <c r="A3" t="s">
        <v>52</v>
      </c>
      <c r="B3" t="s">
        <v>53</v>
      </c>
      <c r="H3" t="s">
        <v>54</v>
      </c>
    </row>
    <row r="4" spans="1:11">
      <c r="B4" t="s">
        <v>4</v>
      </c>
      <c r="C4" t="s">
        <v>5</v>
      </c>
      <c r="D4" t="s">
        <v>6</v>
      </c>
      <c r="I4" t="s">
        <v>4</v>
      </c>
      <c r="J4" t="s">
        <v>5</v>
      </c>
      <c r="K4" t="s">
        <v>6</v>
      </c>
    </row>
    <row r="5" spans="1:11">
      <c r="A5" t="s">
        <v>55</v>
      </c>
      <c r="B5">
        <v>145</v>
      </c>
      <c r="C5">
        <v>-2.7829999999999999</v>
      </c>
      <c r="D5">
        <f>B5*C5</f>
        <v>-403.53499999999997</v>
      </c>
      <c r="H5" t="s">
        <v>55</v>
      </c>
      <c r="I5">
        <v>145</v>
      </c>
      <c r="J5">
        <v>-2.7829999999999999</v>
      </c>
      <c r="K5">
        <f>I5*J5</f>
        <v>-403.53499999999997</v>
      </c>
    </row>
    <row r="6" spans="1:11">
      <c r="A6" t="s">
        <v>56</v>
      </c>
      <c r="B6">
        <v>707</v>
      </c>
      <c r="C6">
        <v>0.81799999999999995</v>
      </c>
      <c r="D6">
        <f t="shared" ref="D6:D7" si="0">B6*C6</f>
        <v>578.32599999999991</v>
      </c>
      <c r="H6" t="s">
        <v>56</v>
      </c>
      <c r="I6">
        <v>707</v>
      </c>
      <c r="J6">
        <v>0.81799999999999995</v>
      </c>
      <c r="K6">
        <f t="shared" ref="K6:K7" si="1">I6*J6</f>
        <v>578.32599999999991</v>
      </c>
    </row>
    <row r="7" spans="1:11">
      <c r="A7" t="s">
        <v>57</v>
      </c>
      <c r="B7">
        <v>700</v>
      </c>
      <c r="C7">
        <v>0.81799999999999995</v>
      </c>
      <c r="D7">
        <f t="shared" si="0"/>
        <v>572.59999999999991</v>
      </c>
      <c r="F7" s="1" t="s">
        <v>58</v>
      </c>
      <c r="H7" t="s">
        <v>57</v>
      </c>
      <c r="I7">
        <v>700</v>
      </c>
      <c r="J7">
        <v>0.81799999999999995</v>
      </c>
      <c r="K7">
        <f t="shared" si="1"/>
        <v>572.59999999999991</v>
      </c>
    </row>
    <row r="8" spans="1:11">
      <c r="B8" s="1">
        <f>SUM(B5:B7)</f>
        <v>1552</v>
      </c>
      <c r="C8" s="2">
        <f>D8/B8</f>
        <v>0.48156636597938135</v>
      </c>
      <c r="D8" s="1">
        <f>SUM(D5:D7)</f>
        <v>747.39099999999985</v>
      </c>
      <c r="F8" s="3">
        <f>C8/1.55</f>
        <v>0.31068797805121379</v>
      </c>
      <c r="H8" s="6" t="s">
        <v>59</v>
      </c>
      <c r="I8" s="6">
        <f>I5+I6+I7-B8</f>
        <v>0</v>
      </c>
      <c r="J8" s="6" t="e">
        <f>K8/I8</f>
        <v>#DIV/0!</v>
      </c>
      <c r="K8" s="1">
        <f>SUM(K5:K7)-D8</f>
        <v>0</v>
      </c>
    </row>
    <row r="9" spans="1:11">
      <c r="F9" s="1"/>
    </row>
    <row r="10" spans="1:11">
      <c r="A10" t="s">
        <v>60</v>
      </c>
      <c r="F10" s="1"/>
    </row>
    <row r="11" spans="1:11">
      <c r="F11" s="1"/>
    </row>
    <row r="12" spans="1:11">
      <c r="F12" s="1"/>
    </row>
    <row r="13" spans="1:11">
      <c r="A13" t="s">
        <v>61</v>
      </c>
      <c r="B13">
        <v>13</v>
      </c>
      <c r="C13">
        <v>0.77</v>
      </c>
      <c r="D13">
        <f>B13*C13</f>
        <v>10.01</v>
      </c>
      <c r="F13" s="1"/>
    </row>
    <row r="14" spans="1:11">
      <c r="A14" t="s">
        <v>62</v>
      </c>
      <c r="B14">
        <v>6</v>
      </c>
      <c r="C14">
        <v>0.77</v>
      </c>
      <c r="D14">
        <f>B14*C14</f>
        <v>4.62</v>
      </c>
      <c r="F14" s="1"/>
    </row>
    <row r="15" spans="1:11">
      <c r="B15">
        <f>SUM(B13:B14)</f>
        <v>19</v>
      </c>
      <c r="D15">
        <f t="shared" ref="D15" si="2">SUM(D13:D14)</f>
        <v>14.629999999999999</v>
      </c>
      <c r="F15" s="1" t="s">
        <v>58</v>
      </c>
    </row>
    <row r="16" spans="1:11">
      <c r="A16" t="s">
        <v>63</v>
      </c>
      <c r="B16" s="1">
        <f>B8+B15</f>
        <v>1571</v>
      </c>
      <c r="C16" s="2">
        <f>D16/B16</f>
        <v>0.48505474220241873</v>
      </c>
      <c r="D16" s="1">
        <f t="shared" ref="D16" si="3">D8+D15</f>
        <v>762.02099999999984</v>
      </c>
      <c r="F16" s="3">
        <f>C16/1.55</f>
        <v>0.31293854335639915</v>
      </c>
    </row>
    <row r="18" spans="1:6">
      <c r="A18" t="s">
        <v>64</v>
      </c>
      <c r="B18">
        <v>5</v>
      </c>
      <c r="C18">
        <v>2.62</v>
      </c>
      <c r="D18">
        <f>C18*B18</f>
        <v>13.100000000000001</v>
      </c>
      <c r="F18" t="s">
        <v>65</v>
      </c>
    </row>
    <row r="19" spans="1:6">
      <c r="A19" t="s">
        <v>66</v>
      </c>
      <c r="B19">
        <v>99</v>
      </c>
      <c r="C19">
        <v>1.855</v>
      </c>
      <c r="D19">
        <f>B19*C19</f>
        <v>183.64500000000001</v>
      </c>
    </row>
    <row r="20" spans="1:6">
      <c r="A20" t="s">
        <v>16</v>
      </c>
      <c r="B20">
        <v>54</v>
      </c>
      <c r="C20">
        <v>1.2509999999999999</v>
      </c>
      <c r="D20">
        <f>B20*C20</f>
        <v>67.553999999999988</v>
      </c>
    </row>
    <row r="21" spans="1:6">
      <c r="A21" t="s">
        <v>67</v>
      </c>
      <c r="B21">
        <v>23</v>
      </c>
      <c r="C21">
        <v>0.58299999999999996</v>
      </c>
      <c r="D21">
        <f>B21*C21</f>
        <v>13.408999999999999</v>
      </c>
    </row>
    <row r="34" spans="1:17">
      <c r="A34" t="s">
        <v>68</v>
      </c>
    </row>
    <row r="35" spans="1:17">
      <c r="B35" t="s">
        <v>4</v>
      </c>
      <c r="C35" t="s">
        <v>5</v>
      </c>
      <c r="D35" t="s">
        <v>6</v>
      </c>
    </row>
    <row r="36" spans="1:17">
      <c r="A36" t="s">
        <v>10</v>
      </c>
      <c r="B36">
        <f>B16</f>
        <v>1571</v>
      </c>
      <c r="D36">
        <f>D16</f>
        <v>762.02099999999984</v>
      </c>
    </row>
    <row r="37" spans="1:17">
      <c r="A37" t="s">
        <v>69</v>
      </c>
      <c r="B37">
        <v>215</v>
      </c>
      <c r="C37">
        <v>-0.95</v>
      </c>
      <c r="D37">
        <f>B37*C37</f>
        <v>-204.25</v>
      </c>
    </row>
    <row r="38" spans="1:17">
      <c r="A38" t="s">
        <v>70</v>
      </c>
      <c r="B38">
        <v>140</v>
      </c>
      <c r="C38">
        <v>-0.186</v>
      </c>
      <c r="D38">
        <f t="shared" ref="D38:D41" si="4">B38*C38</f>
        <v>-26.04</v>
      </c>
    </row>
    <row r="39" spans="1:17">
      <c r="A39" t="s">
        <v>71</v>
      </c>
      <c r="B39">
        <v>15</v>
      </c>
      <c r="C39">
        <v>0.87</v>
      </c>
      <c r="D39">
        <f t="shared" si="4"/>
        <v>13.05</v>
      </c>
    </row>
    <row r="40" spans="1:17">
      <c r="A40" t="s">
        <v>72</v>
      </c>
      <c r="B40">
        <v>20</v>
      </c>
      <c r="C40">
        <v>1.542</v>
      </c>
      <c r="D40">
        <f t="shared" si="4"/>
        <v>30.84</v>
      </c>
    </row>
    <row r="41" spans="1:17">
      <c r="A41" t="s">
        <v>73</v>
      </c>
      <c r="B41">
        <v>210</v>
      </c>
      <c r="C41">
        <v>0.77</v>
      </c>
      <c r="D41">
        <f t="shared" si="4"/>
        <v>161.70000000000002</v>
      </c>
      <c r="F41" s="1" t="s">
        <v>58</v>
      </c>
    </row>
    <row r="42" spans="1:17">
      <c r="B42" s="1">
        <f>SUM(B36:B41)</f>
        <v>2171</v>
      </c>
      <c r="C42" s="2">
        <f>D42/B42</f>
        <v>0.33962275449101792</v>
      </c>
      <c r="D42" s="1">
        <f t="shared" ref="D42" si="5">SUM(D36:D41)</f>
        <v>737.32099999999991</v>
      </c>
      <c r="F42" s="3">
        <f>C42/1.55</f>
        <v>0.21911145451033415</v>
      </c>
    </row>
    <row r="46" spans="1:17">
      <c r="A46" t="s">
        <v>74</v>
      </c>
    </row>
    <row r="47" spans="1:17">
      <c r="B47" t="s">
        <v>4</v>
      </c>
      <c r="C47" t="s">
        <v>5</v>
      </c>
      <c r="D47" t="s">
        <v>6</v>
      </c>
      <c r="F47" t="s">
        <v>23</v>
      </c>
      <c r="P47" s="68" t="s">
        <v>75</v>
      </c>
      <c r="Q47" s="68"/>
    </row>
    <row r="48" spans="1:17">
      <c r="A48" t="s">
        <v>10</v>
      </c>
      <c r="B48">
        <f>B16</f>
        <v>1571</v>
      </c>
      <c r="D48">
        <f>D16</f>
        <v>762.02099999999984</v>
      </c>
      <c r="F48">
        <v>220</v>
      </c>
    </row>
    <row r="49" spans="1:12">
      <c r="A49" t="s">
        <v>69</v>
      </c>
      <c r="B49">
        <v>150</v>
      </c>
      <c r="C49">
        <v>-0.95</v>
      </c>
      <c r="D49">
        <f>B49*C49</f>
        <v>-142.5</v>
      </c>
    </row>
    <row r="50" spans="1:12">
      <c r="A50" t="s">
        <v>70</v>
      </c>
      <c r="B50">
        <v>150</v>
      </c>
      <c r="C50">
        <v>-0.186</v>
      </c>
      <c r="D50">
        <f t="shared" ref="D50:D53" si="6">B50*C50</f>
        <v>-27.9</v>
      </c>
    </row>
    <row r="51" spans="1:12">
      <c r="A51" t="s">
        <v>71</v>
      </c>
      <c r="B51">
        <v>150</v>
      </c>
      <c r="C51">
        <v>0.87</v>
      </c>
      <c r="D51">
        <f t="shared" si="6"/>
        <v>130.5</v>
      </c>
    </row>
    <row r="52" spans="1:12">
      <c r="A52" t="s">
        <v>72</v>
      </c>
      <c r="B52">
        <v>0</v>
      </c>
      <c r="C52">
        <v>1.542</v>
      </c>
      <c r="D52">
        <f t="shared" si="6"/>
        <v>0</v>
      </c>
    </row>
    <row r="53" spans="1:12">
      <c r="A53" t="s">
        <v>73</v>
      </c>
      <c r="B53">
        <f>F48*0.72</f>
        <v>158.4</v>
      </c>
      <c r="C53">
        <v>0.77</v>
      </c>
      <c r="D53">
        <f t="shared" si="6"/>
        <v>121.968</v>
      </c>
      <c r="F53" s="1" t="s">
        <v>58</v>
      </c>
      <c r="G53" t="s">
        <v>26</v>
      </c>
    </row>
    <row r="54" spans="1:12">
      <c r="B54" s="1">
        <f>SUM(B48:B53)</f>
        <v>2179.4</v>
      </c>
      <c r="C54" s="2">
        <f>D54/B54</f>
        <v>0.38730338625309707</v>
      </c>
      <c r="D54" s="1">
        <f t="shared" ref="D54" si="7">SUM(D48:D53)</f>
        <v>844.08899999999983</v>
      </c>
      <c r="F54" s="3">
        <f>C54/1.55</f>
        <v>0.24987315242135294</v>
      </c>
      <c r="G54" s="1">
        <f>B54-B53</f>
        <v>2021</v>
      </c>
    </row>
    <row r="55" spans="1:12">
      <c r="G55" t="s">
        <v>76</v>
      </c>
    </row>
    <row r="61" spans="1:12">
      <c r="D61" s="1" t="s">
        <v>77</v>
      </c>
      <c r="E61" s="1" t="s">
        <v>78</v>
      </c>
    </row>
    <row r="62" spans="1:12">
      <c r="D62" s="3">
        <f>F54</f>
        <v>0.24987315242135294</v>
      </c>
      <c r="E62" s="3" t="e">
        <f>'P68 C'!F39</f>
        <v>#VALUE!</v>
      </c>
    </row>
    <row r="64" spans="1:12">
      <c r="J64">
        <v>260</v>
      </c>
      <c r="K64">
        <v>1000</v>
      </c>
      <c r="L64" s="4">
        <f>J64/K64</f>
        <v>0.26</v>
      </c>
    </row>
    <row r="65" spans="10:12">
      <c r="J65">
        <v>416</v>
      </c>
      <c r="K65">
        <v>1600</v>
      </c>
      <c r="L65" s="4">
        <f t="shared" ref="L65:L68" si="8">J65/K65</f>
        <v>0.26</v>
      </c>
    </row>
    <row r="66" spans="10:12">
      <c r="J66">
        <v>726</v>
      </c>
      <c r="K66">
        <v>2084</v>
      </c>
      <c r="L66" s="4">
        <f t="shared" si="8"/>
        <v>0.34836852207293667</v>
      </c>
    </row>
    <row r="67" spans="10:12">
      <c r="J67">
        <v>1002</v>
      </c>
      <c r="K67">
        <v>2084</v>
      </c>
      <c r="L67" s="4">
        <f t="shared" si="8"/>
        <v>0.48080614203454897</v>
      </c>
    </row>
    <row r="68" spans="10:12">
      <c r="J68">
        <v>481</v>
      </c>
      <c r="K68">
        <v>1000</v>
      </c>
      <c r="L68" s="4">
        <f t="shared" si="8"/>
        <v>0.48099999999999998</v>
      </c>
    </row>
  </sheetData>
  <mergeCells count="2">
    <mergeCell ref="E1:F1"/>
    <mergeCell ref="P47:Q47"/>
  </mergeCells>
  <conditionalFormatting sqref="G54">
    <cfRule type="cellIs" dxfId="0" priority="1" operator="greaterThan">
      <formula>1890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zoomScale="85" zoomScaleNormal="85" workbookViewId="0">
      <selection activeCell="B34" sqref="B34:B38"/>
    </sheetView>
  </sheetViews>
  <sheetFormatPr defaultColWidth="11.42578125" defaultRowHeight="15"/>
  <cols>
    <col min="1" max="1" width="20.85546875" bestFit="1" customWidth="1"/>
    <col min="3" max="3" width="12.42578125" bestFit="1" customWidth="1"/>
  </cols>
  <sheetData>
    <row r="1" spans="1:6">
      <c r="E1" s="68" t="s">
        <v>79</v>
      </c>
      <c r="F1" s="68"/>
    </row>
    <row r="3" spans="1:6">
      <c r="A3" t="s">
        <v>52</v>
      </c>
    </row>
    <row r="4" spans="1:6">
      <c r="B4" t="s">
        <v>4</v>
      </c>
      <c r="C4" t="s">
        <v>5</v>
      </c>
      <c r="D4" t="s">
        <v>6</v>
      </c>
    </row>
    <row r="5" spans="1:6">
      <c r="A5" t="s">
        <v>55</v>
      </c>
      <c r="B5">
        <v>151.6</v>
      </c>
      <c r="C5">
        <v>-2.7829999999999999</v>
      </c>
      <c r="D5" s="4">
        <f>B5*C5</f>
        <v>-421.90279999999996</v>
      </c>
    </row>
    <row r="6" spans="1:6">
      <c r="A6" t="s">
        <v>56</v>
      </c>
      <c r="B6">
        <v>644</v>
      </c>
      <c r="C6">
        <v>0.81799999999999995</v>
      </c>
      <c r="D6">
        <f t="shared" ref="D6:D7" si="0">B6*C6</f>
        <v>526.79199999999992</v>
      </c>
    </row>
    <row r="7" spans="1:6">
      <c r="A7" t="s">
        <v>57</v>
      </c>
      <c r="B7">
        <v>629</v>
      </c>
      <c r="C7">
        <v>0.81799999999999995</v>
      </c>
      <c r="D7">
        <f t="shared" si="0"/>
        <v>514.52199999999993</v>
      </c>
      <c r="F7" s="1" t="s">
        <v>58</v>
      </c>
    </row>
    <row r="8" spans="1:6">
      <c r="B8" s="1">
        <f>SUM(B5:B7)</f>
        <v>1424.6</v>
      </c>
      <c r="C8" s="2">
        <f>D8/B8</f>
        <v>0.43479657447704612</v>
      </c>
      <c r="D8" s="2">
        <f>SUM(D5:D7)</f>
        <v>619.41119999999989</v>
      </c>
      <c r="F8" s="3">
        <f>C8/1.55</f>
        <v>0.2805139190174491</v>
      </c>
    </row>
    <row r="9" spans="1:6">
      <c r="F9" s="1"/>
    </row>
    <row r="10" spans="1:6">
      <c r="A10" t="s">
        <v>60</v>
      </c>
      <c r="F10" s="1"/>
    </row>
    <row r="11" spans="1:6">
      <c r="F11" s="1"/>
    </row>
    <row r="12" spans="1:6">
      <c r="F12" s="1"/>
    </row>
    <row r="13" spans="1:6">
      <c r="A13" t="s">
        <v>61</v>
      </c>
      <c r="B13">
        <v>13</v>
      </c>
      <c r="C13">
        <v>0.77</v>
      </c>
      <c r="D13">
        <f>B13*C13</f>
        <v>10.01</v>
      </c>
      <c r="F13" s="1"/>
    </row>
    <row r="14" spans="1:6">
      <c r="A14" t="s">
        <v>62</v>
      </c>
      <c r="B14">
        <v>6</v>
      </c>
      <c r="C14">
        <v>0.77</v>
      </c>
      <c r="D14">
        <f>B14*C14</f>
        <v>4.62</v>
      </c>
      <c r="F14" s="1"/>
    </row>
    <row r="15" spans="1:6">
      <c r="B15">
        <f>SUM(B13:B14)</f>
        <v>19</v>
      </c>
      <c r="D15">
        <f t="shared" ref="D15" si="1">SUM(D13:D14)</f>
        <v>14.629999999999999</v>
      </c>
      <c r="F15" s="1" t="s">
        <v>58</v>
      </c>
    </row>
    <row r="16" spans="1:6">
      <c r="A16" t="s">
        <v>63</v>
      </c>
      <c r="B16" s="1">
        <f>B8+B15</f>
        <v>1443.6</v>
      </c>
      <c r="C16" s="2">
        <f>D16/B16</f>
        <v>0.43920836796896645</v>
      </c>
      <c r="D16" s="2">
        <f t="shared" ref="D16" si="2">D8+D15</f>
        <v>634.04119999999989</v>
      </c>
      <c r="F16" s="3">
        <f>C16/1.55</f>
        <v>0.28336023739933319</v>
      </c>
    </row>
    <row r="26" spans="1:17">
      <c r="F26" s="1"/>
    </row>
    <row r="27" spans="1:17">
      <c r="B27" s="1"/>
      <c r="C27" s="2"/>
      <c r="D27" s="1"/>
      <c r="F27" s="3"/>
    </row>
    <row r="31" spans="1:17">
      <c r="A31" t="s">
        <v>74</v>
      </c>
    </row>
    <row r="32" spans="1:17">
      <c r="B32" t="s">
        <v>4</v>
      </c>
      <c r="C32" t="s">
        <v>5</v>
      </c>
      <c r="D32" t="s">
        <v>6</v>
      </c>
      <c r="F32" t="s">
        <v>23</v>
      </c>
      <c r="P32" s="68" t="s">
        <v>75</v>
      </c>
      <c r="Q32" s="68"/>
    </row>
    <row r="33" spans="1:6">
      <c r="A33" t="s">
        <v>10</v>
      </c>
      <c r="B33">
        <f>B16</f>
        <v>1443.6</v>
      </c>
      <c r="D33" s="5">
        <f>D16</f>
        <v>634.04119999999989</v>
      </c>
      <c r="F33">
        <v>150</v>
      </c>
    </row>
    <row r="34" spans="1:6">
      <c r="A34" t="s">
        <v>69</v>
      </c>
      <c r="B34">
        <f>'P68 Observer'!B56</f>
        <v>0</v>
      </c>
      <c r="C34">
        <v>-0.95</v>
      </c>
      <c r="D34">
        <f>B34*C34</f>
        <v>0</v>
      </c>
    </row>
    <row r="35" spans="1:6">
      <c r="A35" t="s">
        <v>70</v>
      </c>
      <c r="B35">
        <f>'P68 Observer'!B57</f>
        <v>0</v>
      </c>
      <c r="C35">
        <v>-0.186</v>
      </c>
      <c r="D35">
        <f t="shared" ref="D35:D38" si="3">B35*C35</f>
        <v>0</v>
      </c>
    </row>
    <row r="36" spans="1:6">
      <c r="A36" t="s">
        <v>71</v>
      </c>
      <c r="B36">
        <f>'P68 Observer'!B58</f>
        <v>0</v>
      </c>
      <c r="C36">
        <v>0.87</v>
      </c>
      <c r="D36">
        <f t="shared" si="3"/>
        <v>0</v>
      </c>
    </row>
    <row r="37" spans="1:6">
      <c r="A37" t="s">
        <v>72</v>
      </c>
      <c r="B37" t="str">
        <f>'P68 Observer'!B59</f>
        <v>POB</v>
      </c>
      <c r="C37">
        <v>1.542</v>
      </c>
      <c r="D37" t="e">
        <f t="shared" si="3"/>
        <v>#VALUE!</v>
      </c>
    </row>
    <row r="38" spans="1:6">
      <c r="A38" t="s">
        <v>73</v>
      </c>
      <c r="B38" t="str">
        <f>'P68 Observer'!B60</f>
        <v>4 (320 Kg)</v>
      </c>
      <c r="C38">
        <v>0.77</v>
      </c>
      <c r="D38" t="e">
        <f t="shared" si="3"/>
        <v>#VALUE!</v>
      </c>
      <c r="F38" s="1" t="s">
        <v>58</v>
      </c>
    </row>
    <row r="39" spans="1:6">
      <c r="B39" s="1">
        <f>SUM(B33:B38)</f>
        <v>1443.6</v>
      </c>
      <c r="C39" s="2" t="e">
        <f>D39/B39</f>
        <v>#VALUE!</v>
      </c>
      <c r="D39" s="1" t="e">
        <f t="shared" ref="D39" si="4">SUM(D33:D38)</f>
        <v>#VALUE!</v>
      </c>
      <c r="F39" s="3" t="e">
        <f>C39/1.55</f>
        <v>#VALUE!</v>
      </c>
    </row>
    <row r="49" spans="11:13">
      <c r="K49">
        <v>230</v>
      </c>
      <c r="L49">
        <v>1000</v>
      </c>
      <c r="M49" s="4">
        <f>K49/L49</f>
        <v>0.23</v>
      </c>
    </row>
    <row r="50" spans="11:13">
      <c r="K50">
        <v>386</v>
      </c>
      <c r="L50">
        <v>1680</v>
      </c>
      <c r="M50" s="4">
        <f t="shared" ref="M50:M53" si="5">K50/L50</f>
        <v>0.22976190476190475</v>
      </c>
    </row>
    <row r="51" spans="11:13">
      <c r="K51">
        <v>667</v>
      </c>
      <c r="L51">
        <v>2084</v>
      </c>
      <c r="M51" s="4">
        <f t="shared" si="5"/>
        <v>0.32005758157389635</v>
      </c>
    </row>
    <row r="52" spans="11:13">
      <c r="K52">
        <v>1002</v>
      </c>
      <c r="L52">
        <v>2084</v>
      </c>
      <c r="M52" s="4">
        <f t="shared" si="5"/>
        <v>0.48080614203454897</v>
      </c>
    </row>
    <row r="53" spans="11:13">
      <c r="K53">
        <v>481</v>
      </c>
      <c r="L53">
        <v>1000</v>
      </c>
      <c r="M53" s="4">
        <f t="shared" si="5"/>
        <v>0.48099999999999998</v>
      </c>
    </row>
  </sheetData>
  <mergeCells count="2">
    <mergeCell ref="E1:F1"/>
    <mergeCell ref="P32:Q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F17E312E75748B28ECAB98DE94204" ma:contentTypeVersion="4" ma:contentTypeDescription="Crée un document." ma:contentTypeScope="" ma:versionID="42ebb683783950f7a75937d6d0be46f0">
  <xsd:schema xmlns:xsd="http://www.w3.org/2001/XMLSchema" xmlns:xs="http://www.w3.org/2001/XMLSchema" xmlns:p="http://schemas.microsoft.com/office/2006/metadata/properties" xmlns:ns2="33d94a5a-b090-4d5d-8ebf-7996422dadd9" targetNamespace="http://schemas.microsoft.com/office/2006/metadata/properties" ma:root="true" ma:fieldsID="ebda77fec039879a7c260eb7c38ee1c1" ns2:_="">
    <xsd:import namespace="33d94a5a-b090-4d5d-8ebf-7996422da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94a5a-b090-4d5d-8ebf-7996422da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297D41-3042-42D9-850C-F1364864A98B}"/>
</file>

<file path=customXml/itemProps2.xml><?xml version="1.0" encoding="utf-8"?>
<ds:datastoreItem xmlns:ds="http://schemas.openxmlformats.org/officeDocument/2006/customXml" ds:itemID="{6753A9F7-E8D3-4D1F-AF02-A2E932695BF8}"/>
</file>

<file path=customXml/itemProps3.xml><?xml version="1.0" encoding="utf-8"?>
<ds:datastoreItem xmlns:ds="http://schemas.openxmlformats.org/officeDocument/2006/customXml" ds:itemID="{142E6B12-8B85-4563-8E3F-8539C90EA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ISAE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s.juaneda</dc:creator>
  <cp:keywords/>
  <dc:description/>
  <cp:lastModifiedBy>Riccardo DI-BARI</cp:lastModifiedBy>
  <cp:revision/>
  <dcterms:created xsi:type="dcterms:W3CDTF">2016-11-12T08:00:32Z</dcterms:created>
  <dcterms:modified xsi:type="dcterms:W3CDTF">2024-03-05T11:59:26Z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0x0101000F2F17E312E75748B28ECAB98DE94204</vt:lpwstr>
  </property>
</Properties>
</file>