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706336E6-A1E6-4320-97C6-AF94C6E7EBB2}" xr6:coauthVersionLast="45" xr6:coauthVersionMax="45" xr10:uidLastSave="{00000000-0000-0000-0000-000000000000}"/>
  <bookViews>
    <workbookView xWindow="-120" yWindow="-120" windowWidth="57840" windowHeight="15840" xr2:uid="{00000000-000D-0000-FFFF-FFFF00000000}"/>
  </bookViews>
  <sheets>
    <sheet name="Feuil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8" i="2" l="1"/>
  <c r="I6" i="2"/>
  <c r="I7" i="2" s="1"/>
  <c r="O7" i="2"/>
  <c r="Q12" i="2" s="1"/>
  <c r="R12" i="2" s="1"/>
  <c r="D9" i="2"/>
  <c r="D10" i="2" s="1"/>
  <c r="I10" i="2" l="1"/>
  <c r="Q8" i="2"/>
  <c r="R8" i="2" s="1"/>
  <c r="Q10" i="2"/>
  <c r="R10" i="2" s="1"/>
  <c r="Q9" i="2"/>
  <c r="R9" i="2" s="1"/>
  <c r="Q11" i="2"/>
  <c r="R11" i="2" s="1"/>
  <c r="Q4" i="2" l="1"/>
  <c r="R4" i="2" s="1"/>
  <c r="Q5" i="2"/>
  <c r="R5" i="2" s="1"/>
  <c r="Q7" i="2"/>
  <c r="O3" i="2"/>
  <c r="Q3" i="2" l="1"/>
  <c r="I11" i="2" s="1"/>
  <c r="I12" i="2" s="1"/>
  <c r="O14" i="2" s="1"/>
  <c r="J16" i="2" l="1"/>
  <c r="J17" i="2"/>
  <c r="Q17" i="2" l="1"/>
  <c r="R17" i="2" s="1"/>
  <c r="Q15" i="2"/>
  <c r="R15" i="2" s="1"/>
  <c r="Q18" i="2"/>
  <c r="R18" i="2" s="1"/>
  <c r="Q16" i="2"/>
  <c r="R16" i="2" s="1"/>
  <c r="Q19" i="2"/>
  <c r="R19" i="2" s="1"/>
  <c r="Q14" i="2" l="1"/>
  <c r="J15" i="2" s="1"/>
  <c r="I15" i="2" s="1"/>
  <c r="I18" i="2" l="1"/>
</calcChain>
</file>

<file path=xl/sharedStrings.xml><?xml version="1.0" encoding="utf-8"?>
<sst xmlns="http://schemas.openxmlformats.org/spreadsheetml/2006/main" count="31" uniqueCount="28">
  <si>
    <t>Panier moyen</t>
  </si>
  <si>
    <t>Jours</t>
  </si>
  <si>
    <t xml:space="preserve">Client / jour </t>
  </si>
  <si>
    <t>TPE</t>
  </si>
  <si>
    <t>IS</t>
  </si>
  <si>
    <t>ACTIVITE</t>
  </si>
  <si>
    <t>Loyer / Mois</t>
  </si>
  <si>
    <t>Comptable / An</t>
  </si>
  <si>
    <t>Charges sociales</t>
  </si>
  <si>
    <t>CHARGES</t>
  </si>
  <si>
    <t>SARL</t>
  </si>
  <si>
    <t>TOTAL / An</t>
  </si>
  <si>
    <t>EXPLOITATION</t>
  </si>
  <si>
    <t>Salaire  / Mois</t>
  </si>
  <si>
    <t>BAREME IS</t>
  </si>
  <si>
    <t>BILAN</t>
  </si>
  <si>
    <t>RESULTAT NET</t>
  </si>
  <si>
    <t>COUT SALAIRE / An</t>
  </si>
  <si>
    <t>Benefices</t>
  </si>
  <si>
    <t>SALAIRE</t>
  </si>
  <si>
    <t>CHIFFRE D'AFFAIRE</t>
  </si>
  <si>
    <t>RESULTAT D'EXPLOITATION</t>
  </si>
  <si>
    <t>DIVIDENDES</t>
  </si>
  <si>
    <t>Taux de marge</t>
  </si>
  <si>
    <t>BAREME IR</t>
  </si>
  <si>
    <t>Flat Tax</t>
  </si>
  <si>
    <t>IR</t>
  </si>
  <si>
    <t>dirigéant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</si>
</sst>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%"/>
    <numFmt numFmtId="173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9">
    <xf numFmtId="0" fontId="0" fillId="0" borderId="0" xfId="0"/>
    <xf numFmtId="0" fontId="0" fillId="0" borderId="0" xfId="0" applyAlignment="1">
      <alignment vertical="center" wrapText="1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Border="1"/>
    <xf numFmtId="0" fontId="4" fillId="0" borderId="3" xfId="0" applyFont="1" applyBorder="1" applyAlignment="1">
      <alignment horizontal="center"/>
    </xf>
    <xf numFmtId="0" fontId="5" fillId="0" borderId="2" xfId="0" applyFont="1" applyBorder="1"/>
    <xf numFmtId="0" fontId="5" fillId="0" borderId="5" xfId="0" applyFont="1" applyBorder="1" applyAlignment="1">
      <alignment horizontal="center"/>
    </xf>
    <xf numFmtId="0" fontId="5" fillId="0" borderId="3" xfId="0" applyFont="1" applyBorder="1"/>
    <xf numFmtId="0" fontId="4" fillId="0" borderId="2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6" fillId="0" borderId="2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left"/>
    </xf>
    <xf numFmtId="0" fontId="7" fillId="2" borderId="6" xfId="0" applyFont="1" applyFill="1" applyBorder="1" applyAlignment="1">
      <alignment horizontal="left"/>
    </xf>
    <xf numFmtId="0" fontId="7" fillId="2" borderId="2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left"/>
    </xf>
    <xf numFmtId="0" fontId="5" fillId="0" borderId="4" xfId="0" applyFont="1" applyBorder="1"/>
    <xf numFmtId="0" fontId="4" fillId="0" borderId="4" xfId="0" applyFont="1" applyBorder="1" applyAlignment="1">
      <alignment horizontal="center"/>
    </xf>
    <xf numFmtId="0" fontId="4" fillId="0" borderId="0" xfId="0" applyFont="1" applyBorder="1" applyAlignment="1"/>
    <xf numFmtId="0" fontId="5" fillId="0" borderId="2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Font="1"/>
    <xf numFmtId="0" fontId="0" fillId="0" borderId="4" xfId="0" applyFont="1" applyBorder="1"/>
    <xf numFmtId="0" fontId="0" fillId="0" borderId="13" xfId="0" applyFont="1" applyBorder="1"/>
    <xf numFmtId="0" fontId="0" fillId="0" borderId="5" xfId="0" applyFont="1" applyBorder="1"/>
    <xf numFmtId="0" fontId="0" fillId="0" borderId="11" xfId="0" applyFont="1" applyBorder="1"/>
    <xf numFmtId="0" fontId="0" fillId="0" borderId="12" xfId="0" applyFont="1" applyBorder="1"/>
    <xf numFmtId="0" fontId="0" fillId="0" borderId="0" xfId="0" applyFont="1" applyBorder="1"/>
    <xf numFmtId="0" fontId="8" fillId="0" borderId="0" xfId="0" applyFont="1" applyBorder="1" applyAlignment="1">
      <alignment horizontal="right"/>
    </xf>
    <xf numFmtId="3" fontId="9" fillId="0" borderId="0" xfId="0" applyNumberFormat="1" applyFont="1" applyBorder="1"/>
    <xf numFmtId="9" fontId="4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168" fontId="4" fillId="0" borderId="7" xfId="0" applyNumberFormat="1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7" xfId="0" applyFont="1" applyBorder="1"/>
    <xf numFmtId="0" fontId="0" fillId="0" borderId="6" xfId="0" applyFont="1" applyBorder="1"/>
    <xf numFmtId="0" fontId="0" fillId="0" borderId="10" xfId="0" applyFont="1" applyBorder="1"/>
    <xf numFmtId="0" fontId="5" fillId="0" borderId="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9" fontId="4" fillId="0" borderId="5" xfId="1" applyFont="1" applyBorder="1" applyAlignment="1">
      <alignment horizontal="center"/>
    </xf>
    <xf numFmtId="9" fontId="4" fillId="0" borderId="12" xfId="1" applyFont="1" applyBorder="1" applyAlignment="1">
      <alignment horizontal="center"/>
    </xf>
    <xf numFmtId="9" fontId="4" fillId="0" borderId="7" xfId="1" applyFont="1" applyBorder="1" applyAlignment="1">
      <alignment horizontal="center"/>
    </xf>
    <xf numFmtId="3" fontId="4" fillId="0" borderId="1" xfId="0" applyNumberFormat="1" applyFont="1" applyBorder="1" applyAlignment="1">
      <alignment horizontal="center"/>
    </xf>
    <xf numFmtId="3" fontId="5" fillId="0" borderId="3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3" fontId="5" fillId="0" borderId="0" xfId="0" applyNumberFormat="1" applyFont="1" applyFill="1" applyBorder="1" applyAlignment="1">
      <alignment horizontal="center"/>
    </xf>
    <xf numFmtId="168" fontId="5" fillId="0" borderId="8" xfId="1" applyNumberFormat="1" applyFont="1" applyBorder="1" applyAlignment="1">
      <alignment horizontal="center"/>
    </xf>
    <xf numFmtId="168" fontId="5" fillId="0" borderId="11" xfId="1" applyNumberFormat="1" applyFont="1" applyBorder="1" applyAlignment="1">
      <alignment horizontal="center"/>
    </xf>
    <xf numFmtId="2" fontId="5" fillId="0" borderId="12" xfId="0" applyNumberFormat="1" applyFont="1" applyBorder="1" applyAlignment="1">
      <alignment horizontal="center"/>
    </xf>
    <xf numFmtId="2" fontId="5" fillId="0" borderId="9" xfId="0" applyNumberFormat="1" applyFont="1" applyBorder="1" applyAlignment="1">
      <alignment horizontal="center"/>
    </xf>
    <xf numFmtId="2" fontId="4" fillId="0" borderId="8" xfId="0" applyNumberFormat="1" applyFont="1" applyBorder="1" applyAlignment="1">
      <alignment horizontal="center"/>
    </xf>
    <xf numFmtId="0" fontId="5" fillId="0" borderId="6" xfId="0" applyFont="1" applyBorder="1"/>
    <xf numFmtId="0" fontId="5" fillId="0" borderId="1" xfId="1" applyNumberFormat="1" applyFont="1" applyBorder="1" applyAlignment="1">
      <alignment horizontal="center"/>
    </xf>
    <xf numFmtId="10" fontId="5" fillId="0" borderId="4" xfId="1" applyNumberFormat="1" applyFont="1" applyBorder="1" applyAlignment="1">
      <alignment horizontal="center"/>
    </xf>
    <xf numFmtId="10" fontId="5" fillId="0" borderId="2" xfId="1" applyNumberFormat="1" applyFont="1" applyBorder="1" applyAlignment="1">
      <alignment horizontal="center"/>
    </xf>
    <xf numFmtId="0" fontId="0" fillId="0" borderId="0" xfId="0" applyFont="1" applyAlignment="1">
      <alignment horizontal="center"/>
    </xf>
    <xf numFmtId="173" fontId="4" fillId="0" borderId="1" xfId="0" applyNumberFormat="1" applyFont="1" applyBorder="1" applyAlignment="1">
      <alignment horizontal="center"/>
    </xf>
  </cellXfs>
  <cellStyles count="2">
    <cellStyle name="Normal" xfId="0" builtinId="0"/>
    <cellStyle name="Pourcentag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2C475-32E3-4B5E-B97E-EF701F177A2E}">
  <dimension ref="B2:Z31"/>
  <sheetViews>
    <sheetView showGridLines="0" tabSelected="1" workbookViewId="0">
      <selection activeCell="J27" sqref="J27"/>
    </sheetView>
  </sheetViews>
  <sheetFormatPr baseColWidth="10" defaultRowHeight="14.5" x14ac:dyDescent="0.35"/>
  <cols>
    <col min="1" max="2" width="1.6328125" style="30" customWidth="1"/>
    <col min="3" max="3" width="20.81640625" style="30" bestFit="1" customWidth="1"/>
    <col min="4" max="4" width="10.90625" style="30"/>
    <col min="5" max="5" width="1.6328125" style="30" customWidth="1"/>
    <col min="6" max="6" width="2.6328125" style="30" customWidth="1"/>
    <col min="7" max="7" width="1.6328125" style="30" customWidth="1"/>
    <col min="8" max="8" width="16.90625" style="30" bestFit="1" customWidth="1"/>
    <col min="9" max="10" width="10.90625" style="30"/>
    <col min="11" max="12" width="1.6328125" style="30" customWidth="1"/>
    <col min="13" max="15" width="10.90625" style="30"/>
    <col min="16" max="16" width="1.6328125" style="30" customWidth="1"/>
    <col min="17" max="18" width="10.90625" style="30"/>
    <col min="19" max="19" width="1.6328125" style="30" customWidth="1"/>
    <col min="20" max="21" width="10.90625" style="30"/>
    <col min="22" max="22" width="11.26953125" style="30" bestFit="1" customWidth="1"/>
    <col min="23" max="16384" width="10.90625" style="30"/>
  </cols>
  <sheetData>
    <row r="2" spans="2:20" x14ac:dyDescent="0.35">
      <c r="B2" s="2" t="s">
        <v>12</v>
      </c>
      <c r="C2" s="3"/>
      <c r="G2" s="2" t="s">
        <v>10</v>
      </c>
      <c r="H2" s="3"/>
    </row>
    <row r="3" spans="2:20" x14ac:dyDescent="0.35">
      <c r="B3" s="31"/>
      <c r="C3" s="32"/>
      <c r="D3" s="32"/>
      <c r="E3" s="33"/>
      <c r="G3" s="31"/>
      <c r="H3" s="32"/>
      <c r="I3" s="32"/>
      <c r="J3" s="32"/>
      <c r="K3" s="33"/>
      <c r="M3" s="26" t="s">
        <v>14</v>
      </c>
      <c r="N3" s="5"/>
      <c r="O3" s="7">
        <f>+I10</f>
        <v>28683.987500000003</v>
      </c>
      <c r="P3" s="38"/>
      <c r="Q3" s="54">
        <f>SUM(R4:R5)</f>
        <v>4302.5981250000004</v>
      </c>
    </row>
    <row r="4" spans="2:20" x14ac:dyDescent="0.35">
      <c r="B4" s="34"/>
      <c r="C4" s="7" t="s">
        <v>5</v>
      </c>
      <c r="D4" s="27"/>
      <c r="E4" s="35"/>
      <c r="G4" s="34"/>
      <c r="H4" s="7" t="s">
        <v>19</v>
      </c>
      <c r="I4" s="18" t="s">
        <v>27</v>
      </c>
      <c r="J4" s="27"/>
      <c r="K4" s="35"/>
      <c r="M4" s="26">
        <v>0</v>
      </c>
      <c r="N4" s="5">
        <v>38120</v>
      </c>
      <c r="O4" s="39">
        <v>0.15</v>
      </c>
      <c r="P4" s="8"/>
      <c r="Q4" s="26">
        <f>MIN(I10,N4)</f>
        <v>28683.987500000003</v>
      </c>
      <c r="R4" s="40">
        <f>Q4*O4</f>
        <v>4302.5981250000004</v>
      </c>
    </row>
    <row r="5" spans="2:20" x14ac:dyDescent="0.35">
      <c r="B5" s="34"/>
      <c r="C5" s="16" t="s">
        <v>1</v>
      </c>
      <c r="D5" s="15">
        <v>300</v>
      </c>
      <c r="E5" s="35"/>
      <c r="G5" s="34"/>
      <c r="H5" s="10" t="s">
        <v>13</v>
      </c>
      <c r="I5" s="15">
        <v>1300</v>
      </c>
      <c r="J5" s="49"/>
      <c r="K5" s="35"/>
      <c r="M5" s="41">
        <v>38120</v>
      </c>
      <c r="N5" s="6"/>
      <c r="O5" s="42">
        <v>0.26500000000000001</v>
      </c>
      <c r="P5" s="8"/>
      <c r="Q5" s="41">
        <f>IF(I10&gt;M5,I10-M5,0)</f>
        <v>0</v>
      </c>
      <c r="R5" s="43">
        <f>Q5*O5</f>
        <v>0</v>
      </c>
    </row>
    <row r="6" spans="2:20" x14ac:dyDescent="0.35">
      <c r="B6" s="34"/>
      <c r="C6" s="16" t="s">
        <v>2</v>
      </c>
      <c r="D6" s="16">
        <v>24</v>
      </c>
      <c r="E6" s="35"/>
      <c r="G6" s="34"/>
      <c r="H6" s="12" t="s">
        <v>8</v>
      </c>
      <c r="I6" s="17">
        <f>MAX(I5*IF(I4="salarié",0.55,0.45),1103/12)</f>
        <v>585</v>
      </c>
      <c r="J6" s="49"/>
      <c r="K6" s="35"/>
      <c r="L6" s="36"/>
      <c r="M6" s="8"/>
      <c r="N6" s="8"/>
      <c r="O6" s="44"/>
      <c r="P6" s="8"/>
      <c r="Q6" s="8"/>
    </row>
    <row r="7" spans="2:20" x14ac:dyDescent="0.35">
      <c r="B7" s="34"/>
      <c r="C7" s="17" t="s">
        <v>0</v>
      </c>
      <c r="D7" s="17">
        <v>30</v>
      </c>
      <c r="E7" s="35"/>
      <c r="G7" s="34"/>
      <c r="H7" s="22" t="s">
        <v>17</v>
      </c>
      <c r="I7" s="7">
        <f>(I5+I6)*12</f>
        <v>22620</v>
      </c>
      <c r="J7" s="29"/>
      <c r="K7" s="35"/>
      <c r="M7" s="26" t="s">
        <v>24</v>
      </c>
      <c r="N7" s="5"/>
      <c r="O7" s="7">
        <f>+I5*12</f>
        <v>15600</v>
      </c>
      <c r="Q7" s="7">
        <f>SUM(R8:R12)</f>
        <v>606.65</v>
      </c>
      <c r="S7" s="37"/>
      <c r="T7" s="37"/>
    </row>
    <row r="8" spans="2:20" x14ac:dyDescent="0.35">
      <c r="B8" s="34"/>
      <c r="C8" s="18" t="s">
        <v>23</v>
      </c>
      <c r="D8" s="64">
        <v>1.8</v>
      </c>
      <c r="E8" s="35"/>
      <c r="G8" s="34"/>
      <c r="H8" s="8"/>
      <c r="I8" s="8"/>
      <c r="J8" s="8"/>
      <c r="K8" s="35"/>
      <c r="M8" s="26">
        <v>0</v>
      </c>
      <c r="N8" s="5">
        <v>10084</v>
      </c>
      <c r="O8" s="51">
        <v>0</v>
      </c>
      <c r="Q8" s="26">
        <f>+MIN(N8,O7)</f>
        <v>10084</v>
      </c>
      <c r="R8" s="5">
        <f>Q8*O8</f>
        <v>0</v>
      </c>
    </row>
    <row r="9" spans="2:20" x14ac:dyDescent="0.35">
      <c r="B9" s="34"/>
      <c r="C9" s="23" t="s">
        <v>20</v>
      </c>
      <c r="D9" s="5">
        <f>D5*D6*D7</f>
        <v>216000</v>
      </c>
      <c r="E9" s="35"/>
      <c r="G9" s="34"/>
      <c r="H9" s="7" t="s">
        <v>15</v>
      </c>
      <c r="I9" s="27"/>
      <c r="J9" s="27"/>
      <c r="K9" s="35"/>
      <c r="M9" s="50">
        <v>10085</v>
      </c>
      <c r="N9" s="14">
        <v>25710</v>
      </c>
      <c r="O9" s="52">
        <v>0.11</v>
      </c>
      <c r="Q9" s="50">
        <f>MAX(0,MIN($O$7-M9,N9-M9))</f>
        <v>5515</v>
      </c>
      <c r="R9" s="14">
        <f t="shared" ref="R9:R12" si="0">Q9*O9</f>
        <v>606.65</v>
      </c>
    </row>
    <row r="10" spans="2:20" x14ac:dyDescent="0.35">
      <c r="B10" s="34"/>
      <c r="C10" s="24" t="s">
        <v>21</v>
      </c>
      <c r="D10" s="6">
        <f>D9*((D8-1)/D8)</f>
        <v>96000</v>
      </c>
      <c r="E10" s="35"/>
      <c r="G10" s="34"/>
      <c r="H10" s="20" t="s">
        <v>18</v>
      </c>
      <c r="I10" s="28">
        <f>D10-D18-I7</f>
        <v>28683.987500000003</v>
      </c>
      <c r="J10" s="56"/>
      <c r="K10" s="35"/>
      <c r="M10" s="50">
        <v>25711</v>
      </c>
      <c r="N10" s="14">
        <v>73516</v>
      </c>
      <c r="O10" s="52">
        <v>0.3</v>
      </c>
      <c r="Q10" s="50">
        <f>MAX(0,MIN($O$7-M10,N10-M10))</f>
        <v>0</v>
      </c>
      <c r="R10" s="14">
        <f t="shared" si="0"/>
        <v>0</v>
      </c>
    </row>
    <row r="11" spans="2:20" x14ac:dyDescent="0.35">
      <c r="B11" s="34"/>
      <c r="E11" s="35"/>
      <c r="G11" s="34"/>
      <c r="H11" s="21" t="s">
        <v>4</v>
      </c>
      <c r="I11" s="55">
        <f>Q3</f>
        <v>4302.5981250000004</v>
      </c>
      <c r="J11" s="57"/>
      <c r="K11" s="35"/>
      <c r="M11" s="50">
        <v>73517</v>
      </c>
      <c r="N11" s="14">
        <v>158122</v>
      </c>
      <c r="O11" s="52">
        <v>0.41</v>
      </c>
      <c r="Q11" s="50">
        <f>MAX(0,MIN($O$7-M11,N11-M11))</f>
        <v>0</v>
      </c>
      <c r="R11" s="14">
        <f t="shared" si="0"/>
        <v>0</v>
      </c>
    </row>
    <row r="12" spans="2:20" x14ac:dyDescent="0.35">
      <c r="B12" s="34"/>
      <c r="C12" s="4"/>
      <c r="D12" s="45"/>
      <c r="E12" s="35"/>
      <c r="G12" s="34"/>
      <c r="H12" s="22" t="s">
        <v>16</v>
      </c>
      <c r="I12" s="9">
        <f>I10-I11</f>
        <v>24381.389375000002</v>
      </c>
      <c r="J12" s="29"/>
      <c r="K12" s="35"/>
      <c r="M12" s="41">
        <v>158123</v>
      </c>
      <c r="N12" s="6"/>
      <c r="O12" s="53">
        <v>0.45</v>
      </c>
      <c r="Q12" s="41">
        <f>MAX(0,MIN($O$7-M12,N12-M12))</f>
        <v>0</v>
      </c>
      <c r="R12" s="6">
        <f t="shared" si="0"/>
        <v>0</v>
      </c>
    </row>
    <row r="13" spans="2:20" x14ac:dyDescent="0.35">
      <c r="B13" s="34"/>
      <c r="E13" s="35"/>
      <c r="G13" s="34"/>
      <c r="H13" s="36"/>
      <c r="I13" s="36"/>
      <c r="J13" s="36"/>
      <c r="K13" s="35"/>
    </row>
    <row r="14" spans="2:20" x14ac:dyDescent="0.35">
      <c r="B14" s="34"/>
      <c r="C14" s="7" t="s">
        <v>9</v>
      </c>
      <c r="D14" s="27"/>
      <c r="E14" s="35"/>
      <c r="G14" s="34"/>
      <c r="H14" s="13" t="s">
        <v>22</v>
      </c>
      <c r="I14" s="27"/>
      <c r="J14" s="27"/>
      <c r="K14" s="35"/>
      <c r="M14" s="26" t="s">
        <v>24</v>
      </c>
      <c r="N14" s="5"/>
      <c r="O14" s="7">
        <f>+I5*12+(I12*0.6-0.068*I12)</f>
        <v>28570.8991475</v>
      </c>
      <c r="Q14" s="7">
        <f>SUM(R15:R19)</f>
        <v>2576.7197442500001</v>
      </c>
    </row>
    <row r="15" spans="2:20" x14ac:dyDescent="0.35">
      <c r="B15" s="34"/>
      <c r="C15" s="16" t="s">
        <v>3</v>
      </c>
      <c r="D15" s="66">
        <v>1.2500000000000001E-2</v>
      </c>
      <c r="E15" s="35"/>
      <c r="G15" s="34"/>
      <c r="H15" s="25" t="s">
        <v>26</v>
      </c>
      <c r="I15" s="65">
        <f>J15/I12</f>
        <v>8.0802193589100985E-2</v>
      </c>
      <c r="J15" s="11">
        <f>Q14-Q7</f>
        <v>1970.06974425</v>
      </c>
      <c r="K15" s="35"/>
      <c r="M15" s="26">
        <v>0</v>
      </c>
      <c r="N15" s="5">
        <v>10084</v>
      </c>
      <c r="O15" s="51">
        <v>0</v>
      </c>
      <c r="Q15" s="26">
        <f>+MIN(N15,O14)</f>
        <v>10084</v>
      </c>
      <c r="R15" s="5">
        <f>Q15*O15</f>
        <v>0</v>
      </c>
    </row>
    <row r="16" spans="2:20" x14ac:dyDescent="0.35">
      <c r="B16" s="34"/>
      <c r="C16" s="16" t="s">
        <v>6</v>
      </c>
      <c r="D16" s="16">
        <v>3333</v>
      </c>
      <c r="E16" s="35"/>
      <c r="G16" s="34"/>
      <c r="H16" s="63" t="s">
        <v>25</v>
      </c>
      <c r="I16" s="59">
        <v>0.128</v>
      </c>
      <c r="J16" s="60">
        <f>I16*I12</f>
        <v>3120.8178400000002</v>
      </c>
      <c r="K16" s="35"/>
      <c r="M16" s="50">
        <v>10085</v>
      </c>
      <c r="N16" s="14">
        <v>25710</v>
      </c>
      <c r="O16" s="52">
        <v>0.11</v>
      </c>
      <c r="Q16" s="50">
        <f>MAX(0,MIN($O$14-M16,N16-M16))</f>
        <v>15625</v>
      </c>
      <c r="R16" s="14">
        <f t="shared" ref="R16:R19" si="1">Q16*O16</f>
        <v>1718.75</v>
      </c>
    </row>
    <row r="17" spans="2:26" x14ac:dyDescent="0.35">
      <c r="B17" s="34"/>
      <c r="C17" s="17" t="s">
        <v>7</v>
      </c>
      <c r="D17" s="17">
        <v>2000</v>
      </c>
      <c r="E17" s="35"/>
      <c r="G17" s="34"/>
      <c r="H17" s="25" t="s">
        <v>8</v>
      </c>
      <c r="I17" s="58">
        <v>0.17199999999999999</v>
      </c>
      <c r="J17" s="61">
        <f>I17*I12</f>
        <v>4193.5989724999999</v>
      </c>
      <c r="K17" s="35"/>
      <c r="M17" s="50">
        <v>25711</v>
      </c>
      <c r="N17" s="14">
        <v>73516</v>
      </c>
      <c r="O17" s="52">
        <v>0.3</v>
      </c>
      <c r="Q17" s="50">
        <f>MAX(0,MIN($O$14-M17,N17-M17))</f>
        <v>2859.8991475000003</v>
      </c>
      <c r="R17" s="14">
        <f t="shared" si="1"/>
        <v>857.96974425000008</v>
      </c>
    </row>
    <row r="18" spans="2:26" x14ac:dyDescent="0.35">
      <c r="B18" s="34"/>
      <c r="C18" s="22" t="s">
        <v>11</v>
      </c>
      <c r="D18" s="68">
        <f>D15+D16*12+D17+D15*D9</f>
        <v>44696.012499999997</v>
      </c>
      <c r="E18" s="35"/>
      <c r="G18" s="34"/>
      <c r="H18" s="22" t="s">
        <v>11</v>
      </c>
      <c r="I18" s="62">
        <f>I12-J17-MIN(J15,J16)</f>
        <v>18217.720658250004</v>
      </c>
      <c r="J18" s="19"/>
      <c r="K18" s="35"/>
      <c r="M18" s="50">
        <v>73517</v>
      </c>
      <c r="N18" s="14">
        <v>158122</v>
      </c>
      <c r="O18" s="52">
        <v>0.41</v>
      </c>
      <c r="Q18" s="50">
        <f>MAX(0,MIN($O$14-M18,N18-M18))</f>
        <v>0</v>
      </c>
      <c r="R18" s="14">
        <f t="shared" si="1"/>
        <v>0</v>
      </c>
    </row>
    <row r="19" spans="2:26" x14ac:dyDescent="0.35">
      <c r="B19" s="47"/>
      <c r="C19" s="48"/>
      <c r="D19" s="48"/>
      <c r="E19" s="46"/>
      <c r="G19" s="47"/>
      <c r="H19" s="48"/>
      <c r="I19" s="48"/>
      <c r="J19" s="48"/>
      <c r="K19" s="46"/>
      <c r="M19" s="41">
        <v>158123</v>
      </c>
      <c r="N19" s="6"/>
      <c r="O19" s="53">
        <v>0.45</v>
      </c>
      <c r="Q19" s="41">
        <f>MAX(0,MIN($O$14-M19,N19-M19))</f>
        <v>0</v>
      </c>
      <c r="R19" s="6">
        <f t="shared" si="1"/>
        <v>0</v>
      </c>
    </row>
    <row r="24" spans="2:26" x14ac:dyDescent="0.35">
      <c r="V24" s="1"/>
      <c r="W24" s="1"/>
      <c r="X24"/>
      <c r="Y24"/>
      <c r="Z24"/>
    </row>
    <row r="25" spans="2:26" x14ac:dyDescent="0.35">
      <c r="V25" s="1"/>
      <c r="W25" s="1"/>
      <c r="X25"/>
      <c r="Y25"/>
      <c r="Z25"/>
    </row>
    <row r="26" spans="2:26" x14ac:dyDescent="0.35">
      <c r="V26" s="1"/>
      <c r="W26" s="1"/>
      <c r="X26"/>
      <c r="Y26"/>
      <c r="Z26"/>
    </row>
    <row r="27" spans="2:26" x14ac:dyDescent="0.35">
      <c r="V27" s="1"/>
      <c r="W27" s="1"/>
      <c r="X27"/>
      <c r="Y27"/>
      <c r="Z27"/>
    </row>
    <row r="28" spans="2:26" x14ac:dyDescent="0.35">
      <c r="V28" s="1"/>
      <c r="W28" s="1"/>
      <c r="X28"/>
      <c r="Y28"/>
      <c r="Z28"/>
    </row>
    <row r="31" spans="2:26" x14ac:dyDescent="0.35">
      <c r="H31" s="67"/>
      <c r="I31" s="67"/>
    </row>
  </sheetData>
  <mergeCells count="3">
    <mergeCell ref="I18:J18"/>
    <mergeCell ref="G2:H2"/>
    <mergeCell ref="B2:C2"/>
  </mergeCells>
  <dataValidations count="1">
    <dataValidation type="list" allowBlank="1" showInputMessage="1" showErrorMessage="1" sqref="I4" xr:uid="{16A3D94D-94CD-4B9B-9AE0-8A287BF7783E}">
      <formula1>" salarié,dirigéant"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2021-04-20T16:43:30Z</dcterms:modified>
</cp:coreProperties>
</file>