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\Desktop\new25\Capstone-Project-Data-Modeling-and-PowerBI\Capstone Project\Monika\"/>
    </mc:Choice>
  </mc:AlternateContent>
  <xr:revisionPtr revIDLastSave="0" documentId="13_ncr:1_{26BFE604-767E-4DB0-891C-E3DBA1C20558}" xr6:coauthVersionLast="47" xr6:coauthVersionMax="47" xr10:uidLastSave="{00000000-0000-0000-0000-000000000000}"/>
  <bookViews>
    <workbookView xWindow="-30828" yWindow="-108" windowWidth="30936" windowHeight="16896" xr2:uid="{ED117939-1D2E-4498-B130-96B64592D0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7" i="1" l="1"/>
  <c r="B30" i="1"/>
  <c r="B23" i="1" s="1"/>
  <c r="B22" i="1"/>
  <c r="B15" i="1" s="1"/>
  <c r="AA15" i="1" s="1"/>
  <c r="AI15" i="1" s="1"/>
  <c r="B14" i="1"/>
  <c r="B8" i="1" s="1"/>
  <c r="AB8" i="1" s="1"/>
  <c r="AD30" i="1"/>
  <c r="AC22" i="1"/>
  <c r="AD22" i="1"/>
  <c r="AE22" i="1"/>
  <c r="AG22" i="1"/>
  <c r="AE14" i="1"/>
  <c r="K31" i="1"/>
  <c r="L31" i="1"/>
  <c r="J31" i="1"/>
  <c r="I31" i="1"/>
  <c r="B9" i="1" l="1"/>
  <c r="Z9" i="1" s="1"/>
  <c r="B16" i="1"/>
  <c r="Z16" i="1" s="1"/>
  <c r="B17" i="1"/>
  <c r="V17" i="1" s="1"/>
  <c r="V22" i="1" s="1"/>
  <c r="B18" i="1"/>
  <c r="AB18" i="1" s="1"/>
  <c r="AI18" i="1" s="1"/>
  <c r="B19" i="1"/>
  <c r="B24" i="1"/>
  <c r="AA24" i="1" s="1"/>
  <c r="Z23" i="1"/>
  <c r="V23" i="1"/>
  <c r="AA23" i="1"/>
  <c r="AB23" i="1"/>
  <c r="AH23" i="1"/>
  <c r="B26" i="1"/>
  <c r="B27" i="1"/>
  <c r="B25" i="1"/>
  <c r="B29" i="1"/>
  <c r="B28" i="1"/>
  <c r="B20" i="1"/>
  <c r="B21" i="1"/>
  <c r="X21" i="1" s="1"/>
  <c r="AI21" i="1" s="1"/>
  <c r="B10" i="1"/>
  <c r="AB10" i="1" s="1"/>
  <c r="B7" i="1"/>
  <c r="X7" i="1" s="1"/>
  <c r="B11" i="1"/>
  <c r="Z11" i="1" s="1"/>
  <c r="AI11" i="1" s="1"/>
  <c r="B31" i="1"/>
  <c r="B13" i="1"/>
  <c r="AB13" i="1" s="1"/>
  <c r="AI13" i="1" s="1"/>
  <c r="AJ13" i="1" s="1"/>
  <c r="B12" i="1"/>
  <c r="AH12" i="1" s="1"/>
  <c r="V8" i="1"/>
  <c r="AC8" i="1"/>
  <c r="Z8" i="1"/>
  <c r="AA8" i="1"/>
  <c r="AA14" i="1" s="1"/>
  <c r="AG8" i="1"/>
  <c r="AG14" i="1" s="1"/>
  <c r="W8" i="1"/>
  <c r="AA22" i="1"/>
  <c r="AJ15" i="1"/>
  <c r="M31" i="1"/>
  <c r="AJ18" i="1" l="1"/>
  <c r="AF17" i="1"/>
  <c r="AF22" i="1" s="1"/>
  <c r="AF12" i="1"/>
  <c r="AF14" i="1" s="1"/>
  <c r="AD10" i="1"/>
  <c r="AB14" i="1"/>
  <c r="AI8" i="1"/>
  <c r="AI23" i="1"/>
  <c r="AJ23" i="1" s="1"/>
  <c r="X16" i="1"/>
  <c r="AI16" i="1" s="1"/>
  <c r="AJ16" i="1" s="1"/>
  <c r="Y9" i="1"/>
  <c r="V10" i="1"/>
  <c r="X10" i="1"/>
  <c r="W24" i="1"/>
  <c r="AC9" i="1"/>
  <c r="X24" i="1"/>
  <c r="AI24" i="1" s="1"/>
  <c r="AJ24" i="1" s="1"/>
  <c r="AJ21" i="1"/>
  <c r="Z7" i="1"/>
  <c r="Z14" i="1" s="1"/>
  <c r="Y19" i="1"/>
  <c r="Y22" i="1" s="1"/>
  <c r="W19" i="1"/>
  <c r="W7" i="1"/>
  <c r="W14" i="1" s="1"/>
  <c r="Z29" i="1"/>
  <c r="AG29" i="1"/>
  <c r="AH29" i="1"/>
  <c r="X25" i="1"/>
  <c r="AE25" i="1"/>
  <c r="AE30" i="1" s="1"/>
  <c r="AE31" i="1" s="1"/>
  <c r="V27" i="1"/>
  <c r="W27" i="1"/>
  <c r="AA27" i="1"/>
  <c r="AA30" i="1" s="1"/>
  <c r="AA31" i="1" s="1"/>
  <c r="AH27" i="1"/>
  <c r="Z26" i="1"/>
  <c r="AC26" i="1"/>
  <c r="AC30" i="1" s="1"/>
  <c r="Y26" i="1"/>
  <c r="AF28" i="1"/>
  <c r="AF30" i="1" s="1"/>
  <c r="V28" i="1"/>
  <c r="AB28" i="1"/>
  <c r="Z20" i="1"/>
  <c r="AB20" i="1"/>
  <c r="AB22" i="1" s="1"/>
  <c r="AH20" i="1"/>
  <c r="AH22" i="1" s="1"/>
  <c r="V7" i="1"/>
  <c r="AC7" i="1"/>
  <c r="X12" i="1"/>
  <c r="AH7" i="1"/>
  <c r="AH14" i="1" s="1"/>
  <c r="AD7" i="1"/>
  <c r="AJ11" i="1"/>
  <c r="AJ8" i="1"/>
  <c r="AF31" i="1" l="1"/>
  <c r="AI12" i="1"/>
  <c r="AJ12" i="1" s="1"/>
  <c r="AI17" i="1"/>
  <c r="AJ17" i="1" s="1"/>
  <c r="Z30" i="1"/>
  <c r="AI9" i="1"/>
  <c r="AJ9" i="1" s="1"/>
  <c r="AC14" i="1"/>
  <c r="AC31" i="1" s="1"/>
  <c r="AI10" i="1"/>
  <c r="AJ10" i="1" s="1"/>
  <c r="X22" i="1"/>
  <c r="AD14" i="1"/>
  <c r="AD31" i="1" s="1"/>
  <c r="Y14" i="1"/>
  <c r="H31" i="1"/>
  <c r="AH30" i="1"/>
  <c r="AH31" i="1" s="1"/>
  <c r="V14" i="1"/>
  <c r="W30" i="1"/>
  <c r="W22" i="1"/>
  <c r="AI19" i="1"/>
  <c r="AJ19" i="1" s="1"/>
  <c r="E31" i="1"/>
  <c r="AG30" i="1"/>
  <c r="AG31" i="1" s="1"/>
  <c r="Y30" i="1"/>
  <c r="AI26" i="1"/>
  <c r="AJ26" i="1" s="1"/>
  <c r="X30" i="1"/>
  <c r="AI25" i="1"/>
  <c r="AJ25" i="1" s="1"/>
  <c r="AI28" i="1"/>
  <c r="AJ28" i="1" s="1"/>
  <c r="AB30" i="1"/>
  <c r="AB31" i="1" s="1"/>
  <c r="AI27" i="1"/>
  <c r="AJ27" i="1" s="1"/>
  <c r="V30" i="1"/>
  <c r="AI29" i="1"/>
  <c r="AJ29" i="1" s="1"/>
  <c r="AI20" i="1"/>
  <c r="AJ20" i="1" s="1"/>
  <c r="Z22" i="1"/>
  <c r="AI7" i="1"/>
  <c r="AJ7" i="1" s="1"/>
  <c r="X14" i="1"/>
  <c r="D31" i="1"/>
  <c r="V31" i="1" l="1"/>
  <c r="AI14" i="1"/>
  <c r="AJ14" i="1"/>
  <c r="Z31" i="1"/>
  <c r="X31" i="1"/>
  <c r="W31" i="1"/>
  <c r="Y31" i="1"/>
  <c r="AI22" i="1"/>
  <c r="AJ22" i="1"/>
</calcChain>
</file>

<file path=xl/sharedStrings.xml><?xml version="1.0" encoding="utf-8"?>
<sst xmlns="http://schemas.openxmlformats.org/spreadsheetml/2006/main" count="83" uniqueCount="43">
  <si>
    <t>Mid-grade</t>
  </si>
  <si>
    <t>Regular</t>
  </si>
  <si>
    <t>Cities</t>
  </si>
  <si>
    <t>British Columbia Total</t>
  </si>
  <si>
    <t>Alberta Total</t>
  </si>
  <si>
    <t>Seats And Restraints</t>
  </si>
  <si>
    <t>Lights And Instruments</t>
  </si>
  <si>
    <t>Visual System</t>
  </si>
  <si>
    <t>Electrical</t>
  </si>
  <si>
    <t>Brakes</t>
  </si>
  <si>
    <t>Steering</t>
  </si>
  <si>
    <t>Powertrain</t>
  </si>
  <si>
    <t>Airbag</t>
  </si>
  <si>
    <t>Fuel Supply</t>
  </si>
  <si>
    <t>Suspension</t>
  </si>
  <si>
    <t>Label</t>
  </si>
  <si>
    <t>Structure</t>
  </si>
  <si>
    <t>Other</t>
  </si>
  <si>
    <t>Components Total</t>
  </si>
  <si>
    <t>Grand Total</t>
  </si>
  <si>
    <t>2019 Sales</t>
  </si>
  <si>
    <t>Seats and Restraints</t>
  </si>
  <si>
    <t>Lights and Instruments</t>
  </si>
  <si>
    <t>Average Costs</t>
  </si>
  <si>
    <t>Eletrical</t>
  </si>
  <si>
    <t>Repairs 5% of Pop</t>
  </si>
  <si>
    <t>Toyota Sales in Fuel Type, Year, Gas Type, Parent Category and Category</t>
  </si>
  <si>
    <t>Population having cars</t>
  </si>
  <si>
    <t>car owners</t>
  </si>
  <si>
    <t>Premium</t>
  </si>
  <si>
    <t>Model</t>
  </si>
  <si>
    <t xml:space="preserve">Corolla </t>
  </si>
  <si>
    <t>Camry</t>
  </si>
  <si>
    <t>Prius</t>
  </si>
  <si>
    <t>Sienna</t>
  </si>
  <si>
    <t>Tacoma</t>
  </si>
  <si>
    <t>Yaris</t>
  </si>
  <si>
    <t>Rav4</t>
  </si>
  <si>
    <t>Minor</t>
  </si>
  <si>
    <t>Major</t>
  </si>
  <si>
    <t>Extreme</t>
  </si>
  <si>
    <t>Sub Total</t>
  </si>
  <si>
    <t>Subtotal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</si>
</sst>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1" applyNumberFormat="1" applyFont="1"/>
    <xf numFmtId="164" fontId="0" fillId="4" borderId="0" xfId="0" applyNumberFormat="1" applyFill="1"/>
    <xf numFmtId="0" fontId="2" fillId="0" borderId="0" xfId="0" applyFont="1" applyAlignment="1">
      <alignment horizontal="left" vertical="top"/>
    </xf>
    <xf numFmtId="164" fontId="0" fillId="0" borderId="0" xfId="0" applyNumberFormat="1"/>
    <xf numFmtId="164" fontId="0" fillId="5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3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4" fontId="0" fillId="9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DF2C-7430-48BF-A45E-C623D48AA4A1}">
  <dimension ref="A1:AJ40"/>
  <sheetViews>
    <sheetView tabSelected="1" zoomScale="80" zoomScaleNormal="80" workbookViewId="0">
      <selection activeCell="J7" sqref="J7"/>
    </sheetView>
  </sheetViews>
  <sheetFormatPr defaultRowHeight="14.4" x14ac:dyDescent="0.55000000000000004"/>
  <cols>
    <col min="1" max="1" width="18.578125" customWidth="1"/>
    <col min="2" max="2" width="21.68359375" customWidth="1"/>
    <col min="3" max="3" width="15.7890625" customWidth="1"/>
    <col min="4" max="4" width="18.3125" customWidth="1"/>
    <col min="5" max="7" width="16.26171875" customWidth="1"/>
    <col min="8" max="8" width="16.9453125" customWidth="1"/>
    <col min="9" max="9" width="18.9453125" customWidth="1"/>
    <col min="10" max="10" width="18.7890625" customWidth="1"/>
    <col min="11" max="11" width="17.15625" customWidth="1"/>
    <col min="12" max="12" width="16.9453125" customWidth="1"/>
    <col min="13" max="13" width="18.5234375" customWidth="1"/>
    <col min="14" max="21" width="12.734375" customWidth="1"/>
    <col min="22" max="22" width="18.41796875" customWidth="1"/>
    <col min="23" max="23" width="21.3125" customWidth="1"/>
    <col min="24" max="24" width="19.734375" customWidth="1"/>
    <col min="25" max="25" width="22.1015625" customWidth="1"/>
    <col min="26" max="26" width="19.1015625" customWidth="1"/>
    <col min="27" max="27" width="18.7890625" customWidth="1"/>
    <col min="28" max="28" width="23.26171875" customWidth="1"/>
    <col min="29" max="29" width="22.578125" customWidth="1"/>
    <col min="30" max="31" width="19.7890625" customWidth="1"/>
    <col min="32" max="32" width="20.3125" customWidth="1"/>
    <col min="33" max="33" width="22.3125" customWidth="1"/>
    <col min="34" max="34" width="21.9453125" customWidth="1"/>
    <col min="35" max="35" width="15.7890625" customWidth="1"/>
    <col min="36" max="36" width="18.05078125" customWidth="1"/>
  </cols>
  <sheetData>
    <row r="1" spans="1:36" x14ac:dyDescent="0.55000000000000004">
      <c r="A1" t="s">
        <v>26</v>
      </c>
      <c r="E1" t="s">
        <v>1</v>
      </c>
      <c r="H1" t="s">
        <v>0</v>
      </c>
      <c r="I1" t="s">
        <v>29</v>
      </c>
      <c r="L1" t="s">
        <v>23</v>
      </c>
    </row>
    <row r="2" spans="1:36" x14ac:dyDescent="0.55000000000000004">
      <c r="E2">
        <v>118</v>
      </c>
      <c r="H2">
        <v>125</v>
      </c>
      <c r="I2">
        <v>140</v>
      </c>
      <c r="L2" t="s">
        <v>21</v>
      </c>
      <c r="M2" t="s">
        <v>22</v>
      </c>
      <c r="N2" t="s">
        <v>7</v>
      </c>
      <c r="O2" t="s">
        <v>24</v>
      </c>
      <c r="P2" t="s">
        <v>9</v>
      </c>
      <c r="Q2" t="s">
        <v>10</v>
      </c>
      <c r="R2" t="s">
        <v>11</v>
      </c>
      <c r="S2" t="s">
        <v>12</v>
      </c>
      <c r="T2" t="s">
        <v>13</v>
      </c>
      <c r="U2" t="s">
        <v>14</v>
      </c>
      <c r="V2" t="s">
        <v>15</v>
      </c>
      <c r="W2" t="s">
        <v>16</v>
      </c>
      <c r="X2" t="s">
        <v>17</v>
      </c>
    </row>
    <row r="3" spans="1:36" ht="38.4" x14ac:dyDescent="0.55000000000000004">
      <c r="A3" s="7" t="s">
        <v>20</v>
      </c>
      <c r="B3" s="7"/>
      <c r="D3" t="s">
        <v>25</v>
      </c>
      <c r="E3">
        <v>0.01</v>
      </c>
      <c r="I3" t="s">
        <v>28</v>
      </c>
      <c r="J3">
        <v>0.65</v>
      </c>
      <c r="L3" s="8">
        <v>200</v>
      </c>
      <c r="M3" s="8">
        <v>1200</v>
      </c>
      <c r="N3" s="8">
        <v>200</v>
      </c>
      <c r="O3" s="8">
        <v>80</v>
      </c>
      <c r="P3" s="8">
        <v>120</v>
      </c>
      <c r="Q3" s="8">
        <v>320</v>
      </c>
      <c r="R3" s="8">
        <v>700</v>
      </c>
      <c r="S3" s="8">
        <v>100</v>
      </c>
      <c r="T3" s="8">
        <v>800</v>
      </c>
      <c r="U3" s="8">
        <v>270</v>
      </c>
      <c r="V3" s="8">
        <v>440</v>
      </c>
      <c r="W3" s="8">
        <v>200</v>
      </c>
      <c r="X3" s="8">
        <v>100</v>
      </c>
    </row>
    <row r="5" spans="1:36" x14ac:dyDescent="0.55000000000000004">
      <c r="A5" s="1"/>
      <c r="B5" s="1"/>
      <c r="C5" s="1"/>
      <c r="D5" s="1" t="s">
        <v>38</v>
      </c>
      <c r="E5" s="1"/>
      <c r="F5" s="1"/>
      <c r="G5" s="1"/>
      <c r="H5" s="1"/>
      <c r="I5" s="3"/>
      <c r="J5" s="1" t="s">
        <v>39</v>
      </c>
      <c r="K5" s="1"/>
      <c r="L5" s="1"/>
      <c r="M5" s="3"/>
      <c r="N5" s="1" t="s">
        <v>40</v>
      </c>
      <c r="O5" s="1"/>
      <c r="P5" s="1"/>
      <c r="Q5" s="1"/>
      <c r="R5" s="1"/>
      <c r="S5" s="16"/>
      <c r="T5" s="4"/>
      <c r="V5" s="1" t="s">
        <v>40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3"/>
      <c r="AJ5" s="4" t="s">
        <v>19</v>
      </c>
    </row>
    <row r="6" spans="1:36" x14ac:dyDescent="0.55000000000000004">
      <c r="A6" s="1" t="s">
        <v>30</v>
      </c>
      <c r="B6" s="1" t="s">
        <v>27</v>
      </c>
      <c r="C6" s="1" t="s">
        <v>2</v>
      </c>
      <c r="D6" s="1" t="s">
        <v>22</v>
      </c>
      <c r="E6" s="1" t="s">
        <v>7</v>
      </c>
      <c r="F6" s="1" t="s">
        <v>15</v>
      </c>
      <c r="G6" s="1" t="s">
        <v>16</v>
      </c>
      <c r="H6" s="1" t="s">
        <v>17</v>
      </c>
      <c r="I6" s="3" t="s">
        <v>41</v>
      </c>
      <c r="J6" s="1" t="s">
        <v>8</v>
      </c>
      <c r="K6" s="1" t="s">
        <v>13</v>
      </c>
      <c r="L6" s="1" t="s">
        <v>14</v>
      </c>
      <c r="M6" s="3" t="s">
        <v>42</v>
      </c>
      <c r="N6" s="1" t="s">
        <v>21</v>
      </c>
      <c r="O6" s="1" t="s">
        <v>9</v>
      </c>
      <c r="P6" s="1" t="s">
        <v>10</v>
      </c>
      <c r="Q6" s="1" t="s">
        <v>11</v>
      </c>
      <c r="R6" s="1" t="s">
        <v>12</v>
      </c>
      <c r="S6" s="16" t="s">
        <v>41</v>
      </c>
      <c r="T6" s="4" t="s">
        <v>19</v>
      </c>
      <c r="V6" s="14" t="s">
        <v>5</v>
      </c>
      <c r="W6" s="13" t="s">
        <v>6</v>
      </c>
      <c r="X6" s="13" t="s">
        <v>7</v>
      </c>
      <c r="Y6" s="15" t="s">
        <v>8</v>
      </c>
      <c r="Z6" s="14" t="s">
        <v>9</v>
      </c>
      <c r="AA6" s="14" t="s">
        <v>10</v>
      </c>
      <c r="AB6" s="14" t="s">
        <v>11</v>
      </c>
      <c r="AC6" s="14" t="s">
        <v>12</v>
      </c>
      <c r="AD6" s="15" t="s">
        <v>13</v>
      </c>
      <c r="AE6" s="15" t="s">
        <v>14</v>
      </c>
      <c r="AF6" s="13" t="s">
        <v>15</v>
      </c>
      <c r="AG6" s="13" t="s">
        <v>16</v>
      </c>
      <c r="AH6" s="13" t="s">
        <v>17</v>
      </c>
      <c r="AI6" s="3" t="s">
        <v>18</v>
      </c>
      <c r="AJ6" s="4"/>
    </row>
    <row r="7" spans="1:36" x14ac:dyDescent="0.55000000000000004">
      <c r="A7" s="2">
        <v>2019</v>
      </c>
      <c r="B7" s="12">
        <f>B14*0.3</f>
        <v>88237500</v>
      </c>
      <c r="C7" s="2" t="s">
        <v>31</v>
      </c>
      <c r="D7" s="5"/>
      <c r="E7" s="5"/>
      <c r="F7" s="5"/>
      <c r="G7" s="5"/>
      <c r="H7" s="5"/>
      <c r="I7" s="6"/>
      <c r="J7" s="8"/>
      <c r="K7" s="8"/>
      <c r="L7" s="8"/>
      <c r="M7" s="6"/>
      <c r="S7" s="16"/>
      <c r="T7" s="4"/>
      <c r="V7" s="8">
        <f>L$3*4+(B7*E3)</f>
        <v>883175</v>
      </c>
      <c r="W7" s="8">
        <f>M$3*1+(B7*E3)</f>
        <v>883575</v>
      </c>
      <c r="X7" s="8">
        <f>N3*3++(B7*E3)</f>
        <v>882975</v>
      </c>
      <c r="Y7" s="8">
        <f>O3*2+(B7*E3)</f>
        <v>882535</v>
      </c>
      <c r="Z7" s="8">
        <f>P3*3+(B7*E3)</f>
        <v>882735</v>
      </c>
      <c r="AA7" s="8"/>
      <c r="AB7" s="8"/>
      <c r="AC7" s="8">
        <f>S3*1+(B7*E3)</f>
        <v>882475</v>
      </c>
      <c r="AD7" s="8">
        <f>T3*1+(B7*E3)</f>
        <v>883175</v>
      </c>
      <c r="AE7" s="8"/>
      <c r="AF7" s="8"/>
      <c r="AG7" s="8"/>
      <c r="AH7" s="8">
        <f>X3*1+(B7*E3)</f>
        <v>882475</v>
      </c>
      <c r="AI7" s="6">
        <f t="shared" ref="AI7:AI13" si="0">SUM(V7:AH7)</f>
        <v>7063120</v>
      </c>
      <c r="AJ7" s="9">
        <f>SUM(I7+M7+AI7)</f>
        <v>7063120</v>
      </c>
    </row>
    <row r="8" spans="1:36" x14ac:dyDescent="0.55000000000000004">
      <c r="A8" s="2"/>
      <c r="B8" s="12">
        <f>B14*0.27</f>
        <v>79413750</v>
      </c>
      <c r="C8" s="2" t="s">
        <v>32</v>
      </c>
      <c r="D8" s="5"/>
      <c r="E8" s="5"/>
      <c r="F8" s="5"/>
      <c r="G8" s="5"/>
      <c r="H8" s="5"/>
      <c r="I8" s="6"/>
      <c r="J8" s="8"/>
      <c r="K8" s="8"/>
      <c r="L8" s="8"/>
      <c r="M8" s="6"/>
      <c r="S8" s="16"/>
      <c r="T8" s="4"/>
      <c r="V8" s="8">
        <f>L$3*1+(B8*E3)</f>
        <v>794337.5</v>
      </c>
      <c r="W8" s="8">
        <f>M$3*1++(B8*E3)</f>
        <v>795337.5</v>
      </c>
      <c r="X8" s="8"/>
      <c r="Y8" s="8"/>
      <c r="Z8" s="8">
        <f>P3*2+(B8*E3)</f>
        <v>794377.5</v>
      </c>
      <c r="AA8" s="8">
        <f>Q3*1+(B8*E3)</f>
        <v>794457.5</v>
      </c>
      <c r="AB8" s="8">
        <f>R3*1+(B8*E3)</f>
        <v>794837.5</v>
      </c>
      <c r="AC8" s="8">
        <f>S3*1+(B8*E3)</f>
        <v>794237.5</v>
      </c>
      <c r="AD8" s="8"/>
      <c r="AE8" s="8"/>
      <c r="AF8" s="8"/>
      <c r="AG8" s="8">
        <f>W3*1+(B8*E3)</f>
        <v>794337.5</v>
      </c>
      <c r="AH8" s="8"/>
      <c r="AI8" s="6">
        <f t="shared" si="0"/>
        <v>5561922.5</v>
      </c>
      <c r="AJ8" s="9">
        <f>SUM(I8+M8+AI8)</f>
        <v>5561922.5</v>
      </c>
    </row>
    <row r="9" spans="1:36" x14ac:dyDescent="0.55000000000000004">
      <c r="A9" s="2"/>
      <c r="B9" s="12">
        <f>B14*0.17</f>
        <v>50001250</v>
      </c>
      <c r="C9" s="2" t="s">
        <v>33</v>
      </c>
      <c r="D9" s="5"/>
      <c r="E9" s="5"/>
      <c r="F9" s="5"/>
      <c r="G9" s="5"/>
      <c r="H9" s="5"/>
      <c r="I9" s="6"/>
      <c r="J9" s="8"/>
      <c r="K9" s="8"/>
      <c r="L9" s="8"/>
      <c r="M9" s="6"/>
      <c r="S9" s="16"/>
      <c r="T9" s="4"/>
      <c r="V9" s="8"/>
      <c r="W9" s="8"/>
      <c r="X9" s="8"/>
      <c r="Y9" s="8">
        <f>O3*1+(B9*E3)</f>
        <v>500092.5</v>
      </c>
      <c r="Z9" s="8">
        <f>P3*1+(B9*E3)</f>
        <v>500132.5</v>
      </c>
      <c r="AA9" s="8"/>
      <c r="AB9" s="8"/>
      <c r="AC9" s="8">
        <f>S3*2+(B9*E3)</f>
        <v>500212.5</v>
      </c>
      <c r="AD9" s="8"/>
      <c r="AE9" s="8"/>
      <c r="AF9" s="8"/>
      <c r="AG9" s="8"/>
      <c r="AH9" s="8"/>
      <c r="AI9" s="6">
        <f t="shared" si="0"/>
        <v>1500437.5</v>
      </c>
      <c r="AJ9" s="9">
        <f>SUM(I9+M9+AI9)</f>
        <v>1500437.5</v>
      </c>
    </row>
    <row r="10" spans="1:36" x14ac:dyDescent="0.55000000000000004">
      <c r="A10" s="2"/>
      <c r="B10" s="12">
        <f>B14*0.09</f>
        <v>26471250</v>
      </c>
      <c r="C10" s="2" t="s">
        <v>34</v>
      </c>
      <c r="D10" s="5"/>
      <c r="E10" s="5"/>
      <c r="F10" s="5"/>
      <c r="G10" s="5"/>
      <c r="H10" s="5"/>
      <c r="I10" s="6"/>
      <c r="J10" s="8"/>
      <c r="K10" s="8"/>
      <c r="L10" s="8"/>
      <c r="M10" s="6"/>
      <c r="S10" s="16"/>
      <c r="T10" s="4"/>
      <c r="V10" s="8">
        <f>L3*1+(B10*E3)</f>
        <v>264912.5</v>
      </c>
      <c r="W10" s="8"/>
      <c r="X10" s="8">
        <f>N3*1+(B10*E3)</f>
        <v>264912.5</v>
      </c>
      <c r="Y10" s="8"/>
      <c r="Z10" s="8"/>
      <c r="AA10" s="8"/>
      <c r="AB10" s="8">
        <f>R3*1+(B10*E3)</f>
        <v>265412.5</v>
      </c>
      <c r="AC10" s="8"/>
      <c r="AD10" s="8">
        <f>T3*1+(B10*E3)</f>
        <v>265512.5</v>
      </c>
      <c r="AE10" s="8"/>
      <c r="AF10" s="8"/>
      <c r="AG10" s="8"/>
      <c r="AH10" s="8"/>
      <c r="AI10" s="6">
        <f t="shared" si="0"/>
        <v>1060750</v>
      </c>
      <c r="AJ10" s="9">
        <f>SUM(I10+M10+AI10)</f>
        <v>1060750</v>
      </c>
    </row>
    <row r="11" spans="1:36" x14ac:dyDescent="0.55000000000000004">
      <c r="A11" s="2"/>
      <c r="B11" s="12">
        <f>B14*0.07</f>
        <v>20588750.000000004</v>
      </c>
      <c r="C11" s="2" t="s">
        <v>35</v>
      </c>
      <c r="D11" s="5"/>
      <c r="E11" s="5"/>
      <c r="F11" s="5"/>
      <c r="G11" s="5"/>
      <c r="H11" s="5"/>
      <c r="I11" s="6"/>
      <c r="J11" s="8"/>
      <c r="K11" s="8"/>
      <c r="L11" s="8"/>
      <c r="M11" s="6"/>
      <c r="S11" s="16"/>
      <c r="T11" s="4"/>
      <c r="V11" s="8"/>
      <c r="W11" s="8"/>
      <c r="X11" s="8"/>
      <c r="Y11" s="8"/>
      <c r="Z11" s="8">
        <f>P3*1+(B11*E3)</f>
        <v>206007.50000000003</v>
      </c>
      <c r="AA11" s="8"/>
      <c r="AB11" s="8"/>
      <c r="AC11" s="8"/>
      <c r="AD11" s="8"/>
      <c r="AE11" s="8"/>
      <c r="AF11" s="8"/>
      <c r="AG11" s="8"/>
      <c r="AH11" s="8"/>
      <c r="AI11" s="6">
        <f t="shared" si="0"/>
        <v>206007.50000000003</v>
      </c>
      <c r="AJ11" s="9">
        <f>SUM(I11+M11+AI11)</f>
        <v>206007.50000000003</v>
      </c>
    </row>
    <row r="12" spans="1:36" x14ac:dyDescent="0.55000000000000004">
      <c r="A12" s="2"/>
      <c r="B12" s="12">
        <f>B14*0.06</f>
        <v>17647500</v>
      </c>
      <c r="C12" s="2" t="s">
        <v>36</v>
      </c>
      <c r="D12" s="5"/>
      <c r="E12" s="5"/>
      <c r="F12" s="5"/>
      <c r="G12" s="5"/>
      <c r="H12" s="5"/>
      <c r="I12" s="6"/>
      <c r="J12" s="8"/>
      <c r="K12" s="8"/>
      <c r="L12" s="8"/>
      <c r="M12" s="6"/>
      <c r="S12" s="16"/>
      <c r="T12" s="4"/>
      <c r="V12" s="8"/>
      <c r="W12" s="8"/>
      <c r="X12" s="8">
        <f>N3*1+(B12*E3)</f>
        <v>176675</v>
      </c>
      <c r="Y12" s="8"/>
      <c r="Z12" s="8"/>
      <c r="AA12" s="8"/>
      <c r="AB12" s="8"/>
      <c r="AC12" s="8"/>
      <c r="AD12" s="8"/>
      <c r="AE12" s="8"/>
      <c r="AF12" s="8">
        <f>V3*1+(B12*E3)</f>
        <v>176915</v>
      </c>
      <c r="AG12" s="8"/>
      <c r="AH12" s="8">
        <f>X3*1+(B12*E3)</f>
        <v>176575</v>
      </c>
      <c r="AI12" s="6">
        <f t="shared" si="0"/>
        <v>530165</v>
      </c>
      <c r="AJ12" s="9">
        <f>SUM(I12+M12+AI12)</f>
        <v>530165</v>
      </c>
    </row>
    <row r="13" spans="1:36" x14ac:dyDescent="0.55000000000000004">
      <c r="A13" s="2"/>
      <c r="B13" s="12">
        <f>B14*0.04</f>
        <v>11765000</v>
      </c>
      <c r="C13" s="2" t="s">
        <v>37</v>
      </c>
      <c r="D13" s="5"/>
      <c r="E13" s="5"/>
      <c r="F13" s="5"/>
      <c r="G13" s="5"/>
      <c r="H13" s="5"/>
      <c r="I13" s="6"/>
      <c r="J13" s="8"/>
      <c r="K13" s="8"/>
      <c r="L13" s="8"/>
      <c r="M13" s="6"/>
      <c r="S13" s="16"/>
      <c r="T13" s="4"/>
      <c r="V13" s="8"/>
      <c r="W13" s="8"/>
      <c r="X13" s="8"/>
      <c r="Y13" s="8"/>
      <c r="Z13" s="8"/>
      <c r="AA13" s="8"/>
      <c r="AB13" s="8">
        <f>R3*1+(B13*E3)</f>
        <v>118350</v>
      </c>
      <c r="AC13" s="8"/>
      <c r="AD13" s="8"/>
      <c r="AE13" s="8"/>
      <c r="AF13" s="8"/>
      <c r="AG13" s="8"/>
      <c r="AH13" s="8"/>
      <c r="AI13" s="6">
        <f t="shared" si="0"/>
        <v>118350</v>
      </c>
      <c r="AJ13" s="9">
        <f>SUM(I13+M13+AI13)</f>
        <v>118350</v>
      </c>
    </row>
    <row r="14" spans="1:36" x14ac:dyDescent="0.55000000000000004">
      <c r="A14" s="3" t="s">
        <v>3</v>
      </c>
      <c r="B14" s="10">
        <f>452500000*J3</f>
        <v>294125000</v>
      </c>
      <c r="C14" s="3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17"/>
      <c r="T14" s="9"/>
      <c r="V14" s="6">
        <f t="shared" ref="V14:AJ14" si="1">SUM(V7:V13)</f>
        <v>1942425</v>
      </c>
      <c r="W14" s="6">
        <f t="shared" si="1"/>
        <v>1678912.5</v>
      </c>
      <c r="X14" s="6">
        <f t="shared" si="1"/>
        <v>1324562.5</v>
      </c>
      <c r="Y14" s="6">
        <f t="shared" si="1"/>
        <v>1382627.5</v>
      </c>
      <c r="Z14" s="6">
        <f t="shared" si="1"/>
        <v>2383252.5</v>
      </c>
      <c r="AA14" s="6">
        <f t="shared" si="1"/>
        <v>794457.5</v>
      </c>
      <c r="AB14" s="6">
        <f t="shared" si="1"/>
        <v>1178600</v>
      </c>
      <c r="AC14" s="6">
        <f t="shared" si="1"/>
        <v>2176925</v>
      </c>
      <c r="AD14" s="6">
        <f t="shared" si="1"/>
        <v>1148687.5</v>
      </c>
      <c r="AE14" s="6">
        <f t="shared" si="1"/>
        <v>0</v>
      </c>
      <c r="AF14" s="6">
        <f t="shared" si="1"/>
        <v>176915</v>
      </c>
      <c r="AG14" s="6">
        <f t="shared" si="1"/>
        <v>794337.5</v>
      </c>
      <c r="AH14" s="6">
        <f t="shared" si="1"/>
        <v>1059050</v>
      </c>
      <c r="AI14" s="6">
        <f t="shared" si="1"/>
        <v>16040752.5</v>
      </c>
      <c r="AJ14" s="9">
        <f t="shared" si="1"/>
        <v>16040752.5</v>
      </c>
    </row>
    <row r="15" spans="1:36" x14ac:dyDescent="0.55000000000000004">
      <c r="A15" s="2">
        <v>2018</v>
      </c>
      <c r="B15" s="12">
        <f>B22*0.3</f>
        <v>821535</v>
      </c>
      <c r="C15" s="2" t="s">
        <v>31</v>
      </c>
      <c r="D15" s="8"/>
      <c r="E15" s="8"/>
      <c r="F15" s="8"/>
      <c r="G15" s="8"/>
      <c r="H15" s="8"/>
      <c r="I15" s="6"/>
      <c r="J15" s="8"/>
      <c r="K15" s="8"/>
      <c r="L15" s="8"/>
      <c r="M15" s="6"/>
      <c r="S15" s="16"/>
      <c r="T15" s="4"/>
      <c r="V15" s="8"/>
      <c r="W15" s="8"/>
      <c r="X15" s="8"/>
      <c r="Y15" s="8"/>
      <c r="Z15" s="8"/>
      <c r="AA15" s="8">
        <f>Q3*2+(B15*0.7)</f>
        <v>575714.5</v>
      </c>
      <c r="AB15" s="8"/>
      <c r="AC15" s="8"/>
      <c r="AD15" s="8"/>
      <c r="AE15" s="8"/>
      <c r="AF15" s="8"/>
      <c r="AG15" s="8"/>
      <c r="AH15" s="8"/>
      <c r="AI15" s="6">
        <f t="shared" ref="AI15:AI21" si="2">SUM(V15:AH15)</f>
        <v>575714.5</v>
      </c>
      <c r="AJ15" s="9">
        <f>I15+M15+AI15</f>
        <v>575714.5</v>
      </c>
    </row>
    <row r="16" spans="1:36" x14ac:dyDescent="0.55000000000000004">
      <c r="A16" s="2"/>
      <c r="B16" s="12">
        <f>B22*0.27</f>
        <v>739381.5</v>
      </c>
      <c r="C16" s="2" t="s">
        <v>32</v>
      </c>
      <c r="D16" s="8"/>
      <c r="E16" s="8"/>
      <c r="F16" s="8"/>
      <c r="G16" s="8"/>
      <c r="H16" s="8"/>
      <c r="I16" s="6"/>
      <c r="J16" s="8"/>
      <c r="K16" s="8"/>
      <c r="L16" s="8"/>
      <c r="M16" s="6"/>
      <c r="S16" s="16"/>
      <c r="T16" s="4"/>
      <c r="V16" s="8"/>
      <c r="W16" s="8"/>
      <c r="X16" s="8">
        <f>N3*1+(B16*0.7)</f>
        <v>517767.05</v>
      </c>
      <c r="Y16" s="8"/>
      <c r="Z16" s="8">
        <f>P3*1+(B16*0.7)</f>
        <v>517687.05</v>
      </c>
      <c r="AA16" s="8"/>
      <c r="AB16" s="8"/>
      <c r="AC16" s="8"/>
      <c r="AD16" s="8"/>
      <c r="AE16" s="8"/>
      <c r="AF16" s="8"/>
      <c r="AG16" s="8"/>
      <c r="AH16" s="8"/>
      <c r="AI16" s="6">
        <f t="shared" si="2"/>
        <v>1035454.1</v>
      </c>
      <c r="AJ16" s="9">
        <f>I16+M16+AI16</f>
        <v>1035454.1</v>
      </c>
    </row>
    <row r="17" spans="1:36" x14ac:dyDescent="0.55000000000000004">
      <c r="A17" s="2"/>
      <c r="B17" s="12">
        <f>B22*0.17</f>
        <v>465536.50000000006</v>
      </c>
      <c r="C17" s="2" t="s">
        <v>33</v>
      </c>
      <c r="D17" s="8"/>
      <c r="E17" s="8"/>
      <c r="F17" s="8"/>
      <c r="G17" s="8"/>
      <c r="H17" s="8"/>
      <c r="I17" s="6"/>
      <c r="J17" s="8"/>
      <c r="K17" s="8"/>
      <c r="L17" s="8"/>
      <c r="M17" s="6"/>
      <c r="S17" s="16"/>
      <c r="T17" s="4"/>
      <c r="V17" s="8">
        <f>L3*1+(B17*E3)</f>
        <v>4855.3650000000007</v>
      </c>
      <c r="W17" s="8"/>
      <c r="X17" s="8"/>
      <c r="Y17" s="8"/>
      <c r="Z17" s="8"/>
      <c r="AA17" s="8"/>
      <c r="AB17" s="8"/>
      <c r="AC17" s="8"/>
      <c r="AD17" s="8"/>
      <c r="AE17" s="8"/>
      <c r="AF17" s="8">
        <f>V3*1+(B17*0.7)</f>
        <v>326315.55000000005</v>
      </c>
      <c r="AG17" s="8"/>
      <c r="AH17" s="8"/>
      <c r="AI17" s="6">
        <f t="shared" si="2"/>
        <v>331170.91500000004</v>
      </c>
      <c r="AJ17" s="9">
        <f>I17+M17+AI17</f>
        <v>331170.91500000004</v>
      </c>
    </row>
    <row r="18" spans="1:36" x14ac:dyDescent="0.55000000000000004">
      <c r="A18" s="2"/>
      <c r="B18" s="12">
        <f>B22*0.09</f>
        <v>246460.5</v>
      </c>
      <c r="C18" s="2" t="s">
        <v>34</v>
      </c>
      <c r="D18" s="8"/>
      <c r="E18" s="8"/>
      <c r="F18" s="8"/>
      <c r="G18" s="8"/>
      <c r="H18" s="8"/>
      <c r="I18" s="6"/>
      <c r="J18" s="8"/>
      <c r="K18" s="8"/>
      <c r="L18" s="8"/>
      <c r="M18" s="6"/>
      <c r="S18" s="16"/>
      <c r="T18" s="4"/>
      <c r="V18" s="8"/>
      <c r="W18" s="8"/>
      <c r="X18" s="8"/>
      <c r="Y18" s="8"/>
      <c r="Z18" s="8"/>
      <c r="AA18" s="8"/>
      <c r="AB18" s="8">
        <f>R3*1+(B18*0.7)</f>
        <v>173222.34999999998</v>
      </c>
      <c r="AC18" s="8"/>
      <c r="AD18" s="8"/>
      <c r="AE18" s="8"/>
      <c r="AF18" s="8"/>
      <c r="AG18" s="8"/>
      <c r="AH18" s="8"/>
      <c r="AI18" s="6">
        <f t="shared" si="2"/>
        <v>173222.34999999998</v>
      </c>
      <c r="AJ18" s="9">
        <f>I18+M18+AI18</f>
        <v>173222.34999999998</v>
      </c>
    </row>
    <row r="19" spans="1:36" x14ac:dyDescent="0.55000000000000004">
      <c r="A19" s="2"/>
      <c r="B19" s="12">
        <f>B22*0.07</f>
        <v>191691.50000000003</v>
      </c>
      <c r="C19" s="2" t="s">
        <v>35</v>
      </c>
      <c r="D19" s="8"/>
      <c r="E19" s="8"/>
      <c r="F19" s="8"/>
      <c r="G19" s="8"/>
      <c r="H19" s="8"/>
      <c r="I19" s="6"/>
      <c r="J19" s="8"/>
      <c r="K19" s="8"/>
      <c r="L19" s="8"/>
      <c r="M19" s="6"/>
      <c r="S19" s="16"/>
      <c r="T19" s="4"/>
      <c r="V19" s="8"/>
      <c r="W19" s="8">
        <f>M3*1+(B19*0.7)</f>
        <v>135384.05000000002</v>
      </c>
      <c r="X19" s="8"/>
      <c r="Y19" s="8">
        <f>O3*1+(B19*0.7)</f>
        <v>134264.05000000002</v>
      </c>
      <c r="Z19" s="8"/>
      <c r="AA19" s="8"/>
      <c r="AB19" s="8"/>
      <c r="AC19" s="8"/>
      <c r="AD19" s="8"/>
      <c r="AE19" s="8"/>
      <c r="AF19" s="8"/>
      <c r="AG19" s="8"/>
      <c r="AH19" s="8"/>
      <c r="AI19" s="6">
        <f t="shared" si="2"/>
        <v>269648.10000000003</v>
      </c>
      <c r="AJ19" s="9">
        <f>I19+M19+AI19</f>
        <v>269648.10000000003</v>
      </c>
    </row>
    <row r="20" spans="1:36" x14ac:dyDescent="0.55000000000000004">
      <c r="A20" s="2"/>
      <c r="B20" s="12">
        <f>B22*0.06</f>
        <v>164307</v>
      </c>
      <c r="C20" s="2" t="s">
        <v>36</v>
      </c>
      <c r="D20" s="8"/>
      <c r="E20" s="8"/>
      <c r="F20" s="8"/>
      <c r="G20" s="8"/>
      <c r="H20" s="8"/>
      <c r="I20" s="6"/>
      <c r="J20" s="8"/>
      <c r="K20" s="8"/>
      <c r="L20" s="8"/>
      <c r="M20" s="6"/>
      <c r="S20" s="16"/>
      <c r="T20" s="4"/>
      <c r="V20" s="8"/>
      <c r="W20" s="8"/>
      <c r="X20" s="8"/>
      <c r="Y20" s="8"/>
      <c r="Z20" s="8">
        <f>P3*1+(B20*0.7)</f>
        <v>115134.9</v>
      </c>
      <c r="AA20" s="8"/>
      <c r="AB20" s="8">
        <f>R3*2+(B20*0.7)</f>
        <v>116414.9</v>
      </c>
      <c r="AC20" s="8"/>
      <c r="AD20" s="8"/>
      <c r="AE20" s="8"/>
      <c r="AF20" s="8"/>
      <c r="AG20" s="8"/>
      <c r="AH20" s="8">
        <f>X3*1+(B20*0.7)</f>
        <v>115114.9</v>
      </c>
      <c r="AI20" s="6">
        <f t="shared" si="2"/>
        <v>346664.69999999995</v>
      </c>
      <c r="AJ20" s="9">
        <f>I20+M20+AI20</f>
        <v>346664.69999999995</v>
      </c>
    </row>
    <row r="21" spans="1:36" x14ac:dyDescent="0.55000000000000004">
      <c r="A21" s="2"/>
      <c r="B21" s="12">
        <f>B22*0.04</f>
        <v>109538</v>
      </c>
      <c r="C21" s="2" t="s">
        <v>37</v>
      </c>
      <c r="D21" s="8"/>
      <c r="E21" s="8"/>
      <c r="F21" s="8"/>
      <c r="G21" s="8"/>
      <c r="H21" s="8"/>
      <c r="I21" s="6"/>
      <c r="J21" s="8"/>
      <c r="K21" s="8"/>
      <c r="L21" s="8"/>
      <c r="M21" s="6"/>
      <c r="S21" s="16"/>
      <c r="T21" s="4"/>
      <c r="V21" s="8"/>
      <c r="W21" s="8"/>
      <c r="X21" s="8">
        <f>N3*1+(B21*0.7)</f>
        <v>76876.599999999991</v>
      </c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6">
        <f t="shared" si="2"/>
        <v>76876.599999999991</v>
      </c>
      <c r="AJ21" s="9">
        <f>I21+M21+AI21</f>
        <v>76876.599999999991</v>
      </c>
    </row>
    <row r="22" spans="1:36" x14ac:dyDescent="0.55000000000000004">
      <c r="A22" s="3" t="s">
        <v>4</v>
      </c>
      <c r="B22" s="10">
        <f>4213000*J3</f>
        <v>2738450</v>
      </c>
      <c r="C22" s="3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17"/>
      <c r="T22" s="9"/>
      <c r="V22" s="6">
        <f t="shared" ref="V22:AB22" si="3">SUM(V15:V21)</f>
        <v>4855.3650000000007</v>
      </c>
      <c r="W22" s="6">
        <f t="shared" si="3"/>
        <v>135384.05000000002</v>
      </c>
      <c r="X22" s="6">
        <f t="shared" si="3"/>
        <v>594643.65</v>
      </c>
      <c r="Y22" s="6">
        <f t="shared" si="3"/>
        <v>134264.05000000002</v>
      </c>
      <c r="Z22" s="6">
        <f t="shared" si="3"/>
        <v>632821.94999999995</v>
      </c>
      <c r="AA22" s="6">
        <f t="shared" si="3"/>
        <v>575714.5</v>
      </c>
      <c r="AB22" s="6">
        <f t="shared" si="3"/>
        <v>289637.25</v>
      </c>
      <c r="AC22" s="6">
        <f t="shared" ref="AC22:AH22" si="4">SUM(AC15:AC21)</f>
        <v>0</v>
      </c>
      <c r="AD22" s="6">
        <f t="shared" si="4"/>
        <v>0</v>
      </c>
      <c r="AE22" s="6">
        <f t="shared" si="4"/>
        <v>0</v>
      </c>
      <c r="AF22" s="6">
        <f t="shared" si="4"/>
        <v>326315.55000000005</v>
      </c>
      <c r="AG22" s="6">
        <f t="shared" si="4"/>
        <v>0</v>
      </c>
      <c r="AH22" s="6">
        <f t="shared" si="4"/>
        <v>115114.9</v>
      </c>
      <c r="AI22" s="6">
        <f>SUM(AI15:AI21)</f>
        <v>2808751.2650000001</v>
      </c>
      <c r="AJ22" s="9">
        <f>SUM(AJ15:AJ21)</f>
        <v>2808751.2650000001</v>
      </c>
    </row>
    <row r="23" spans="1:36" x14ac:dyDescent="0.55000000000000004">
      <c r="A23" s="2">
        <v>2017</v>
      </c>
      <c r="B23" s="12">
        <f>B30*0.3</f>
        <v>2407275</v>
      </c>
      <c r="C23" s="2" t="s">
        <v>31</v>
      </c>
      <c r="D23" s="8"/>
      <c r="E23" s="8"/>
      <c r="F23" s="8"/>
      <c r="G23" s="8"/>
      <c r="H23" s="8"/>
      <c r="I23" s="6"/>
      <c r="J23" s="8"/>
      <c r="K23" s="8"/>
      <c r="L23" s="8"/>
      <c r="M23" s="6"/>
      <c r="S23" s="16"/>
      <c r="T23" s="4"/>
      <c r="V23" s="8">
        <f>L3*3+(B23*E3)</f>
        <v>24672.75</v>
      </c>
      <c r="W23" s="8"/>
      <c r="X23" s="8"/>
      <c r="Y23" s="8"/>
      <c r="Z23" s="8">
        <f>P3*2+(B23*0.7)</f>
        <v>1685332.5</v>
      </c>
      <c r="AA23" s="8">
        <f>Q3*2+(B23*0.7)</f>
        <v>1685732.5</v>
      </c>
      <c r="AB23" s="8">
        <f>R3*1+(B23*0.7)</f>
        <v>1685792.5</v>
      </c>
      <c r="AC23" s="8"/>
      <c r="AD23" s="8"/>
      <c r="AE23" s="8"/>
      <c r="AF23" s="8"/>
      <c r="AG23" s="8"/>
      <c r="AH23" s="8">
        <f>X3*4+(B23*0.7)</f>
        <v>1685492.5</v>
      </c>
      <c r="AI23" s="6">
        <f t="shared" ref="AI23:AI29" si="5">SUM(V23:AH23)</f>
        <v>6767022.75</v>
      </c>
      <c r="AJ23" s="9">
        <f>SUM(I23+M23+AI23)</f>
        <v>6767022.75</v>
      </c>
    </row>
    <row r="24" spans="1:36" x14ac:dyDescent="0.55000000000000004">
      <c r="A24" s="2"/>
      <c r="B24" s="12">
        <f>B30*0.27</f>
        <v>2166547.5</v>
      </c>
      <c r="C24" s="2" t="s">
        <v>32</v>
      </c>
      <c r="D24" s="8"/>
      <c r="E24" s="8"/>
      <c r="F24" s="8"/>
      <c r="G24" s="8"/>
      <c r="H24" s="8"/>
      <c r="I24" s="6"/>
      <c r="J24" s="8"/>
      <c r="K24" s="8"/>
      <c r="L24" s="8"/>
      <c r="M24" s="6"/>
      <c r="S24" s="16"/>
      <c r="T24" s="4"/>
      <c r="V24" s="8"/>
      <c r="W24" s="8">
        <f>M3*1+(B24*0.7)</f>
        <v>1517783.25</v>
      </c>
      <c r="X24" s="8">
        <f>N3*3+(B24*0.7)</f>
        <v>1517183.25</v>
      </c>
      <c r="Y24" s="8"/>
      <c r="Z24" s="8"/>
      <c r="AA24" s="8">
        <f>Q3*1+(B24*0.7)</f>
        <v>1516903.25</v>
      </c>
      <c r="AB24" s="8"/>
      <c r="AC24" s="8"/>
      <c r="AD24" s="8"/>
      <c r="AE24" s="8"/>
      <c r="AF24" s="8"/>
      <c r="AG24" s="8"/>
      <c r="AH24" s="8"/>
      <c r="AI24" s="6">
        <f t="shared" si="5"/>
        <v>4551869.75</v>
      </c>
      <c r="AJ24" s="9">
        <f>SUM(I24+M24+AI24)</f>
        <v>4551869.75</v>
      </c>
    </row>
    <row r="25" spans="1:36" x14ac:dyDescent="0.55000000000000004">
      <c r="A25" s="2"/>
      <c r="B25" s="12">
        <f>B30*0.17</f>
        <v>1364122.5</v>
      </c>
      <c r="C25" s="2" t="s">
        <v>33</v>
      </c>
      <c r="D25" s="8"/>
      <c r="E25" s="8"/>
      <c r="F25" s="8"/>
      <c r="G25" s="8"/>
      <c r="H25" s="8"/>
      <c r="I25" s="6"/>
      <c r="J25" s="8"/>
      <c r="K25" s="8"/>
      <c r="L25" s="8"/>
      <c r="M25" s="6"/>
      <c r="S25" s="16"/>
      <c r="T25" s="4"/>
      <c r="V25" s="8"/>
      <c r="W25" s="8"/>
      <c r="X25" s="8">
        <f>N3*1+(B25*0.7)</f>
        <v>955085.74999999988</v>
      </c>
      <c r="Y25" s="8"/>
      <c r="Z25" s="8"/>
      <c r="AA25" s="8"/>
      <c r="AB25" s="8"/>
      <c r="AC25" s="8"/>
      <c r="AD25" s="8"/>
      <c r="AE25" s="8">
        <f>U3*1+(B25*0.7)</f>
        <v>955155.74999999988</v>
      </c>
      <c r="AF25" s="8"/>
      <c r="AG25" s="8"/>
      <c r="AH25" s="8"/>
      <c r="AI25" s="6">
        <f t="shared" si="5"/>
        <v>1910241.4999999998</v>
      </c>
      <c r="AJ25" s="9">
        <f>SUM(I25+M25+AI25)</f>
        <v>1910241.4999999998</v>
      </c>
    </row>
    <row r="26" spans="1:36" x14ac:dyDescent="0.55000000000000004">
      <c r="A26" s="2"/>
      <c r="B26" s="12">
        <f>B30*0.09</f>
        <v>722182.5</v>
      </c>
      <c r="C26" s="2" t="s">
        <v>34</v>
      </c>
      <c r="D26" s="8"/>
      <c r="E26" s="8"/>
      <c r="F26" s="8"/>
      <c r="G26" s="8"/>
      <c r="H26" s="8"/>
      <c r="I26" s="6"/>
      <c r="J26" s="8"/>
      <c r="K26" s="8"/>
      <c r="L26" s="8"/>
      <c r="M26" s="6"/>
      <c r="S26" s="16"/>
      <c r="T26" s="4"/>
      <c r="V26" s="8"/>
      <c r="W26" s="8"/>
      <c r="X26" s="8"/>
      <c r="Y26" s="8">
        <f>O3*1+(B26*0.7)</f>
        <v>505607.74999999994</v>
      </c>
      <c r="Z26" s="8">
        <f>P3*1+(B26*0.7)</f>
        <v>505647.74999999994</v>
      </c>
      <c r="AA26" s="8"/>
      <c r="AB26" s="8"/>
      <c r="AC26" s="8">
        <f>S3*1+(B26*0.7)</f>
        <v>505627.74999999994</v>
      </c>
      <c r="AD26" s="8"/>
      <c r="AE26" s="8"/>
      <c r="AF26" s="8"/>
      <c r="AG26" s="8"/>
      <c r="AH26" s="8"/>
      <c r="AI26" s="6">
        <f t="shared" si="5"/>
        <v>1516883.2499999998</v>
      </c>
      <c r="AJ26" s="9">
        <f>SUM(I26+M26+AI26)</f>
        <v>1516883.2499999998</v>
      </c>
    </row>
    <row r="27" spans="1:36" x14ac:dyDescent="0.55000000000000004">
      <c r="A27" s="2"/>
      <c r="B27" s="12">
        <f>B30*0.07</f>
        <v>561697.5</v>
      </c>
      <c r="C27" s="2" t="s">
        <v>35</v>
      </c>
      <c r="D27" s="8"/>
      <c r="E27" s="8"/>
      <c r="F27" s="8"/>
      <c r="G27" s="8"/>
      <c r="H27" s="8"/>
      <c r="I27" s="6"/>
      <c r="J27" s="8"/>
      <c r="K27" s="8"/>
      <c r="L27" s="8"/>
      <c r="M27" s="6"/>
      <c r="S27" s="16"/>
      <c r="T27" s="4"/>
      <c r="V27" s="8">
        <f>L3*1+(B27)</f>
        <v>561897.5</v>
      </c>
      <c r="W27" s="8">
        <f>M3*1+(B27*0.7)</f>
        <v>394388.25</v>
      </c>
      <c r="X27" s="8"/>
      <c r="Y27" s="8"/>
      <c r="Z27" s="8"/>
      <c r="AA27" s="8">
        <f>Q3*1+(B27*0.7)</f>
        <v>393508.25</v>
      </c>
      <c r="AB27" s="8"/>
      <c r="AC27" s="8"/>
      <c r="AD27" s="8"/>
      <c r="AE27" s="8"/>
      <c r="AF27" s="8"/>
      <c r="AG27" s="8"/>
      <c r="AH27" s="8">
        <f>X3*1+(B27*0.7)</f>
        <v>393288.25</v>
      </c>
      <c r="AI27" s="6">
        <f t="shared" si="5"/>
        <v>1743082.25</v>
      </c>
      <c r="AJ27" s="9">
        <f>SUM(I27+M27+AI27)</f>
        <v>1743082.25</v>
      </c>
    </row>
    <row r="28" spans="1:36" x14ac:dyDescent="0.55000000000000004">
      <c r="A28" s="2"/>
      <c r="B28" s="12">
        <f>B30*0.06</f>
        <v>481455</v>
      </c>
      <c r="C28" s="2" t="s">
        <v>36</v>
      </c>
      <c r="D28" s="8"/>
      <c r="E28" s="8"/>
      <c r="F28" s="8"/>
      <c r="G28" s="8"/>
      <c r="H28" s="8"/>
      <c r="I28" s="6"/>
      <c r="J28" s="8"/>
      <c r="K28" s="8"/>
      <c r="L28" s="8"/>
      <c r="M28" s="6"/>
      <c r="S28" s="16"/>
      <c r="T28" s="4"/>
      <c r="V28" s="8">
        <f>L3*1+(B28*E3)</f>
        <v>5014.55</v>
      </c>
      <c r="W28" s="8"/>
      <c r="X28" s="8"/>
      <c r="Y28" s="8"/>
      <c r="Z28" s="8"/>
      <c r="AA28" s="8"/>
      <c r="AB28" s="8">
        <f>R3*1+(B28*0.7)</f>
        <v>337718.5</v>
      </c>
      <c r="AC28" s="8"/>
      <c r="AD28" s="8"/>
      <c r="AE28" s="8"/>
      <c r="AF28" s="8">
        <f>V3*1+(B28*0.7)</f>
        <v>337458.5</v>
      </c>
      <c r="AG28" s="8"/>
      <c r="AH28" s="8"/>
      <c r="AI28" s="6">
        <f t="shared" si="5"/>
        <v>680191.55</v>
      </c>
      <c r="AJ28" s="9">
        <f>SUM(I28+M28+AI28)</f>
        <v>680191.55</v>
      </c>
    </row>
    <row r="29" spans="1:36" x14ac:dyDescent="0.55000000000000004">
      <c r="A29" s="2"/>
      <c r="B29" s="12">
        <f>B30*0.04</f>
        <v>320970</v>
      </c>
      <c r="C29" s="2" t="s">
        <v>37</v>
      </c>
      <c r="D29" s="8"/>
      <c r="E29" s="8"/>
      <c r="F29" s="8"/>
      <c r="G29" s="8"/>
      <c r="H29" s="8"/>
      <c r="I29" s="6"/>
      <c r="J29" s="8"/>
      <c r="K29" s="8"/>
      <c r="L29" s="8"/>
      <c r="M29" s="6"/>
      <c r="S29" s="16"/>
      <c r="T29" s="4"/>
      <c r="V29" s="8"/>
      <c r="W29" s="8"/>
      <c r="X29" s="8">
        <v>1</v>
      </c>
      <c r="Y29" s="8"/>
      <c r="Z29" s="8">
        <f>P3*1+(B29*0.7)</f>
        <v>224799</v>
      </c>
      <c r="AA29" s="8"/>
      <c r="AB29" s="8"/>
      <c r="AC29" s="8"/>
      <c r="AD29" s="8"/>
      <c r="AE29" s="8"/>
      <c r="AF29" s="8"/>
      <c r="AG29" s="8">
        <f>W3*1+(B29*0.7)</f>
        <v>224879</v>
      </c>
      <c r="AH29" s="8">
        <f>X3*1+(B29*0.7)</f>
        <v>224779</v>
      </c>
      <c r="AI29" s="6">
        <f t="shared" si="5"/>
        <v>674458</v>
      </c>
      <c r="AJ29" s="9">
        <f>SUM(I29+M29+AI29)</f>
        <v>674458</v>
      </c>
    </row>
    <row r="30" spans="1:36" x14ac:dyDescent="0.55000000000000004">
      <c r="A30" s="3"/>
      <c r="B30" s="10">
        <f>12345000*J3</f>
        <v>8024250</v>
      </c>
      <c r="C30" s="3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17"/>
      <c r="T30" s="9"/>
      <c r="V30" s="6">
        <f>SUM(V23:V29)</f>
        <v>591584.80000000005</v>
      </c>
      <c r="W30" s="6">
        <f t="shared" ref="W30:AH30" si="6">SUM(W23:W29)</f>
        <v>1912171.5</v>
      </c>
      <c r="X30" s="6">
        <f t="shared" si="6"/>
        <v>2472270</v>
      </c>
      <c r="Y30" s="6">
        <f t="shared" si="6"/>
        <v>505607.74999999994</v>
      </c>
      <c r="Z30" s="6">
        <f t="shared" si="6"/>
        <v>2415779.25</v>
      </c>
      <c r="AA30" s="6">
        <f t="shared" si="6"/>
        <v>3596144</v>
      </c>
      <c r="AB30" s="6">
        <f t="shared" si="6"/>
        <v>2023511</v>
      </c>
      <c r="AC30" s="6">
        <f t="shared" si="6"/>
        <v>505627.74999999994</v>
      </c>
      <c r="AD30" s="6">
        <f t="shared" si="6"/>
        <v>0</v>
      </c>
      <c r="AE30" s="6">
        <f t="shared" si="6"/>
        <v>955155.74999999988</v>
      </c>
      <c r="AF30" s="6">
        <f t="shared" si="6"/>
        <v>337458.5</v>
      </c>
      <c r="AG30" s="6">
        <f>SUM(AG23:AG29)</f>
        <v>224879</v>
      </c>
      <c r="AH30" s="6">
        <f t="shared" si="6"/>
        <v>2303559.75</v>
      </c>
      <c r="AI30" s="6"/>
      <c r="AJ30" s="9"/>
    </row>
    <row r="31" spans="1:36" x14ac:dyDescent="0.55000000000000004">
      <c r="A31" s="4"/>
      <c r="B31" s="11">
        <f>B14+B22+B30</f>
        <v>304887700</v>
      </c>
      <c r="C31" s="4"/>
      <c r="D31" s="9">
        <f>SUM(D14+D22+D30)</f>
        <v>0</v>
      </c>
      <c r="E31" s="9">
        <f>SUM(E14+E22+E30)</f>
        <v>0</v>
      </c>
      <c r="F31" s="9"/>
      <c r="G31" s="9"/>
      <c r="H31" s="9">
        <f>SUM(H14+H22+H30)</f>
        <v>0</v>
      </c>
      <c r="I31" s="9">
        <f>SUM(I30+I22+I14)</f>
        <v>0</v>
      </c>
      <c r="J31" s="9">
        <f>J14+J22+J30</f>
        <v>0</v>
      </c>
      <c r="K31" s="9">
        <f t="shared" ref="K31:L31" si="7">K14+K22+K30</f>
        <v>0</v>
      </c>
      <c r="L31" s="9">
        <f t="shared" si="7"/>
        <v>0</v>
      </c>
      <c r="M31" s="9">
        <f>M14+M22+M30</f>
        <v>0</v>
      </c>
      <c r="N31" s="9"/>
      <c r="O31" s="9"/>
      <c r="P31" s="9"/>
      <c r="Q31" s="9"/>
      <c r="R31" s="9"/>
      <c r="S31" s="9"/>
      <c r="T31" s="9"/>
      <c r="V31" s="9">
        <f>SUM(V14+V22+V30)</f>
        <v>2538865.165</v>
      </c>
      <c r="W31" s="9">
        <f t="shared" ref="W31:AH31" si="8">SUM(W14+W22+W30)</f>
        <v>3726468.05</v>
      </c>
      <c r="X31" s="9">
        <f t="shared" si="8"/>
        <v>4391476.1500000004</v>
      </c>
      <c r="Y31" s="9">
        <f t="shared" si="8"/>
        <v>2022499.3</v>
      </c>
      <c r="Z31" s="9">
        <f t="shared" si="8"/>
        <v>5431853.7000000002</v>
      </c>
      <c r="AA31" s="9">
        <f t="shared" si="8"/>
        <v>4966316</v>
      </c>
      <c r="AB31" s="9">
        <f t="shared" si="8"/>
        <v>3491748.25</v>
      </c>
      <c r="AC31" s="9">
        <f t="shared" si="8"/>
        <v>2682552.75</v>
      </c>
      <c r="AD31" s="9">
        <f t="shared" si="8"/>
        <v>1148687.5</v>
      </c>
      <c r="AE31" s="9">
        <f t="shared" si="8"/>
        <v>955155.74999999988</v>
      </c>
      <c r="AF31" s="9">
        <f t="shared" si="8"/>
        <v>840689.05</v>
      </c>
      <c r="AG31" s="9">
        <f t="shared" si="8"/>
        <v>1019216.5</v>
      </c>
      <c r="AH31" s="9">
        <f t="shared" si="8"/>
        <v>3477724.65</v>
      </c>
      <c r="AI31" s="9"/>
      <c r="AJ31" s="9"/>
    </row>
    <row r="38" spans="5:7" x14ac:dyDescent="0.55000000000000004">
      <c r="E38" s="8"/>
      <c r="F38" s="8"/>
      <c r="G38" s="8"/>
    </row>
    <row r="40" spans="5:7" x14ac:dyDescent="0.55000000000000004">
      <c r="E40" s="8"/>
      <c r="F40" s="8"/>
      <c r="G40" s="8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Szucs</dc:creator>
  <cp:lastModifiedBy>Monika Szucs</cp:lastModifiedBy>
  <dcterms:created xsi:type="dcterms:W3CDTF">2022-03-12T00:41:25Z</dcterms:created>
  <dcterms:modified xsi:type="dcterms:W3CDTF">2022-03-14T03:51:56Z</dcterms:modified>
</cp:coreProperties>
</file>