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ik\Desktop\Capstone-Project-Data-Modeling-and-PowerBI\Capstone Project\Monika\"/>
    </mc:Choice>
  </mc:AlternateContent>
  <xr:revisionPtr revIDLastSave="0" documentId="13_ncr:1_{476F652E-AFD0-4460-9A04-9DB6BFF983EE}" xr6:coauthVersionLast="47" xr6:coauthVersionMax="47" xr10:uidLastSave="{00000000-0000-0000-0000-000000000000}"/>
  <bookViews>
    <workbookView xWindow="-96" yWindow="-96" windowWidth="23232" windowHeight="12552" xr2:uid="{ED117939-1D2E-4498-B130-96B64592D0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" i="1" l="1"/>
  <c r="D7" i="1"/>
  <c r="B30" i="1"/>
  <c r="B23" i="1" s="1"/>
  <c r="B22" i="1"/>
  <c r="B15" i="1" s="1"/>
  <c r="Q15" i="1" s="1"/>
  <c r="Y15" i="1" s="1"/>
  <c r="B14" i="1"/>
  <c r="B8" i="1" s="1"/>
  <c r="R8" i="1" s="1"/>
  <c r="M19" i="1"/>
  <c r="M22" i="1" s="1"/>
  <c r="B24" i="1"/>
  <c r="Q24" i="1" s="1"/>
  <c r="B19" i="1"/>
  <c r="O19" i="1" s="1"/>
  <c r="O22" i="1" s="1"/>
  <c r="B18" i="1"/>
  <c r="R18" i="1" s="1"/>
  <c r="Y18" i="1" s="1"/>
  <c r="B17" i="1"/>
  <c r="L17" i="1" s="1"/>
  <c r="B16" i="1"/>
  <c r="P16" i="1" s="1"/>
  <c r="B9" i="1"/>
  <c r="P9" i="1" s="1"/>
  <c r="T30" i="1"/>
  <c r="S22" i="1"/>
  <c r="T22" i="1"/>
  <c r="U22" i="1"/>
  <c r="W22" i="1"/>
  <c r="U14" i="1"/>
  <c r="I31" i="1"/>
  <c r="J31" i="1"/>
  <c r="H31" i="1"/>
  <c r="K30" i="1"/>
  <c r="K29" i="1" s="1"/>
  <c r="K22" i="1"/>
  <c r="K15" i="1" s="1"/>
  <c r="J15" i="1" s="1"/>
  <c r="K14" i="1"/>
  <c r="K13" i="1" s="1"/>
  <c r="G31" i="1"/>
  <c r="F24" i="1"/>
  <c r="G13" i="1"/>
  <c r="F13" i="1" s="1"/>
  <c r="G12" i="1"/>
  <c r="D12" i="1" s="1"/>
  <c r="G11" i="1"/>
  <c r="D11" i="1" s="1"/>
  <c r="G10" i="1"/>
  <c r="F10" i="1" s="1"/>
  <c r="G9" i="1"/>
  <c r="E9" i="1" s="1"/>
  <c r="G7" i="1"/>
  <c r="E7" i="1" s="1"/>
  <c r="G8" i="1"/>
  <c r="D8" i="1" s="1"/>
  <c r="G29" i="1"/>
  <c r="F29" i="1" s="1"/>
  <c r="G28" i="1"/>
  <c r="D28" i="1" s="1"/>
  <c r="G27" i="1"/>
  <c r="F27" i="1" s="1"/>
  <c r="G26" i="1"/>
  <c r="F26" i="1" s="1"/>
  <c r="G25" i="1"/>
  <c r="E25" i="1" s="1"/>
  <c r="G24" i="1"/>
  <c r="E24" i="1" s="1"/>
  <c r="G23" i="1"/>
  <c r="E23" i="1" s="1"/>
  <c r="F18" i="1"/>
  <c r="G21" i="1"/>
  <c r="D21" i="1" s="1"/>
  <c r="G20" i="1"/>
  <c r="E20" i="1" s="1"/>
  <c r="G19" i="1"/>
  <c r="E19" i="1" s="1"/>
  <c r="G18" i="1"/>
  <c r="D18" i="1" s="1"/>
  <c r="G17" i="1"/>
  <c r="D17" i="1" s="1"/>
  <c r="G16" i="1"/>
  <c r="D16" i="1" s="1"/>
  <c r="G15" i="1"/>
  <c r="D15" i="1" s="1"/>
  <c r="F22" i="1"/>
  <c r="E22" i="1"/>
  <c r="D22" i="1"/>
  <c r="F9" i="1"/>
  <c r="P23" i="1" l="1"/>
  <c r="L23" i="1"/>
  <c r="Q23" i="1"/>
  <c r="R23" i="1"/>
  <c r="X23" i="1"/>
  <c r="B26" i="1"/>
  <c r="B27" i="1"/>
  <c r="N24" i="1"/>
  <c r="B25" i="1"/>
  <c r="B29" i="1"/>
  <c r="M24" i="1"/>
  <c r="B28" i="1"/>
  <c r="L22" i="1"/>
  <c r="B20" i="1"/>
  <c r="V17" i="1"/>
  <c r="V22" i="1" s="1"/>
  <c r="B21" i="1"/>
  <c r="N21" i="1" s="1"/>
  <c r="Y21" i="1" s="1"/>
  <c r="Z21" i="1" s="1"/>
  <c r="N16" i="1"/>
  <c r="Y16" i="1" s="1"/>
  <c r="B10" i="1"/>
  <c r="R10" i="1" s="1"/>
  <c r="B7" i="1"/>
  <c r="M7" i="1" s="1"/>
  <c r="M14" i="1" s="1"/>
  <c r="B11" i="1"/>
  <c r="P11" i="1" s="1"/>
  <c r="Y11" i="1" s="1"/>
  <c r="B31" i="1"/>
  <c r="B13" i="1"/>
  <c r="R13" i="1" s="1"/>
  <c r="Y13" i="1" s="1"/>
  <c r="B12" i="1"/>
  <c r="X12" i="1" s="1"/>
  <c r="L8" i="1"/>
  <c r="S8" i="1"/>
  <c r="L10" i="1"/>
  <c r="Y10" i="1" s="1"/>
  <c r="O9" i="1"/>
  <c r="Y9" i="1" s="1"/>
  <c r="S9" i="1"/>
  <c r="P8" i="1"/>
  <c r="T10" i="1"/>
  <c r="V12" i="1"/>
  <c r="V14" i="1" s="1"/>
  <c r="Q8" i="1"/>
  <c r="Q14" i="1" s="1"/>
  <c r="W8" i="1"/>
  <c r="W14" i="1" s="1"/>
  <c r="M8" i="1"/>
  <c r="N10" i="1"/>
  <c r="N7" i="1"/>
  <c r="P7" i="1"/>
  <c r="Q22" i="1"/>
  <c r="Y23" i="1"/>
  <c r="F25" i="1"/>
  <c r="K21" i="1"/>
  <c r="J21" i="1" s="1"/>
  <c r="F23" i="1"/>
  <c r="E8" i="1"/>
  <c r="D19" i="1"/>
  <c r="Z13" i="1"/>
  <c r="F19" i="1"/>
  <c r="K20" i="1"/>
  <c r="F8" i="1"/>
  <c r="D9" i="1"/>
  <c r="E18" i="1"/>
  <c r="K11" i="1"/>
  <c r="J11" i="1" s="1"/>
  <c r="K27" i="1"/>
  <c r="J27" i="1" s="1"/>
  <c r="D20" i="1"/>
  <c r="H15" i="1"/>
  <c r="F20" i="1"/>
  <c r="E13" i="1"/>
  <c r="K12" i="1"/>
  <c r="J12" i="1" s="1"/>
  <c r="Z15" i="1"/>
  <c r="Y19" i="1"/>
  <c r="Z19" i="1" s="1"/>
  <c r="R14" i="1"/>
  <c r="Y8" i="1"/>
  <c r="F21" i="1"/>
  <c r="F17" i="1"/>
  <c r="D23" i="1"/>
  <c r="K7" i="1"/>
  <c r="K23" i="1"/>
  <c r="K24" i="1"/>
  <c r="H24" i="1" s="1"/>
  <c r="E21" i="1"/>
  <c r="I27" i="1"/>
  <c r="K8" i="1"/>
  <c r="H8" i="1" s="1"/>
  <c r="D25" i="1"/>
  <c r="K9" i="1"/>
  <c r="H9" i="1" s="1"/>
  <c r="K25" i="1"/>
  <c r="K10" i="1"/>
  <c r="J10" i="1" s="1"/>
  <c r="K26" i="1"/>
  <c r="I26" i="1" s="1"/>
  <c r="K31" i="1"/>
  <c r="I29" i="1"/>
  <c r="J29" i="1"/>
  <c r="H29" i="1"/>
  <c r="I13" i="1"/>
  <c r="H13" i="1"/>
  <c r="J13" i="1"/>
  <c r="J9" i="1"/>
  <c r="H11" i="1"/>
  <c r="I15" i="1"/>
  <c r="E16" i="1"/>
  <c r="D24" i="1"/>
  <c r="E26" i="1"/>
  <c r="D29" i="1"/>
  <c r="K17" i="1"/>
  <c r="H21" i="1"/>
  <c r="K28" i="1"/>
  <c r="J8" i="1"/>
  <c r="E28" i="1"/>
  <c r="I21" i="1"/>
  <c r="E17" i="1"/>
  <c r="F15" i="1"/>
  <c r="D26" i="1"/>
  <c r="F28" i="1"/>
  <c r="K16" i="1"/>
  <c r="I20" i="1"/>
  <c r="H27" i="1"/>
  <c r="E15" i="1"/>
  <c r="E29" i="1"/>
  <c r="H7" i="1"/>
  <c r="K18" i="1"/>
  <c r="Z18" i="1" s="1"/>
  <c r="F16" i="1"/>
  <c r="D27" i="1"/>
  <c r="K19" i="1"/>
  <c r="H23" i="1"/>
  <c r="E27" i="1"/>
  <c r="D13" i="1"/>
  <c r="E12" i="1"/>
  <c r="F12" i="1"/>
  <c r="E11" i="1"/>
  <c r="F11" i="1"/>
  <c r="E10" i="1"/>
  <c r="D10" i="1"/>
  <c r="F7" i="1"/>
  <c r="M30" i="1" l="1"/>
  <c r="Y24" i="1"/>
  <c r="Z24" i="1" s="1"/>
  <c r="P29" i="1"/>
  <c r="W29" i="1"/>
  <c r="W30" i="1" s="1"/>
  <c r="W31" i="1" s="1"/>
  <c r="X29" i="1"/>
  <c r="N25" i="1"/>
  <c r="U25" i="1"/>
  <c r="U30" i="1" s="1"/>
  <c r="U31" i="1" s="1"/>
  <c r="L27" i="1"/>
  <c r="M27" i="1"/>
  <c r="Q27" i="1"/>
  <c r="Q30" i="1" s="1"/>
  <c r="Q31" i="1" s="1"/>
  <c r="X27" i="1"/>
  <c r="X30" i="1" s="1"/>
  <c r="P26" i="1"/>
  <c r="P30" i="1" s="1"/>
  <c r="S26" i="1"/>
  <c r="S30" i="1" s="1"/>
  <c r="O26" i="1"/>
  <c r="V28" i="1"/>
  <c r="V30" i="1" s="1"/>
  <c r="V31" i="1" s="1"/>
  <c r="L28" i="1"/>
  <c r="R28" i="1"/>
  <c r="N22" i="1"/>
  <c r="Z16" i="1"/>
  <c r="P20" i="1"/>
  <c r="R20" i="1"/>
  <c r="R22" i="1" s="1"/>
  <c r="X20" i="1"/>
  <c r="X22" i="1" s="1"/>
  <c r="Y17" i="1"/>
  <c r="P14" i="1"/>
  <c r="L14" i="1"/>
  <c r="S7" i="1"/>
  <c r="S14" i="1" s="1"/>
  <c r="S31" i="1" s="1"/>
  <c r="N12" i="1"/>
  <c r="Y12" i="1" s="1"/>
  <c r="X7" i="1"/>
  <c r="X14" i="1" s="1"/>
  <c r="O7" i="1"/>
  <c r="O14" i="1" s="1"/>
  <c r="T7" i="1"/>
  <c r="T14" i="1" s="1"/>
  <c r="T31" i="1" s="1"/>
  <c r="M31" i="1"/>
  <c r="Z23" i="1"/>
  <c r="Z12" i="1"/>
  <c r="H12" i="1"/>
  <c r="I11" i="1"/>
  <c r="J25" i="1"/>
  <c r="Z10" i="1"/>
  <c r="I12" i="1"/>
  <c r="Z11" i="1"/>
  <c r="H20" i="1"/>
  <c r="J20" i="1"/>
  <c r="Z8" i="1"/>
  <c r="E30" i="1"/>
  <c r="H25" i="1"/>
  <c r="F30" i="1"/>
  <c r="I9" i="1"/>
  <c r="Z9" i="1"/>
  <c r="I23" i="1"/>
  <c r="J23" i="1"/>
  <c r="J24" i="1"/>
  <c r="I10" i="1"/>
  <c r="I7" i="1"/>
  <c r="J7" i="1"/>
  <c r="H10" i="1"/>
  <c r="I24" i="1"/>
  <c r="I25" i="1"/>
  <c r="I8" i="1"/>
  <c r="H26" i="1"/>
  <c r="J26" i="1"/>
  <c r="J28" i="1"/>
  <c r="H28" i="1"/>
  <c r="I28" i="1"/>
  <c r="I17" i="1"/>
  <c r="H17" i="1"/>
  <c r="J17" i="1"/>
  <c r="H19" i="1"/>
  <c r="I19" i="1"/>
  <c r="J19" i="1"/>
  <c r="H18" i="1"/>
  <c r="I18" i="1"/>
  <c r="J18" i="1"/>
  <c r="D30" i="1"/>
  <c r="I16" i="1"/>
  <c r="H16" i="1"/>
  <c r="J16" i="1"/>
  <c r="D14" i="1"/>
  <c r="E14" i="1"/>
  <c r="E31" i="1" s="1"/>
  <c r="F14" i="1"/>
  <c r="F31" i="1" s="1"/>
  <c r="X31" i="1" l="1"/>
  <c r="O30" i="1"/>
  <c r="O31" i="1" s="1"/>
  <c r="Y26" i="1"/>
  <c r="Z26" i="1" s="1"/>
  <c r="N30" i="1"/>
  <c r="Y25" i="1"/>
  <c r="Z25" i="1" s="1"/>
  <c r="Y28" i="1"/>
  <c r="Z28" i="1" s="1"/>
  <c r="R30" i="1"/>
  <c r="R31" i="1" s="1"/>
  <c r="Y27" i="1"/>
  <c r="Z27" i="1" s="1"/>
  <c r="L30" i="1"/>
  <c r="L31" i="1" s="1"/>
  <c r="Y29" i="1"/>
  <c r="Z29" i="1" s="1"/>
  <c r="Y22" i="1"/>
  <c r="Z17" i="1"/>
  <c r="Y20" i="1"/>
  <c r="Z20" i="1" s="1"/>
  <c r="P22" i="1"/>
  <c r="P31" i="1" s="1"/>
  <c r="Y7" i="1"/>
  <c r="Z7" i="1" s="1"/>
  <c r="Z14" i="1" s="1"/>
  <c r="N14" i="1"/>
  <c r="N31" i="1" s="1"/>
  <c r="D31" i="1"/>
  <c r="Y14" i="1" l="1"/>
  <c r="Z22" i="1"/>
</calcChain>
</file>

<file path=xl/sharedStrings.xml><?xml version="1.0" encoding="utf-8"?>
<sst xmlns="http://schemas.openxmlformats.org/spreadsheetml/2006/main" count="76" uniqueCount="64">
  <si>
    <t>Hybrid</t>
  </si>
  <si>
    <t>Electric</t>
  </si>
  <si>
    <t>Gas</t>
  </si>
  <si>
    <t>Mid-grade</t>
  </si>
  <si>
    <t xml:space="preserve">Premium </t>
  </si>
  <si>
    <t>Regular</t>
  </si>
  <si>
    <t>Gas Total</t>
  </si>
  <si>
    <t>Repairs</t>
  </si>
  <si>
    <t>Alberta</t>
  </si>
  <si>
    <t>Ontario</t>
  </si>
  <si>
    <t>Cities</t>
  </si>
  <si>
    <t>Vancouver</t>
  </si>
  <si>
    <t>Surrey</t>
  </si>
  <si>
    <t>Burnaby</t>
  </si>
  <si>
    <t>Delta</t>
  </si>
  <si>
    <t>Langley</t>
  </si>
  <si>
    <t>British Columbia Total</t>
  </si>
  <si>
    <t>Alberta Total</t>
  </si>
  <si>
    <t>Seats And Restraints</t>
  </si>
  <si>
    <t>Lights And Instruments</t>
  </si>
  <si>
    <t>Visual System</t>
  </si>
  <si>
    <t>Electrical</t>
  </si>
  <si>
    <t>Brakes</t>
  </si>
  <si>
    <t>Steering</t>
  </si>
  <si>
    <t>Powertrain</t>
  </si>
  <si>
    <t>Airbag</t>
  </si>
  <si>
    <t>Fuel Supply</t>
  </si>
  <si>
    <t>Suspension</t>
  </si>
  <si>
    <t>Label</t>
  </si>
  <si>
    <t>Structure</t>
  </si>
  <si>
    <t>Other</t>
  </si>
  <si>
    <t>Components Total</t>
  </si>
  <si>
    <t>Grand Total</t>
  </si>
  <si>
    <t>Edmonton</t>
  </si>
  <si>
    <t>Abbotsford</t>
  </si>
  <si>
    <t>Chilliwack</t>
  </si>
  <si>
    <t>Calgary</t>
  </si>
  <si>
    <t>Red Deer</t>
  </si>
  <si>
    <t>Lethbridge</t>
  </si>
  <si>
    <t>Sherwood Park</t>
  </si>
  <si>
    <t>Medicine Hat</t>
  </si>
  <si>
    <t>Saint Albert</t>
  </si>
  <si>
    <t>Toronto</t>
  </si>
  <si>
    <t>Ottawa</t>
  </si>
  <si>
    <t>Hamilton</t>
  </si>
  <si>
    <t>Scarborough</t>
  </si>
  <si>
    <t>Mississauga</t>
  </si>
  <si>
    <t>Brampton</t>
  </si>
  <si>
    <t>Kitchener</t>
  </si>
  <si>
    <t>Fuel Car Type Population</t>
  </si>
  <si>
    <t>2019 Sales</t>
  </si>
  <si>
    <t>Car Population</t>
  </si>
  <si>
    <t>Gas Type Sales</t>
  </si>
  <si>
    <t>Seats and Restraints</t>
  </si>
  <si>
    <t>Lights and Instruments</t>
  </si>
  <si>
    <t>Average Costs</t>
  </si>
  <si>
    <t>Eletrical</t>
  </si>
  <si>
    <t>Repairs 5% of Pop</t>
  </si>
  <si>
    <t>Toyota Sales in Fuel Type, Year, Gas Type, Parent Category and Category</t>
  </si>
  <si>
    <t>Population having cars</t>
  </si>
  <si>
    <t>car owners</t>
  </si>
  <si>
    <t>Premium</t>
  </si>
  <si>
    <t>Model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</si>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</sst>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0" borderId="0" xfId="1" applyNumberFormat="1" applyFont="1"/>
    <xf numFmtId="164" fontId="0" fillId="4" borderId="0" xfId="0" applyNumberFormat="1" applyFill="1"/>
    <xf numFmtId="0" fontId="2" fillId="0" borderId="0" xfId="0" applyFont="1" applyAlignment="1">
      <alignment horizontal="left" vertical="top"/>
    </xf>
    <xf numFmtId="164" fontId="0" fillId="0" borderId="0" xfId="0" applyNumberFormat="1"/>
    <xf numFmtId="164" fontId="0" fillId="5" borderId="0" xfId="0" applyNumberFormat="1" applyFill="1"/>
    <xf numFmtId="1" fontId="0" fillId="4" borderId="0" xfId="0" applyNumberFormat="1" applyFill="1"/>
    <xf numFmtId="1" fontId="0" fillId="5" borderId="0" xfId="0" applyNumberFormat="1" applyFill="1"/>
    <xf numFmtId="1" fontId="0" fillId="3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5DF2C-7430-48BF-A45E-C623D48AA4A1}">
  <dimension ref="A1:Z40"/>
  <sheetViews>
    <sheetView tabSelected="1" zoomScale="70" zoomScaleNormal="70" workbookViewId="0">
      <selection activeCell="L7" sqref="L7"/>
    </sheetView>
  </sheetViews>
  <sheetFormatPr defaultRowHeight="14.4" x14ac:dyDescent="0.55000000000000004"/>
  <cols>
    <col min="1" max="1" width="18.578125" customWidth="1"/>
    <col min="2" max="2" width="21.68359375" customWidth="1"/>
    <col min="3" max="3" width="15.7890625" customWidth="1"/>
    <col min="4" max="4" width="18.3125" customWidth="1"/>
    <col min="5" max="5" width="16.26171875" customWidth="1"/>
    <col min="6" max="6" width="16.9453125" customWidth="1"/>
    <col min="7" max="7" width="18.9453125" customWidth="1"/>
    <col min="8" max="8" width="14.05078125" customWidth="1"/>
    <col min="9" max="10" width="12.83984375" customWidth="1"/>
    <col min="11" max="11" width="12.734375" customWidth="1"/>
    <col min="12" max="12" width="18.41796875" customWidth="1"/>
    <col min="13" max="13" width="21.3125" customWidth="1"/>
    <col min="14" max="14" width="19.734375" customWidth="1"/>
    <col min="15" max="15" width="22.1015625" customWidth="1"/>
    <col min="16" max="16" width="19.1015625" customWidth="1"/>
    <col min="17" max="17" width="18.7890625" customWidth="1"/>
    <col min="18" max="18" width="23.26171875" customWidth="1"/>
    <col min="19" max="19" width="22.578125" customWidth="1"/>
    <col min="20" max="21" width="19.7890625" customWidth="1"/>
    <col min="22" max="22" width="20.3125" customWidth="1"/>
    <col min="23" max="23" width="22.3125" customWidth="1"/>
    <col min="24" max="24" width="21.9453125" customWidth="1"/>
    <col min="25" max="25" width="15.7890625" customWidth="1"/>
    <col min="26" max="26" width="18.05078125" customWidth="1"/>
  </cols>
  <sheetData>
    <row r="1" spans="1:26" x14ac:dyDescent="0.55000000000000004">
      <c r="A1" t="s">
        <v>58</v>
      </c>
      <c r="E1" t="s">
        <v>5</v>
      </c>
      <c r="F1" t="s">
        <v>3</v>
      </c>
      <c r="G1" t="s">
        <v>61</v>
      </c>
      <c r="L1" t="s">
        <v>55</v>
      </c>
    </row>
    <row r="2" spans="1:26" x14ac:dyDescent="0.55000000000000004">
      <c r="E2">
        <v>118</v>
      </c>
      <c r="F2">
        <v>125</v>
      </c>
      <c r="G2">
        <v>140</v>
      </c>
      <c r="L2" t="s">
        <v>53</v>
      </c>
      <c r="M2" t="s">
        <v>54</v>
      </c>
      <c r="N2" t="s">
        <v>20</v>
      </c>
      <c r="O2" t="s">
        <v>56</v>
      </c>
      <c r="P2" t="s">
        <v>22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V2" t="s">
        <v>28</v>
      </c>
      <c r="W2" t="s">
        <v>29</v>
      </c>
      <c r="X2" t="s">
        <v>30</v>
      </c>
    </row>
    <row r="3" spans="1:26" ht="38.4" x14ac:dyDescent="0.55000000000000004">
      <c r="A3" s="7" t="s">
        <v>50</v>
      </c>
      <c r="B3" s="7"/>
      <c r="D3" t="s">
        <v>57</v>
      </c>
      <c r="E3">
        <v>0.01</v>
      </c>
      <c r="G3" t="s">
        <v>60</v>
      </c>
      <c r="H3">
        <v>0.65</v>
      </c>
      <c r="L3" s="8">
        <v>200</v>
      </c>
      <c r="M3" s="8">
        <v>1200</v>
      </c>
      <c r="N3" s="8">
        <v>200</v>
      </c>
      <c r="O3" s="8">
        <v>80</v>
      </c>
      <c r="P3" s="8">
        <v>120</v>
      </c>
      <c r="Q3" s="8">
        <v>320</v>
      </c>
      <c r="R3" s="8">
        <v>700</v>
      </c>
      <c r="S3" s="8">
        <v>100</v>
      </c>
      <c r="T3" s="8">
        <v>800</v>
      </c>
      <c r="U3" s="8">
        <v>270</v>
      </c>
      <c r="V3" s="8">
        <v>440</v>
      </c>
      <c r="W3" s="8">
        <v>200</v>
      </c>
      <c r="X3" s="8">
        <v>100</v>
      </c>
    </row>
    <row r="5" spans="1:26" x14ac:dyDescent="0.55000000000000004">
      <c r="A5" s="1"/>
      <c r="B5" s="1"/>
      <c r="C5" s="1"/>
      <c r="D5" s="1" t="s">
        <v>52</v>
      </c>
      <c r="E5" s="1"/>
      <c r="F5" s="1"/>
      <c r="G5" s="3" t="s">
        <v>6</v>
      </c>
      <c r="H5" s="1" t="s">
        <v>49</v>
      </c>
      <c r="I5" s="1"/>
      <c r="J5" s="1"/>
      <c r="K5" s="3" t="s">
        <v>51</v>
      </c>
      <c r="L5" s="1" t="s">
        <v>7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3"/>
      <c r="Z5" s="4" t="s">
        <v>32</v>
      </c>
    </row>
    <row r="6" spans="1:26" x14ac:dyDescent="0.55000000000000004">
      <c r="A6" s="1" t="s">
        <v>62</v>
      </c>
      <c r="B6" s="1" t="s">
        <v>59</v>
      </c>
      <c r="C6" s="1" t="s">
        <v>10</v>
      </c>
      <c r="D6" s="1" t="s">
        <v>5</v>
      </c>
      <c r="E6" s="1" t="s">
        <v>3</v>
      </c>
      <c r="F6" s="1" t="s">
        <v>4</v>
      </c>
      <c r="G6" s="3"/>
      <c r="H6" s="1" t="s">
        <v>1</v>
      </c>
      <c r="I6" s="1" t="s">
        <v>0</v>
      </c>
      <c r="J6" s="1" t="s">
        <v>2</v>
      </c>
      <c r="K6" s="3"/>
      <c r="L6" s="1" t="s">
        <v>18</v>
      </c>
      <c r="M6" s="1" t="s">
        <v>19</v>
      </c>
      <c r="N6" s="1" t="s">
        <v>20</v>
      </c>
      <c r="O6" s="1" t="s">
        <v>21</v>
      </c>
      <c r="P6" s="1" t="s">
        <v>22</v>
      </c>
      <c r="Q6" s="1" t="s">
        <v>23</v>
      </c>
      <c r="R6" s="1" t="s">
        <v>24</v>
      </c>
      <c r="S6" s="1" t="s">
        <v>25</v>
      </c>
      <c r="T6" s="1" t="s">
        <v>26</v>
      </c>
      <c r="U6" s="1" t="s">
        <v>27</v>
      </c>
      <c r="V6" s="1" t="s">
        <v>28</v>
      </c>
      <c r="W6" s="1" t="s">
        <v>29</v>
      </c>
      <c r="X6" s="1" t="s">
        <v>30</v>
      </c>
      <c r="Y6" s="3" t="s">
        <v>31</v>
      </c>
      <c r="Z6" s="4"/>
    </row>
    <row r="7" spans="1:26" x14ac:dyDescent="0.55000000000000004">
      <c r="A7" s="2" t="s">
        <v>63</v>
      </c>
      <c r="B7" s="12">
        <f>B14*0.3</f>
        <v>88237500</v>
      </c>
      <c r="C7" s="2" t="s">
        <v>11</v>
      </c>
      <c r="D7" s="5">
        <f>B7*0.7</f>
        <v>61766249.999999993</v>
      </c>
      <c r="E7" s="5">
        <f>G7*0.2</f>
        <v>16230480</v>
      </c>
      <c r="F7" s="5">
        <f>G7*0.1</f>
        <v>8115240</v>
      </c>
      <c r="G7" s="6">
        <f>G14*0.3</f>
        <v>81152400</v>
      </c>
      <c r="H7" s="8">
        <f>K7*0.7</f>
        <v>42210</v>
      </c>
      <c r="I7" s="8">
        <f>K7*0.2</f>
        <v>12060</v>
      </c>
      <c r="J7" s="8">
        <f>K7*0.1</f>
        <v>6030</v>
      </c>
      <c r="K7" s="6">
        <f>K14*0.3</f>
        <v>60300</v>
      </c>
      <c r="L7" s="8">
        <f>L$3*4+(B7*E3)</f>
        <v>883175</v>
      </c>
      <c r="M7" s="8">
        <f>M$3*1+(B7*E3)</f>
        <v>883575</v>
      </c>
      <c r="N7" s="8">
        <f>N3*3++(B7*E3)</f>
        <v>882975</v>
      </c>
      <c r="O7" s="8">
        <f>O3*2+(B7*E3)</f>
        <v>882535</v>
      </c>
      <c r="P7" s="8">
        <f>P3*3+(B7*E3)</f>
        <v>882735</v>
      </c>
      <c r="Q7" s="8"/>
      <c r="R7" s="8"/>
      <c r="S7" s="8">
        <f>S3*1+(B7*E3)</f>
        <v>882475</v>
      </c>
      <c r="T7" s="8">
        <f>T3*1+(B7*E3)</f>
        <v>883175</v>
      </c>
      <c r="U7" s="8"/>
      <c r="V7" s="8"/>
      <c r="W7" s="8"/>
      <c r="X7" s="8">
        <f>X3*1+(B7*E3)</f>
        <v>882475</v>
      </c>
      <c r="Y7" s="6">
        <f t="shared" ref="Y7:Y13" si="0">SUM(L7:X7)</f>
        <v>7063120</v>
      </c>
      <c r="Z7" s="9">
        <f>SUM(G7+K7+Y7)</f>
        <v>88275820</v>
      </c>
    </row>
    <row r="8" spans="1:26" x14ac:dyDescent="0.55000000000000004">
      <c r="A8" s="2"/>
      <c r="B8" s="12">
        <f>B14*0.27</f>
        <v>79413750</v>
      </c>
      <c r="C8" s="2" t="s">
        <v>13</v>
      </c>
      <c r="D8" s="5">
        <f>G8*0.7</f>
        <v>51126012</v>
      </c>
      <c r="E8" s="5">
        <f>G8*0.2</f>
        <v>14607432</v>
      </c>
      <c r="F8" s="5">
        <f>G8*0.1</f>
        <v>7303716</v>
      </c>
      <c r="G8" s="6">
        <f>G14*0.27</f>
        <v>73037160</v>
      </c>
      <c r="H8" s="8">
        <f t="shared" ref="H8:H13" si="1">K8*0.7</f>
        <v>37989</v>
      </c>
      <c r="I8" s="8">
        <f t="shared" ref="I8:I13" si="2">K8*0.2</f>
        <v>10854</v>
      </c>
      <c r="J8" s="8">
        <f t="shared" ref="J8:J13" si="3">K8*0.1</f>
        <v>5427</v>
      </c>
      <c r="K8" s="6">
        <f>K14*0.27</f>
        <v>54270</v>
      </c>
      <c r="L8" s="8">
        <f>L$3*1+(B8*E3)</f>
        <v>794337.5</v>
      </c>
      <c r="M8" s="8">
        <f>M$3*1++(B8*E3)</f>
        <v>795337.5</v>
      </c>
      <c r="N8" s="8"/>
      <c r="O8" s="8"/>
      <c r="P8" s="8">
        <f>P3*2+(B8*E3)</f>
        <v>794377.5</v>
      </c>
      <c r="Q8" s="8">
        <f>Q3*1+(B8*E3)</f>
        <v>794457.5</v>
      </c>
      <c r="R8" s="8">
        <f>R3*1+(B8*E3)</f>
        <v>794837.5</v>
      </c>
      <c r="S8" s="8">
        <f>S3*1+(B8*E3)</f>
        <v>794237.5</v>
      </c>
      <c r="T8" s="8"/>
      <c r="U8" s="8"/>
      <c r="V8" s="8"/>
      <c r="W8" s="8">
        <f>W3*1+(B8*E3)</f>
        <v>794337.5</v>
      </c>
      <c r="X8" s="8"/>
      <c r="Y8" s="6">
        <f t="shared" si="0"/>
        <v>5561922.5</v>
      </c>
      <c r="Z8" s="9">
        <f t="shared" ref="Z8:Z13" si="4">SUM(G8+K8+Y8)</f>
        <v>78653352.5</v>
      </c>
    </row>
    <row r="9" spans="1:26" x14ac:dyDescent="0.55000000000000004">
      <c r="A9" s="2"/>
      <c r="B9" s="12">
        <f>B14*0.17</f>
        <v>50001250</v>
      </c>
      <c r="C9" s="2" t="s">
        <v>12</v>
      </c>
      <c r="D9" s="5">
        <f>G9*0.7</f>
        <v>32190451.999999996</v>
      </c>
      <c r="E9" s="5">
        <f>G9*0.2</f>
        <v>9197272</v>
      </c>
      <c r="F9" s="5">
        <f>G9*0.1</f>
        <v>4598636</v>
      </c>
      <c r="G9" s="6">
        <f>G14*0.17</f>
        <v>45986360</v>
      </c>
      <c r="H9" s="8">
        <f t="shared" si="1"/>
        <v>23919</v>
      </c>
      <c r="I9" s="8">
        <f t="shared" si="2"/>
        <v>6834</v>
      </c>
      <c r="J9" s="8">
        <f t="shared" si="3"/>
        <v>3417</v>
      </c>
      <c r="K9" s="6">
        <f>K14*0.17</f>
        <v>34170</v>
      </c>
      <c r="L9" s="8"/>
      <c r="M9" s="8"/>
      <c r="N9" s="8"/>
      <c r="O9" s="8">
        <f>O3*1+(B9*E3)</f>
        <v>500092.5</v>
      </c>
      <c r="P9" s="8">
        <f>P3*1+(B9*E3)</f>
        <v>500132.5</v>
      </c>
      <c r="Q9" s="8"/>
      <c r="R9" s="8"/>
      <c r="S9" s="8">
        <f>S3*2+(B9*E3)</f>
        <v>500212.5</v>
      </c>
      <c r="T9" s="8"/>
      <c r="U9" s="8"/>
      <c r="V9" s="8"/>
      <c r="W9" s="8"/>
      <c r="X9" s="8"/>
      <c r="Y9" s="6">
        <f t="shared" si="0"/>
        <v>1500437.5</v>
      </c>
      <c r="Z9" s="9">
        <f t="shared" si="4"/>
        <v>47520967.5</v>
      </c>
    </row>
    <row r="10" spans="1:26" x14ac:dyDescent="0.55000000000000004">
      <c r="A10" s="2"/>
      <c r="B10" s="12">
        <f>B14*0.09</f>
        <v>26471250</v>
      </c>
      <c r="C10" s="2" t="s">
        <v>14</v>
      </c>
      <c r="D10" s="5">
        <f t="shared" ref="D10:D13" si="5">G10*0.7</f>
        <v>17042004</v>
      </c>
      <c r="E10" s="5">
        <f t="shared" ref="E10:E13" si="6">G10*0.2</f>
        <v>4869144</v>
      </c>
      <c r="F10" s="5">
        <f t="shared" ref="F10:F13" si="7">G10*0.1</f>
        <v>2434572</v>
      </c>
      <c r="G10" s="6">
        <f>G14*0.09</f>
        <v>24345720</v>
      </c>
      <c r="H10" s="8">
        <f t="shared" si="1"/>
        <v>12663</v>
      </c>
      <c r="I10" s="8">
        <f t="shared" si="2"/>
        <v>3618</v>
      </c>
      <c r="J10" s="8">
        <f t="shared" si="3"/>
        <v>1809</v>
      </c>
      <c r="K10" s="6">
        <f>K14*0.09</f>
        <v>18090</v>
      </c>
      <c r="L10" s="8">
        <f>L3*1+(B10*E3)</f>
        <v>264912.5</v>
      </c>
      <c r="M10" s="8"/>
      <c r="N10" s="8">
        <f>N3*1+(B10*E3)</f>
        <v>264912.5</v>
      </c>
      <c r="O10" s="8"/>
      <c r="P10" s="8"/>
      <c r="Q10" s="8"/>
      <c r="R10" s="8">
        <f>R3*1+(B10*E3)</f>
        <v>265412.5</v>
      </c>
      <c r="S10" s="8"/>
      <c r="T10" s="8">
        <f>T3*1+(B10*E3)</f>
        <v>265512.5</v>
      </c>
      <c r="U10" s="8"/>
      <c r="V10" s="8"/>
      <c r="W10" s="8"/>
      <c r="X10" s="8"/>
      <c r="Y10" s="6">
        <f t="shared" si="0"/>
        <v>1060750</v>
      </c>
      <c r="Z10" s="9">
        <f t="shared" si="4"/>
        <v>25424560</v>
      </c>
    </row>
    <row r="11" spans="1:26" x14ac:dyDescent="0.55000000000000004">
      <c r="A11" s="2"/>
      <c r="B11" s="12">
        <f>B14*0.07</f>
        <v>20588750.000000004</v>
      </c>
      <c r="C11" s="2" t="s">
        <v>15</v>
      </c>
      <c r="D11" s="5">
        <f t="shared" si="5"/>
        <v>13254892</v>
      </c>
      <c r="E11" s="5">
        <f t="shared" si="6"/>
        <v>3787112</v>
      </c>
      <c r="F11" s="5">
        <f t="shared" si="7"/>
        <v>1893556</v>
      </c>
      <c r="G11" s="6">
        <f>G14*0.07</f>
        <v>18935560</v>
      </c>
      <c r="H11" s="8">
        <f t="shared" si="1"/>
        <v>9849</v>
      </c>
      <c r="I11" s="8">
        <f t="shared" si="2"/>
        <v>2814.0000000000005</v>
      </c>
      <c r="J11" s="8">
        <f t="shared" si="3"/>
        <v>1407.0000000000002</v>
      </c>
      <c r="K11" s="6">
        <f>K14*0.07</f>
        <v>14070.000000000002</v>
      </c>
      <c r="L11" s="8"/>
      <c r="M11" s="8"/>
      <c r="N11" s="8"/>
      <c r="O11" s="8"/>
      <c r="P11" s="8">
        <f>P3*1+(B11*E3)</f>
        <v>206007.50000000003</v>
      </c>
      <c r="Q11" s="8"/>
      <c r="R11" s="8"/>
      <c r="S11" s="8"/>
      <c r="T11" s="8"/>
      <c r="U11" s="8"/>
      <c r="V11" s="8"/>
      <c r="W11" s="8"/>
      <c r="X11" s="8"/>
      <c r="Y11" s="6">
        <f t="shared" si="0"/>
        <v>206007.50000000003</v>
      </c>
      <c r="Z11" s="9">
        <f t="shared" si="4"/>
        <v>19155637.5</v>
      </c>
    </row>
    <row r="12" spans="1:26" x14ac:dyDescent="0.55000000000000004">
      <c r="A12" s="2"/>
      <c r="B12" s="12">
        <f>B14*0.06</f>
        <v>17647500</v>
      </c>
      <c r="C12" s="2" t="s">
        <v>34</v>
      </c>
      <c r="D12" s="5">
        <f t="shared" si="5"/>
        <v>11361336</v>
      </c>
      <c r="E12" s="5">
        <f t="shared" si="6"/>
        <v>3246096</v>
      </c>
      <c r="F12" s="5">
        <f t="shared" si="7"/>
        <v>1623048</v>
      </c>
      <c r="G12" s="6">
        <f>G14*0.06</f>
        <v>16230480</v>
      </c>
      <c r="H12" s="8">
        <f t="shared" si="1"/>
        <v>8442</v>
      </c>
      <c r="I12" s="8">
        <f t="shared" si="2"/>
        <v>2412</v>
      </c>
      <c r="J12" s="8">
        <f t="shared" si="3"/>
        <v>1206</v>
      </c>
      <c r="K12" s="6">
        <f>K14*0.06</f>
        <v>12060</v>
      </c>
      <c r="L12" s="8"/>
      <c r="M12" s="8"/>
      <c r="N12" s="8">
        <f>N3*1+(B12*E3)</f>
        <v>176675</v>
      </c>
      <c r="O12" s="8"/>
      <c r="P12" s="8"/>
      <c r="Q12" s="8"/>
      <c r="R12" s="8"/>
      <c r="S12" s="8"/>
      <c r="T12" s="8"/>
      <c r="U12" s="8"/>
      <c r="V12" s="8">
        <f>V3*1+(B12*E3)</f>
        <v>176915</v>
      </c>
      <c r="W12" s="8"/>
      <c r="X12" s="8">
        <f>X3*1+(B12*E3)</f>
        <v>176575</v>
      </c>
      <c r="Y12" s="6">
        <f t="shared" si="0"/>
        <v>530165</v>
      </c>
      <c r="Z12" s="9">
        <f t="shared" si="4"/>
        <v>16772705</v>
      </c>
    </row>
    <row r="13" spans="1:26" x14ac:dyDescent="0.55000000000000004">
      <c r="A13" s="2"/>
      <c r="B13" s="12">
        <f>B14*0.04</f>
        <v>11765000</v>
      </c>
      <c r="C13" s="2" t="s">
        <v>35</v>
      </c>
      <c r="D13" s="5">
        <f t="shared" si="5"/>
        <v>7574223.9999999991</v>
      </c>
      <c r="E13" s="5">
        <f t="shared" si="6"/>
        <v>2164064</v>
      </c>
      <c r="F13" s="5">
        <f t="shared" si="7"/>
        <v>1082032</v>
      </c>
      <c r="G13" s="6">
        <f>G14*0.04</f>
        <v>10820320</v>
      </c>
      <c r="H13" s="8">
        <f t="shared" si="1"/>
        <v>5628</v>
      </c>
      <c r="I13" s="8">
        <f t="shared" si="2"/>
        <v>1608</v>
      </c>
      <c r="J13" s="8">
        <f t="shared" si="3"/>
        <v>804</v>
      </c>
      <c r="K13" s="6">
        <f>K14*0.04</f>
        <v>8040</v>
      </c>
      <c r="L13" s="8"/>
      <c r="M13" s="8"/>
      <c r="N13" s="8"/>
      <c r="O13" s="8"/>
      <c r="P13" s="8"/>
      <c r="Q13" s="8"/>
      <c r="R13" s="8">
        <f>R3*1+(B13*E3)</f>
        <v>118350</v>
      </c>
      <c r="S13" s="8"/>
      <c r="T13" s="8"/>
      <c r="U13" s="8"/>
      <c r="V13" s="8"/>
      <c r="W13" s="8"/>
      <c r="X13" s="8"/>
      <c r="Y13" s="6">
        <f t="shared" si="0"/>
        <v>118350</v>
      </c>
      <c r="Z13" s="9">
        <f t="shared" si="4"/>
        <v>10946710</v>
      </c>
    </row>
    <row r="14" spans="1:26" x14ac:dyDescent="0.55000000000000004">
      <c r="A14" s="3" t="s">
        <v>16</v>
      </c>
      <c r="B14" s="10">
        <f>452500000*H3</f>
        <v>294125000</v>
      </c>
      <c r="C14" s="3"/>
      <c r="D14" s="6">
        <f>SUM(D7:D13)</f>
        <v>194315170</v>
      </c>
      <c r="E14" s="6">
        <f t="shared" ref="E14:F14" si="8">SUM(E7:E13)</f>
        <v>54101600</v>
      </c>
      <c r="F14" s="6">
        <f t="shared" si="8"/>
        <v>27050800</v>
      </c>
      <c r="G14" s="6">
        <v>270508000</v>
      </c>
      <c r="H14" s="6">
        <v>14000</v>
      </c>
      <c r="I14" s="6">
        <v>12000</v>
      </c>
      <c r="J14" s="6">
        <v>175000</v>
      </c>
      <c r="K14" s="6">
        <f>J14+I14+H14</f>
        <v>201000</v>
      </c>
      <c r="L14" s="6">
        <f t="shared" ref="L14:Z14" si="9">SUM(L7:L13)</f>
        <v>1942425</v>
      </c>
      <c r="M14" s="6">
        <f t="shared" si="9"/>
        <v>1678912.5</v>
      </c>
      <c r="N14" s="6">
        <f t="shared" si="9"/>
        <v>1324562.5</v>
      </c>
      <c r="O14" s="6">
        <f t="shared" si="9"/>
        <v>1382627.5</v>
      </c>
      <c r="P14" s="6">
        <f t="shared" si="9"/>
        <v>2383252.5</v>
      </c>
      <c r="Q14" s="6">
        <f t="shared" si="9"/>
        <v>794457.5</v>
      </c>
      <c r="R14" s="6">
        <f t="shared" si="9"/>
        <v>1178600</v>
      </c>
      <c r="S14" s="6">
        <f t="shared" si="9"/>
        <v>2176925</v>
      </c>
      <c r="T14" s="6">
        <f t="shared" si="9"/>
        <v>1148687.5</v>
      </c>
      <c r="U14" s="6">
        <f t="shared" si="9"/>
        <v>0</v>
      </c>
      <c r="V14" s="6">
        <f t="shared" si="9"/>
        <v>176915</v>
      </c>
      <c r="W14" s="6">
        <f t="shared" si="9"/>
        <v>794337.5</v>
      </c>
      <c r="X14" s="6">
        <f t="shared" si="9"/>
        <v>1059050</v>
      </c>
      <c r="Y14" s="6">
        <f t="shared" si="9"/>
        <v>16040752.5</v>
      </c>
      <c r="Z14" s="9">
        <f t="shared" si="9"/>
        <v>286749752.5</v>
      </c>
    </row>
    <row r="15" spans="1:26" x14ac:dyDescent="0.55000000000000004">
      <c r="A15" s="2" t="s">
        <v>8</v>
      </c>
      <c r="B15" s="12">
        <f>B22*0.3</f>
        <v>821535</v>
      </c>
      <c r="C15" s="2" t="s">
        <v>33</v>
      </c>
      <c r="D15" s="8">
        <f t="shared" ref="D15:D20" si="10">G15*0.7</f>
        <v>48796938.11999999</v>
      </c>
      <c r="E15" s="8">
        <f t="shared" ref="E15:E20" si="11">G15*0.2</f>
        <v>13941982.32</v>
      </c>
      <c r="F15" s="8">
        <f t="shared" ref="F15:F20" si="12">G15*0.1</f>
        <v>6970991.1600000001</v>
      </c>
      <c r="G15" s="6">
        <f>G22*0.3</f>
        <v>69709911.599999994</v>
      </c>
      <c r="H15" s="8">
        <f>K15*0.7</f>
        <v>651</v>
      </c>
      <c r="I15" s="8">
        <f>K15*0.2</f>
        <v>186</v>
      </c>
      <c r="J15" s="8">
        <f>K15*0.1</f>
        <v>93</v>
      </c>
      <c r="K15" s="6">
        <f>K22*0.3</f>
        <v>930</v>
      </c>
      <c r="L15" s="8"/>
      <c r="M15" s="8"/>
      <c r="N15" s="8"/>
      <c r="O15" s="8"/>
      <c r="P15" s="8"/>
      <c r="Q15" s="8">
        <f>Q3*2+(B15*0.7)</f>
        <v>575714.5</v>
      </c>
      <c r="R15" s="8"/>
      <c r="S15" s="8"/>
      <c r="T15" s="8"/>
      <c r="U15" s="8"/>
      <c r="V15" s="8"/>
      <c r="W15" s="8"/>
      <c r="X15" s="8"/>
      <c r="Y15" s="6">
        <f t="shared" ref="Y15:Y21" si="13">SUM(L15:X15)</f>
        <v>575714.5</v>
      </c>
      <c r="Z15" s="9">
        <f>G15+K15+Y15</f>
        <v>70286556.099999994</v>
      </c>
    </row>
    <row r="16" spans="1:26" x14ac:dyDescent="0.55000000000000004">
      <c r="A16" s="2"/>
      <c r="B16" s="12">
        <f>B22*0.27</f>
        <v>739381.5</v>
      </c>
      <c r="C16" s="2" t="s">
        <v>36</v>
      </c>
      <c r="D16" s="8">
        <f t="shared" si="10"/>
        <v>43917244.307999998</v>
      </c>
      <c r="E16" s="8">
        <f t="shared" si="11"/>
        <v>12547784.088000001</v>
      </c>
      <c r="F16" s="8">
        <f t="shared" si="12"/>
        <v>6273892.0440000007</v>
      </c>
      <c r="G16" s="6">
        <f>G22*0.27</f>
        <v>62738920.440000005</v>
      </c>
      <c r="H16" s="8">
        <f t="shared" ref="H16:H21" si="14">K16*0.7</f>
        <v>585.9</v>
      </c>
      <c r="I16" s="8">
        <f t="shared" ref="I16:I21" si="15">K16*0.2</f>
        <v>167.4</v>
      </c>
      <c r="J16" s="8">
        <f t="shared" ref="J16:J21" si="16">K16*0.1</f>
        <v>83.7</v>
      </c>
      <c r="K16" s="6">
        <f>K22*0.27</f>
        <v>837</v>
      </c>
      <c r="L16" s="8"/>
      <c r="M16" s="8"/>
      <c r="N16" s="8">
        <f>N3*1+(B16*0.7)</f>
        <v>517767.05</v>
      </c>
      <c r="O16" s="8"/>
      <c r="P16" s="8">
        <f>P3*1+(B16*0.7)</f>
        <v>517687.05</v>
      </c>
      <c r="Q16" s="8"/>
      <c r="R16" s="8"/>
      <c r="S16" s="8"/>
      <c r="T16" s="8"/>
      <c r="U16" s="8"/>
      <c r="V16" s="8"/>
      <c r="W16" s="8"/>
      <c r="X16" s="8"/>
      <c r="Y16" s="6">
        <f t="shared" si="13"/>
        <v>1035454.1</v>
      </c>
      <c r="Z16" s="9">
        <f t="shared" ref="Z16:Z21" si="17">G16+K16+Y16</f>
        <v>63775211.540000007</v>
      </c>
    </row>
    <row r="17" spans="1:26" x14ac:dyDescent="0.55000000000000004">
      <c r="A17" s="2"/>
      <c r="B17" s="12">
        <f>B22*0.17</f>
        <v>465536.50000000006</v>
      </c>
      <c r="C17" s="2" t="s">
        <v>37</v>
      </c>
      <c r="D17" s="8">
        <f t="shared" si="10"/>
        <v>27651598.267999999</v>
      </c>
      <c r="E17" s="8">
        <f t="shared" si="11"/>
        <v>7900456.648000001</v>
      </c>
      <c r="F17" s="8">
        <f t="shared" si="12"/>
        <v>3950228.3240000005</v>
      </c>
      <c r="G17" s="6">
        <f>G22*0.17</f>
        <v>39502283.240000002</v>
      </c>
      <c r="H17" s="8">
        <f t="shared" si="14"/>
        <v>368.9</v>
      </c>
      <c r="I17" s="8">
        <f t="shared" si="15"/>
        <v>105.4</v>
      </c>
      <c r="J17" s="8">
        <f t="shared" si="16"/>
        <v>52.7</v>
      </c>
      <c r="K17" s="6">
        <f>K22*0.17</f>
        <v>527</v>
      </c>
      <c r="L17" s="8">
        <f>L3*1+(B17*E3)</f>
        <v>4855.3650000000007</v>
      </c>
      <c r="M17" s="8"/>
      <c r="N17" s="8"/>
      <c r="O17" s="8"/>
      <c r="P17" s="8"/>
      <c r="Q17" s="8"/>
      <c r="R17" s="8"/>
      <c r="S17" s="8"/>
      <c r="T17" s="8"/>
      <c r="U17" s="8"/>
      <c r="V17" s="8">
        <f>V3*1+(B17*0.7)</f>
        <v>326315.55000000005</v>
      </c>
      <c r="W17" s="8"/>
      <c r="X17" s="8"/>
      <c r="Y17" s="6">
        <f t="shared" si="13"/>
        <v>331170.91500000004</v>
      </c>
      <c r="Z17" s="9">
        <f t="shared" si="17"/>
        <v>39833981.155000001</v>
      </c>
    </row>
    <row r="18" spans="1:26" x14ac:dyDescent="0.55000000000000004">
      <c r="A18" s="2"/>
      <c r="B18" s="12">
        <f>B22*0.09</f>
        <v>246460.5</v>
      </c>
      <c r="C18" s="2" t="s">
        <v>38</v>
      </c>
      <c r="D18" s="8">
        <f t="shared" si="10"/>
        <v>14639081.435999999</v>
      </c>
      <c r="E18" s="8">
        <f t="shared" si="11"/>
        <v>4182594.6960000005</v>
      </c>
      <c r="F18" s="8">
        <f t="shared" si="12"/>
        <v>2091297.3480000002</v>
      </c>
      <c r="G18" s="6">
        <f>G22*0.09</f>
        <v>20912973.48</v>
      </c>
      <c r="H18" s="8">
        <f t="shared" si="14"/>
        <v>195.29999999999998</v>
      </c>
      <c r="I18" s="8">
        <f t="shared" si="15"/>
        <v>55.800000000000004</v>
      </c>
      <c r="J18" s="8">
        <f t="shared" si="16"/>
        <v>27.900000000000002</v>
      </c>
      <c r="K18" s="6">
        <f>K22*0.09</f>
        <v>279</v>
      </c>
      <c r="L18" s="8"/>
      <c r="M18" s="8"/>
      <c r="N18" s="8"/>
      <c r="O18" s="8"/>
      <c r="P18" s="8"/>
      <c r="Q18" s="8"/>
      <c r="R18" s="8">
        <f>R3*1+(B18*0.7)</f>
        <v>173222.34999999998</v>
      </c>
      <c r="S18" s="8"/>
      <c r="T18" s="8"/>
      <c r="U18" s="8"/>
      <c r="V18" s="8"/>
      <c r="W18" s="8"/>
      <c r="X18" s="8"/>
      <c r="Y18" s="6">
        <f t="shared" si="13"/>
        <v>173222.34999999998</v>
      </c>
      <c r="Z18" s="9">
        <f t="shared" si="17"/>
        <v>21086474.830000002</v>
      </c>
    </row>
    <row r="19" spans="1:26" x14ac:dyDescent="0.55000000000000004">
      <c r="A19" s="2"/>
      <c r="B19" s="12">
        <f>B22*0.07</f>
        <v>191691.50000000003</v>
      </c>
      <c r="C19" s="2" t="s">
        <v>39</v>
      </c>
      <c r="D19" s="8">
        <f t="shared" si="10"/>
        <v>11385952.228</v>
      </c>
      <c r="E19" s="8">
        <f t="shared" si="11"/>
        <v>3253129.2080000006</v>
      </c>
      <c r="F19" s="8">
        <f t="shared" si="12"/>
        <v>1626564.6040000003</v>
      </c>
      <c r="G19" s="6">
        <f>G22*0.07</f>
        <v>16265646.040000001</v>
      </c>
      <c r="H19" s="8">
        <f t="shared" si="14"/>
        <v>151.9</v>
      </c>
      <c r="I19" s="8">
        <f t="shared" si="15"/>
        <v>43.400000000000006</v>
      </c>
      <c r="J19" s="8">
        <f t="shared" si="16"/>
        <v>21.700000000000003</v>
      </c>
      <c r="K19" s="6">
        <f>K22*0.07</f>
        <v>217.00000000000003</v>
      </c>
      <c r="L19" s="8"/>
      <c r="M19" s="8">
        <f>M3*1+(B19*0.7)</f>
        <v>135384.05000000002</v>
      </c>
      <c r="N19" s="8"/>
      <c r="O19" s="8">
        <f>O3*1+(B19*0.7)</f>
        <v>134264.05000000002</v>
      </c>
      <c r="P19" s="8"/>
      <c r="Q19" s="8"/>
      <c r="R19" s="8"/>
      <c r="S19" s="8"/>
      <c r="T19" s="8"/>
      <c r="U19" s="8"/>
      <c r="V19" s="8"/>
      <c r="W19" s="8"/>
      <c r="X19" s="8"/>
      <c r="Y19" s="6">
        <f t="shared" si="13"/>
        <v>269648.10000000003</v>
      </c>
      <c r="Z19" s="9">
        <f t="shared" si="17"/>
        <v>16535511.140000001</v>
      </c>
    </row>
    <row r="20" spans="1:26" x14ac:dyDescent="0.55000000000000004">
      <c r="A20" s="2"/>
      <c r="B20" s="12">
        <f>B22*0.06</f>
        <v>164307</v>
      </c>
      <c r="C20" s="2" t="s">
        <v>40</v>
      </c>
      <c r="D20" s="8">
        <f t="shared" si="10"/>
        <v>9759387.6239999998</v>
      </c>
      <c r="E20" s="8">
        <f t="shared" si="11"/>
        <v>2788396.4640000002</v>
      </c>
      <c r="F20" s="8">
        <f t="shared" si="12"/>
        <v>1394198.2320000001</v>
      </c>
      <c r="G20" s="6">
        <f>G22*0.06</f>
        <v>13941982.32</v>
      </c>
      <c r="H20" s="8">
        <f t="shared" si="14"/>
        <v>130.19999999999999</v>
      </c>
      <c r="I20" s="8">
        <f t="shared" si="15"/>
        <v>37.200000000000003</v>
      </c>
      <c r="J20" s="8">
        <f t="shared" si="16"/>
        <v>18.600000000000001</v>
      </c>
      <c r="K20" s="6">
        <f>K22*0.06</f>
        <v>186</v>
      </c>
      <c r="L20" s="8"/>
      <c r="M20" s="8"/>
      <c r="N20" s="8"/>
      <c r="O20" s="8"/>
      <c r="P20" s="8">
        <f>P3*1+(B20*0.7)</f>
        <v>115134.9</v>
      </c>
      <c r="Q20" s="8"/>
      <c r="R20" s="8">
        <f>R3*2+(B20*0.7)</f>
        <v>116414.9</v>
      </c>
      <c r="S20" s="8"/>
      <c r="T20" s="8"/>
      <c r="U20" s="8"/>
      <c r="V20" s="8"/>
      <c r="W20" s="8"/>
      <c r="X20" s="8">
        <f>X3*1+(B20*0.7)</f>
        <v>115114.9</v>
      </c>
      <c r="Y20" s="6">
        <f t="shared" si="13"/>
        <v>346664.69999999995</v>
      </c>
      <c r="Z20" s="9">
        <f t="shared" si="17"/>
        <v>14288833.02</v>
      </c>
    </row>
    <row r="21" spans="1:26" x14ac:dyDescent="0.55000000000000004">
      <c r="A21" s="2"/>
      <c r="B21" s="12">
        <f>B22*0.04</f>
        <v>109538</v>
      </c>
      <c r="C21" s="2" t="s">
        <v>41</v>
      </c>
      <c r="D21" s="8">
        <f t="shared" ref="D21:D29" si="18">G21*0.7</f>
        <v>6506258.4160000002</v>
      </c>
      <c r="E21" s="8">
        <f t="shared" ref="E21:E29" si="19">G21*0.2</f>
        <v>1858930.9760000003</v>
      </c>
      <c r="F21" s="8">
        <f t="shared" ref="F21:F29" si="20">G21*0.1</f>
        <v>929465.48800000013</v>
      </c>
      <c r="G21" s="6">
        <f>G22*0.04</f>
        <v>9294654.8800000008</v>
      </c>
      <c r="H21" s="8">
        <f t="shared" si="14"/>
        <v>86.8</v>
      </c>
      <c r="I21" s="8">
        <f t="shared" si="15"/>
        <v>24.8</v>
      </c>
      <c r="J21" s="8">
        <f t="shared" si="16"/>
        <v>12.4</v>
      </c>
      <c r="K21" s="6">
        <f>K22*0.04</f>
        <v>124</v>
      </c>
      <c r="L21" s="8"/>
      <c r="M21" s="8"/>
      <c r="N21" s="8">
        <f>N3*1+(B21*0.7)</f>
        <v>76876.599999999991</v>
      </c>
      <c r="O21" s="8"/>
      <c r="P21" s="8"/>
      <c r="Q21" s="8"/>
      <c r="R21" s="8"/>
      <c r="S21" s="8"/>
      <c r="T21" s="8"/>
      <c r="U21" s="8"/>
      <c r="V21" s="8"/>
      <c r="W21" s="8"/>
      <c r="X21" s="8"/>
      <c r="Y21" s="6">
        <f t="shared" si="13"/>
        <v>76876.599999999991</v>
      </c>
      <c r="Z21" s="9">
        <f t="shared" si="17"/>
        <v>9371655.4800000004</v>
      </c>
    </row>
    <row r="22" spans="1:26" x14ac:dyDescent="0.55000000000000004">
      <c r="A22" s="3" t="s">
        <v>17</v>
      </c>
      <c r="B22" s="10">
        <f>4213000*H3</f>
        <v>2738450</v>
      </c>
      <c r="C22" s="3"/>
      <c r="D22" s="6">
        <f t="shared" si="18"/>
        <v>162656460.39999998</v>
      </c>
      <c r="E22" s="6">
        <f t="shared" si="19"/>
        <v>46473274.400000006</v>
      </c>
      <c r="F22" s="6">
        <f t="shared" si="20"/>
        <v>23236637.200000003</v>
      </c>
      <c r="G22" s="6">
        <v>232366372</v>
      </c>
      <c r="H22" s="6">
        <v>100</v>
      </c>
      <c r="I22" s="6">
        <v>1000</v>
      </c>
      <c r="J22" s="6">
        <v>2000</v>
      </c>
      <c r="K22" s="6">
        <f>J22+I22+H22</f>
        <v>3100</v>
      </c>
      <c r="L22" s="6">
        <f t="shared" ref="L22:R22" si="21">SUM(L15:L21)</f>
        <v>4855.3650000000007</v>
      </c>
      <c r="M22" s="6">
        <f t="shared" si="21"/>
        <v>135384.05000000002</v>
      </c>
      <c r="N22" s="6">
        <f t="shared" si="21"/>
        <v>594643.65</v>
      </c>
      <c r="O22" s="6">
        <f t="shared" si="21"/>
        <v>134264.05000000002</v>
      </c>
      <c r="P22" s="6">
        <f t="shared" si="21"/>
        <v>632821.94999999995</v>
      </c>
      <c r="Q22" s="6">
        <f t="shared" si="21"/>
        <v>575714.5</v>
      </c>
      <c r="R22" s="6">
        <f t="shared" si="21"/>
        <v>289637.25</v>
      </c>
      <c r="S22" s="6">
        <f t="shared" ref="S22:X22" si="22">SUM(S15:S21)</f>
        <v>0</v>
      </c>
      <c r="T22" s="6">
        <f t="shared" si="22"/>
        <v>0</v>
      </c>
      <c r="U22" s="6">
        <f t="shared" si="22"/>
        <v>0</v>
      </c>
      <c r="V22" s="6">
        <f t="shared" si="22"/>
        <v>326315.55000000005</v>
      </c>
      <c r="W22" s="6">
        <f t="shared" si="22"/>
        <v>0</v>
      </c>
      <c r="X22" s="6">
        <f t="shared" si="22"/>
        <v>115114.9</v>
      </c>
      <c r="Y22" s="6">
        <f>SUM(Y15:Y21)</f>
        <v>2808751.2650000001</v>
      </c>
      <c r="Z22" s="9">
        <f>SUM(Z15:Z21)</f>
        <v>235178223.26500005</v>
      </c>
    </row>
    <row r="23" spans="1:26" x14ac:dyDescent="0.55000000000000004">
      <c r="A23" s="2" t="s">
        <v>9</v>
      </c>
      <c r="B23" s="12">
        <f>B30*0.3</f>
        <v>2407275</v>
      </c>
      <c r="C23" s="2" t="s">
        <v>42</v>
      </c>
      <c r="D23" s="8">
        <f t="shared" si="18"/>
        <v>170420040</v>
      </c>
      <c r="E23" s="8">
        <f t="shared" si="19"/>
        <v>48691440</v>
      </c>
      <c r="F23" s="8">
        <f t="shared" si="20"/>
        <v>24345720</v>
      </c>
      <c r="G23" s="6">
        <f>G30*0.3</f>
        <v>243457200</v>
      </c>
      <c r="H23" s="8">
        <f>K23*0.7</f>
        <v>112770</v>
      </c>
      <c r="I23" s="8">
        <f>K23*0.2</f>
        <v>32220</v>
      </c>
      <c r="J23" s="8">
        <f>K23*0.1</f>
        <v>16110</v>
      </c>
      <c r="K23" s="6">
        <f>K30*0.3</f>
        <v>161100</v>
      </c>
      <c r="L23" s="8">
        <f>L3*3+(B23*E3)</f>
        <v>24672.75</v>
      </c>
      <c r="M23" s="8"/>
      <c r="N23" s="8"/>
      <c r="O23" s="8"/>
      <c r="P23" s="8">
        <f>P3*2+(B23*0.7)</f>
        <v>1685332.5</v>
      </c>
      <c r="Q23" s="8">
        <f>Q3*2+(B23*0.7)</f>
        <v>1685732.5</v>
      </c>
      <c r="R23" s="8">
        <f>R3*1+(B23*0.7)</f>
        <v>1685792.5</v>
      </c>
      <c r="S23" s="8"/>
      <c r="T23" s="8"/>
      <c r="U23" s="8"/>
      <c r="V23" s="8"/>
      <c r="W23" s="8"/>
      <c r="X23" s="8">
        <f>X3*4+(B23*0.7)</f>
        <v>1685492.5</v>
      </c>
      <c r="Y23" s="6">
        <f t="shared" ref="Y23:Y29" si="23">SUM(L23:X23)</f>
        <v>6767022.75</v>
      </c>
      <c r="Z23" s="9">
        <f t="shared" ref="Z23:Z29" si="24">SUM(G23+K23+Y23)</f>
        <v>250385322.75</v>
      </c>
    </row>
    <row r="24" spans="1:26" x14ac:dyDescent="0.55000000000000004">
      <c r="A24" s="2"/>
      <c r="B24" s="12">
        <f>B30*0.27</f>
        <v>2166547.5</v>
      </c>
      <c r="C24" s="2" t="s">
        <v>43</v>
      </c>
      <c r="D24" s="8">
        <f t="shared" si="18"/>
        <v>153378036</v>
      </c>
      <c r="E24" s="8">
        <f t="shared" si="19"/>
        <v>43822296</v>
      </c>
      <c r="F24" s="8">
        <f t="shared" si="20"/>
        <v>21911148</v>
      </c>
      <c r="G24" s="6">
        <f>G30*0.27</f>
        <v>219111480</v>
      </c>
      <c r="H24" s="8">
        <f t="shared" ref="H24:H29" si="25">K24*0.7</f>
        <v>101493</v>
      </c>
      <c r="I24" s="8">
        <f t="shared" ref="I24:I29" si="26">K24*0.2</f>
        <v>28998</v>
      </c>
      <c r="J24" s="8">
        <f t="shared" ref="J24:J29" si="27">K24*0.1</f>
        <v>14499</v>
      </c>
      <c r="K24" s="6">
        <f>K30*0.27</f>
        <v>144990</v>
      </c>
      <c r="L24" s="8"/>
      <c r="M24" s="8">
        <f>M3*1+(B24*0.7)</f>
        <v>1517783.25</v>
      </c>
      <c r="N24" s="8">
        <f>N3*3+(B24*0.7)</f>
        <v>1517183.25</v>
      </c>
      <c r="O24" s="8"/>
      <c r="P24" s="8"/>
      <c r="Q24" s="8">
        <f>Q3*1+(B24*0.7)</f>
        <v>1516903.25</v>
      </c>
      <c r="R24" s="8"/>
      <c r="S24" s="8"/>
      <c r="T24" s="8"/>
      <c r="U24" s="8"/>
      <c r="V24" s="8"/>
      <c r="W24" s="8"/>
      <c r="X24" s="8"/>
      <c r="Y24" s="6">
        <f t="shared" si="23"/>
        <v>4551869.75</v>
      </c>
      <c r="Z24" s="9">
        <f t="shared" si="24"/>
        <v>223808339.75</v>
      </c>
    </row>
    <row r="25" spans="1:26" x14ac:dyDescent="0.55000000000000004">
      <c r="A25" s="2"/>
      <c r="B25" s="12">
        <f>B30*0.17</f>
        <v>1364122.5</v>
      </c>
      <c r="C25" s="2" t="s">
        <v>44</v>
      </c>
      <c r="D25" s="8">
        <f t="shared" si="18"/>
        <v>96571356</v>
      </c>
      <c r="E25" s="8">
        <f t="shared" si="19"/>
        <v>27591816</v>
      </c>
      <c r="F25" s="8">
        <f t="shared" si="20"/>
        <v>13795908</v>
      </c>
      <c r="G25" s="6">
        <f>G30*0.17</f>
        <v>137959080</v>
      </c>
      <c r="H25" s="8">
        <f t="shared" si="25"/>
        <v>63902.999999999993</v>
      </c>
      <c r="I25" s="8">
        <f t="shared" si="26"/>
        <v>18258</v>
      </c>
      <c r="J25" s="8">
        <f t="shared" si="27"/>
        <v>9129</v>
      </c>
      <c r="K25" s="6">
        <f>K30*0.17</f>
        <v>91290</v>
      </c>
      <c r="L25" s="8"/>
      <c r="M25" s="8"/>
      <c r="N25" s="8">
        <f>N3*1+(B25*0.7)</f>
        <v>955085.74999999988</v>
      </c>
      <c r="O25" s="8"/>
      <c r="P25" s="8"/>
      <c r="Q25" s="8"/>
      <c r="R25" s="8"/>
      <c r="S25" s="8"/>
      <c r="T25" s="8"/>
      <c r="U25" s="8">
        <f>U3*1+(B25*0.7)</f>
        <v>955155.74999999988</v>
      </c>
      <c r="V25" s="8"/>
      <c r="W25" s="8"/>
      <c r="X25" s="8"/>
      <c r="Y25" s="6">
        <f t="shared" si="23"/>
        <v>1910241.4999999998</v>
      </c>
      <c r="Z25" s="9">
        <f t="shared" si="24"/>
        <v>139960611.5</v>
      </c>
    </row>
    <row r="26" spans="1:26" x14ac:dyDescent="0.55000000000000004">
      <c r="A26" s="2"/>
      <c r="B26" s="12">
        <f>B30*0.09</f>
        <v>722182.5</v>
      </c>
      <c r="C26" s="2" t="s">
        <v>45</v>
      </c>
      <c r="D26" s="8">
        <f t="shared" si="18"/>
        <v>51126012</v>
      </c>
      <c r="E26" s="8">
        <f t="shared" si="19"/>
        <v>14607432</v>
      </c>
      <c r="F26" s="8">
        <f t="shared" si="20"/>
        <v>7303716</v>
      </c>
      <c r="G26" s="6">
        <f>G30*0.09</f>
        <v>73037160</v>
      </c>
      <c r="H26" s="8">
        <f t="shared" si="25"/>
        <v>33831</v>
      </c>
      <c r="I26" s="8">
        <f t="shared" si="26"/>
        <v>9666</v>
      </c>
      <c r="J26" s="8">
        <f t="shared" si="27"/>
        <v>4833</v>
      </c>
      <c r="K26" s="6">
        <f>K30*0.09</f>
        <v>48330</v>
      </c>
      <c r="L26" s="8"/>
      <c r="M26" s="8"/>
      <c r="N26" s="8"/>
      <c r="O26" s="8">
        <f>O3*1+(B26*0.7)</f>
        <v>505607.74999999994</v>
      </c>
      <c r="P26" s="8">
        <f>P3*1+(B26*0.7)</f>
        <v>505647.74999999994</v>
      </c>
      <c r="Q26" s="8"/>
      <c r="R26" s="8"/>
      <c r="S26" s="8">
        <f>S3*1+(B26*0.7)</f>
        <v>505627.74999999994</v>
      </c>
      <c r="T26" s="8"/>
      <c r="U26" s="8"/>
      <c r="V26" s="8"/>
      <c r="W26" s="8"/>
      <c r="X26" s="8"/>
      <c r="Y26" s="6">
        <f t="shared" si="23"/>
        <v>1516883.2499999998</v>
      </c>
      <c r="Z26" s="9">
        <f t="shared" si="24"/>
        <v>74602373.25</v>
      </c>
    </row>
    <row r="27" spans="1:26" x14ac:dyDescent="0.55000000000000004">
      <c r="A27" s="2"/>
      <c r="B27" s="12">
        <f>B30*0.07</f>
        <v>561697.5</v>
      </c>
      <c r="C27" s="2" t="s">
        <v>46</v>
      </c>
      <c r="D27" s="8">
        <f t="shared" si="18"/>
        <v>39764676</v>
      </c>
      <c r="E27" s="8">
        <f t="shared" si="19"/>
        <v>11361336.000000002</v>
      </c>
      <c r="F27" s="8">
        <f t="shared" si="20"/>
        <v>5680668.0000000009</v>
      </c>
      <c r="G27" s="6">
        <f>G30*0.07</f>
        <v>56806680.000000007</v>
      </c>
      <c r="H27" s="8">
        <f t="shared" si="25"/>
        <v>26313</v>
      </c>
      <c r="I27" s="8">
        <f t="shared" si="26"/>
        <v>7518</v>
      </c>
      <c r="J27" s="8">
        <f t="shared" si="27"/>
        <v>3759</v>
      </c>
      <c r="K27" s="6">
        <f>K30*0.07</f>
        <v>37590</v>
      </c>
      <c r="L27" s="8">
        <f>L3*1+(B27)</f>
        <v>561897.5</v>
      </c>
      <c r="M27" s="8">
        <f>M3*1+(B27*0.7)</f>
        <v>394388.25</v>
      </c>
      <c r="N27" s="8"/>
      <c r="O27" s="8"/>
      <c r="P27" s="8"/>
      <c r="Q27" s="8">
        <f>Q3*1+(B27*0.7)</f>
        <v>393508.25</v>
      </c>
      <c r="R27" s="8"/>
      <c r="S27" s="8"/>
      <c r="T27" s="8"/>
      <c r="U27" s="8"/>
      <c r="V27" s="8"/>
      <c r="W27" s="8"/>
      <c r="X27" s="8">
        <f>X3*1+(B27*0.7)</f>
        <v>393288.25</v>
      </c>
      <c r="Y27" s="6">
        <f t="shared" si="23"/>
        <v>1743082.25</v>
      </c>
      <c r="Z27" s="9">
        <f t="shared" si="24"/>
        <v>58587352.250000007</v>
      </c>
    </row>
    <row r="28" spans="1:26" x14ac:dyDescent="0.55000000000000004">
      <c r="A28" s="2"/>
      <c r="B28" s="12">
        <f>B30*0.06</f>
        <v>481455</v>
      </c>
      <c r="C28" s="2" t="s">
        <v>47</v>
      </c>
      <c r="D28" s="8">
        <f t="shared" si="18"/>
        <v>34084008</v>
      </c>
      <c r="E28" s="8">
        <f t="shared" si="19"/>
        <v>9738288</v>
      </c>
      <c r="F28" s="8">
        <f t="shared" si="20"/>
        <v>4869144</v>
      </c>
      <c r="G28" s="6">
        <f>G30*0.06</f>
        <v>48691440</v>
      </c>
      <c r="H28" s="8">
        <f t="shared" si="25"/>
        <v>22554</v>
      </c>
      <c r="I28" s="8">
        <f t="shared" si="26"/>
        <v>6444</v>
      </c>
      <c r="J28" s="8">
        <f t="shared" si="27"/>
        <v>3222</v>
      </c>
      <c r="K28" s="6">
        <f>K30*0.06</f>
        <v>32220</v>
      </c>
      <c r="L28" s="8">
        <f>L3*1+(B28*E3)</f>
        <v>5014.55</v>
      </c>
      <c r="M28" s="8"/>
      <c r="N28" s="8"/>
      <c r="O28" s="8"/>
      <c r="P28" s="8"/>
      <c r="Q28" s="8"/>
      <c r="R28" s="8">
        <f>R3*1+(B28*0.7)</f>
        <v>337718.5</v>
      </c>
      <c r="S28" s="8"/>
      <c r="T28" s="8"/>
      <c r="U28" s="8"/>
      <c r="V28" s="8">
        <f>V3*1+(B28*0.7)</f>
        <v>337458.5</v>
      </c>
      <c r="W28" s="8"/>
      <c r="X28" s="8"/>
      <c r="Y28" s="6">
        <f t="shared" si="23"/>
        <v>680191.55</v>
      </c>
      <c r="Z28" s="9">
        <f t="shared" si="24"/>
        <v>49403851.549999997</v>
      </c>
    </row>
    <row r="29" spans="1:26" x14ac:dyDescent="0.55000000000000004">
      <c r="A29" s="2"/>
      <c r="B29" s="12">
        <f>B30*0.04</f>
        <v>320970</v>
      </c>
      <c r="C29" s="2" t="s">
        <v>48</v>
      </c>
      <c r="D29" s="8">
        <f t="shared" si="18"/>
        <v>22722672</v>
      </c>
      <c r="E29" s="8">
        <f t="shared" si="19"/>
        <v>6492192</v>
      </c>
      <c r="F29" s="8">
        <f t="shared" si="20"/>
        <v>3246096</v>
      </c>
      <c r="G29" s="6">
        <f>G30*0.04</f>
        <v>32460960</v>
      </c>
      <c r="H29" s="8">
        <f t="shared" si="25"/>
        <v>15035.999999999998</v>
      </c>
      <c r="I29" s="8">
        <f t="shared" si="26"/>
        <v>4296</v>
      </c>
      <c r="J29" s="8">
        <f t="shared" si="27"/>
        <v>2148</v>
      </c>
      <c r="K29" s="6">
        <f>K30*0.04</f>
        <v>21480</v>
      </c>
      <c r="L29" s="8"/>
      <c r="M29" s="8"/>
      <c r="N29" s="8">
        <v>1</v>
      </c>
      <c r="O29" s="8"/>
      <c r="P29" s="8">
        <f>P3*1+(B29*0.7)</f>
        <v>224799</v>
      </c>
      <c r="Q29" s="8"/>
      <c r="R29" s="8"/>
      <c r="S29" s="8"/>
      <c r="T29" s="8"/>
      <c r="U29" s="8"/>
      <c r="V29" s="8"/>
      <c r="W29" s="8">
        <f>W3*1+(B29*0.7)</f>
        <v>224879</v>
      </c>
      <c r="X29" s="8">
        <f>X3*1+(B29*0.7)</f>
        <v>224779</v>
      </c>
      <c r="Y29" s="6">
        <f t="shared" si="23"/>
        <v>674458</v>
      </c>
      <c r="Z29" s="9">
        <f t="shared" si="24"/>
        <v>33156898</v>
      </c>
    </row>
    <row r="30" spans="1:26" x14ac:dyDescent="0.55000000000000004">
      <c r="A30" s="3"/>
      <c r="B30" s="10">
        <f>12345000*H3</f>
        <v>8024250</v>
      </c>
      <c r="C30" s="3"/>
      <c r="D30" s="6">
        <f>SUM(D23:D29)</f>
        <v>568066800</v>
      </c>
      <c r="E30" s="6">
        <f>SUM(E23:E29)</f>
        <v>162304800</v>
      </c>
      <c r="F30" s="6">
        <f>SUM(F23:F29)</f>
        <v>81152400</v>
      </c>
      <c r="G30" s="6">
        <v>811524000</v>
      </c>
      <c r="H30" s="6">
        <v>10000</v>
      </c>
      <c r="I30" s="6">
        <v>27000</v>
      </c>
      <c r="J30" s="6">
        <v>500000</v>
      </c>
      <c r="K30" s="6">
        <f>J30+I30+H30</f>
        <v>537000</v>
      </c>
      <c r="L30" s="6">
        <f>SUM(L23:L29)</f>
        <v>591584.80000000005</v>
      </c>
      <c r="M30" s="6">
        <f t="shared" ref="M30:X30" si="28">SUM(M23:M29)</f>
        <v>1912171.5</v>
      </c>
      <c r="N30" s="6">
        <f t="shared" si="28"/>
        <v>2472270</v>
      </c>
      <c r="O30" s="6">
        <f t="shared" si="28"/>
        <v>505607.74999999994</v>
      </c>
      <c r="P30" s="6">
        <f t="shared" si="28"/>
        <v>2415779.25</v>
      </c>
      <c r="Q30" s="6">
        <f t="shared" si="28"/>
        <v>3596144</v>
      </c>
      <c r="R30" s="6">
        <f t="shared" si="28"/>
        <v>2023511</v>
      </c>
      <c r="S30" s="6">
        <f t="shared" si="28"/>
        <v>505627.74999999994</v>
      </c>
      <c r="T30" s="6">
        <f t="shared" si="28"/>
        <v>0</v>
      </c>
      <c r="U30" s="6">
        <f t="shared" si="28"/>
        <v>955155.74999999988</v>
      </c>
      <c r="V30" s="6">
        <f t="shared" si="28"/>
        <v>337458.5</v>
      </c>
      <c r="W30" s="6">
        <f t="shared" si="28"/>
        <v>224879</v>
      </c>
      <c r="X30" s="6">
        <f t="shared" si="28"/>
        <v>2303559.75</v>
      </c>
      <c r="Y30" s="6"/>
      <c r="Z30" s="9"/>
    </row>
    <row r="31" spans="1:26" x14ac:dyDescent="0.55000000000000004">
      <c r="A31" s="4"/>
      <c r="B31" s="11">
        <f>B14+B22+B30</f>
        <v>304887700</v>
      </c>
      <c r="C31" s="4"/>
      <c r="D31" s="9">
        <f>SUM(D14+D22+D30)</f>
        <v>925038430.39999998</v>
      </c>
      <c r="E31" s="9">
        <f>SUM(E14+E22+E30)</f>
        <v>262879674.40000001</v>
      </c>
      <c r="F31" s="9">
        <f>SUM(F14+F22+F30)</f>
        <v>131439837.2</v>
      </c>
      <c r="G31" s="9">
        <f>SUM(G30+G22+G14)</f>
        <v>1314398372</v>
      </c>
      <c r="H31" s="9">
        <f>H14+H22+H30</f>
        <v>24100</v>
      </c>
      <c r="I31" s="9">
        <f t="shared" ref="I31:J31" si="29">I14+I22+I30</f>
        <v>40000</v>
      </c>
      <c r="J31" s="9">
        <f t="shared" si="29"/>
        <v>677000</v>
      </c>
      <c r="K31" s="9">
        <f>K14+K22+K30</f>
        <v>741100</v>
      </c>
      <c r="L31" s="9">
        <f>SUM(L14+L22+L30)</f>
        <v>2538865.165</v>
      </c>
      <c r="M31" s="9">
        <f t="shared" ref="M31:X31" si="30">SUM(M14+M22+M30)</f>
        <v>3726468.05</v>
      </c>
      <c r="N31" s="9">
        <f t="shared" si="30"/>
        <v>4391476.1500000004</v>
      </c>
      <c r="O31" s="9">
        <f t="shared" si="30"/>
        <v>2022499.3</v>
      </c>
      <c r="P31" s="9">
        <f t="shared" si="30"/>
        <v>5431853.7000000002</v>
      </c>
      <c r="Q31" s="9">
        <f t="shared" si="30"/>
        <v>4966316</v>
      </c>
      <c r="R31" s="9">
        <f t="shared" si="30"/>
        <v>3491748.25</v>
      </c>
      <c r="S31" s="9">
        <f t="shared" si="30"/>
        <v>2682552.75</v>
      </c>
      <c r="T31" s="9">
        <f t="shared" si="30"/>
        <v>1148687.5</v>
      </c>
      <c r="U31" s="9">
        <f t="shared" si="30"/>
        <v>955155.74999999988</v>
      </c>
      <c r="V31" s="9">
        <f t="shared" si="30"/>
        <v>840689.05</v>
      </c>
      <c r="W31" s="9">
        <f t="shared" si="30"/>
        <v>1019216.5</v>
      </c>
      <c r="X31" s="9">
        <f t="shared" si="30"/>
        <v>3477724.65</v>
      </c>
      <c r="Y31" s="9"/>
      <c r="Z31" s="9"/>
    </row>
    <row r="38" spans="5:5" x14ac:dyDescent="0.55000000000000004">
      <c r="E38" s="8"/>
    </row>
    <row r="40" spans="5:5" x14ac:dyDescent="0.55000000000000004">
      <c r="E40" s="8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Szucs</dc:creator>
  <cp:lastModifiedBy>Monika Szucs</cp:lastModifiedBy>
  <dcterms:created xsi:type="dcterms:W3CDTF">2022-03-12T00:41:25Z</dcterms:created>
  <dcterms:modified xsi:type="dcterms:W3CDTF">2022-03-17T15:29:26Z</dcterms:modified>
</cp:coreProperties>
</file>