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Capstone-Project-Data-Modeling-and-PowerBI\Capstone Project\Monika\"/>
    </mc:Choice>
  </mc:AlternateContent>
  <xr:revisionPtr revIDLastSave="0" documentId="13_ncr:1_{54ABF808-1784-48D5-A2E4-CDC35919F222}" xr6:coauthVersionLast="47" xr6:coauthVersionMax="47" xr10:uidLastSave="{00000000-0000-0000-0000-000000000000}"/>
  <bookViews>
    <workbookView xWindow="-30828" yWindow="-108" windowWidth="30936" windowHeight="16896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1" i="1" l="1"/>
  <c r="M41" i="1"/>
  <c r="O41" i="1"/>
  <c r="P41" i="1"/>
  <c r="Q41" i="1"/>
  <c r="R41" i="1"/>
  <c r="N41" i="1"/>
  <c r="L41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T24" i="1"/>
  <c r="S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4" i="1"/>
  <c r="P28" i="1"/>
  <c r="O30" i="1"/>
  <c r="N29" i="1"/>
  <c r="N31" i="1"/>
  <c r="R25" i="1"/>
  <c r="P17" i="1"/>
  <c r="L27" i="1"/>
  <c r="L30" i="1"/>
  <c r="K31" i="1"/>
  <c r="K28" i="1"/>
  <c r="J30" i="1"/>
  <c r="J29" i="1"/>
  <c r="J27" i="1"/>
  <c r="H29" i="1"/>
  <c r="D18" i="1"/>
  <c r="B40" i="1"/>
  <c r="B24" i="1"/>
  <c r="B17" i="1" s="1"/>
  <c r="F17" i="1" s="1"/>
  <c r="B32" i="1"/>
  <c r="I33" i="1"/>
  <c r="I34" i="1"/>
  <c r="I35" i="1"/>
  <c r="I36" i="1"/>
  <c r="I37" i="1"/>
  <c r="I38" i="1"/>
  <c r="I39" i="1"/>
  <c r="I40" i="1"/>
  <c r="M21" i="1"/>
  <c r="B33" i="1" l="1"/>
  <c r="B25" i="1"/>
  <c r="H25" i="1" s="1"/>
  <c r="B18" i="1"/>
  <c r="AD40" i="1"/>
  <c r="AC32" i="1"/>
  <c r="AD32" i="1"/>
  <c r="AE32" i="1"/>
  <c r="AG32" i="1"/>
  <c r="AE24" i="1"/>
  <c r="I25" i="1" l="1"/>
  <c r="AA25" i="1"/>
  <c r="AI25" i="1" s="1"/>
  <c r="K18" i="1"/>
  <c r="M18" i="1" s="1"/>
  <c r="N18" i="1"/>
  <c r="AB18" i="1"/>
  <c r="I18" i="1"/>
  <c r="T18" i="1" s="1"/>
  <c r="B19" i="1"/>
  <c r="B26" i="1"/>
  <c r="B27" i="1"/>
  <c r="E27" i="1" s="1"/>
  <c r="B28" i="1"/>
  <c r="B29" i="1"/>
  <c r="B34" i="1"/>
  <c r="AA34" i="1" s="1"/>
  <c r="Z33" i="1"/>
  <c r="V33" i="1"/>
  <c r="AA33" i="1"/>
  <c r="AB33" i="1"/>
  <c r="AH33" i="1"/>
  <c r="B36" i="1"/>
  <c r="B37" i="1"/>
  <c r="B35" i="1"/>
  <c r="B39" i="1"/>
  <c r="B38" i="1"/>
  <c r="B30" i="1"/>
  <c r="B31" i="1"/>
  <c r="B20" i="1"/>
  <c r="F20" i="1" s="1"/>
  <c r="B21" i="1"/>
  <c r="O21" i="1" s="1"/>
  <c r="S21" i="1" s="1"/>
  <c r="B41" i="1"/>
  <c r="B23" i="1"/>
  <c r="B22" i="1"/>
  <c r="J22" i="1" s="1"/>
  <c r="V18" i="1"/>
  <c r="AC18" i="1"/>
  <c r="Z18" i="1"/>
  <c r="AA18" i="1"/>
  <c r="AA24" i="1" s="1"/>
  <c r="AG18" i="1"/>
  <c r="AG24" i="1" s="1"/>
  <c r="W18" i="1"/>
  <c r="AJ25" i="1" l="1"/>
  <c r="R23" i="1"/>
  <c r="S23" i="1" s="1"/>
  <c r="K23" i="1"/>
  <c r="M23" i="1" s="1"/>
  <c r="F23" i="1"/>
  <c r="AB28" i="1"/>
  <c r="AI28" i="1" s="1"/>
  <c r="G28" i="1"/>
  <c r="H30" i="1"/>
  <c r="F30" i="1"/>
  <c r="I30" i="1" s="1"/>
  <c r="D26" i="1"/>
  <c r="F26" i="1"/>
  <c r="F32" i="1" s="1"/>
  <c r="H32" i="1"/>
  <c r="D29" i="1"/>
  <c r="I27" i="1"/>
  <c r="AA32" i="1"/>
  <c r="E31" i="1"/>
  <c r="G31" i="1"/>
  <c r="O19" i="1"/>
  <c r="J19" i="1"/>
  <c r="M19" i="1" s="1"/>
  <c r="X31" i="1"/>
  <c r="AI31" i="1" s="1"/>
  <c r="V27" i="1"/>
  <c r="V32" i="1" s="1"/>
  <c r="Z26" i="1"/>
  <c r="AH22" i="1"/>
  <c r="N22" i="1"/>
  <c r="S22" i="1" s="1"/>
  <c r="L22" i="1"/>
  <c r="S18" i="1"/>
  <c r="H17" i="1"/>
  <c r="J17" i="1"/>
  <c r="Q20" i="1"/>
  <c r="K20" i="1"/>
  <c r="Z21" i="1"/>
  <c r="AI21" i="1" s="1"/>
  <c r="G22" i="1"/>
  <c r="I22" i="1" s="1"/>
  <c r="D21" i="1"/>
  <c r="D24" i="1"/>
  <c r="Z19" i="1"/>
  <c r="H19" i="1"/>
  <c r="E19" i="1"/>
  <c r="AB20" i="1"/>
  <c r="G21" i="1"/>
  <c r="I20" i="1"/>
  <c r="AB23" i="1"/>
  <c r="AI23" i="1" s="1"/>
  <c r="H23" i="1"/>
  <c r="E23" i="1"/>
  <c r="X17" i="1"/>
  <c r="Y17" i="1"/>
  <c r="AF27" i="1"/>
  <c r="AF32" i="1" s="1"/>
  <c r="AF22" i="1"/>
  <c r="AF24" i="1" s="1"/>
  <c r="AD20" i="1"/>
  <c r="AI18" i="1"/>
  <c r="AJ18" i="1" s="1"/>
  <c r="AI33" i="1"/>
  <c r="AJ33" i="1" s="1"/>
  <c r="X26" i="1"/>
  <c r="Y19" i="1"/>
  <c r="V20" i="1"/>
  <c r="X20" i="1"/>
  <c r="W34" i="1"/>
  <c r="AC19" i="1"/>
  <c r="X34" i="1"/>
  <c r="Z17" i="1"/>
  <c r="Y29" i="1"/>
  <c r="Y32" i="1" s="1"/>
  <c r="W29" i="1"/>
  <c r="W17" i="1"/>
  <c r="W24" i="1" s="1"/>
  <c r="Z39" i="1"/>
  <c r="AG39" i="1"/>
  <c r="AH39" i="1"/>
  <c r="X35" i="1"/>
  <c r="AE35" i="1"/>
  <c r="AE40" i="1" s="1"/>
  <c r="AE41" i="1" s="1"/>
  <c r="V37" i="1"/>
  <c r="W37" i="1"/>
  <c r="AA37" i="1"/>
  <c r="AA40" i="1" s="1"/>
  <c r="AH37" i="1"/>
  <c r="Z36" i="1"/>
  <c r="AC36" i="1"/>
  <c r="AC40" i="1" s="1"/>
  <c r="Y36" i="1"/>
  <c r="AF38" i="1"/>
  <c r="AF40" i="1" s="1"/>
  <c r="V38" i="1"/>
  <c r="AB38" i="1"/>
  <c r="Z30" i="1"/>
  <c r="AB30" i="1"/>
  <c r="AB32" i="1" s="1"/>
  <c r="AH30" i="1"/>
  <c r="AH32" i="1" s="1"/>
  <c r="V17" i="1"/>
  <c r="AC17" i="1"/>
  <c r="X22" i="1"/>
  <c r="AH17" i="1"/>
  <c r="AD17" i="1"/>
  <c r="I29" i="1" l="1"/>
  <c r="R24" i="1"/>
  <c r="I31" i="1"/>
  <c r="AA41" i="1"/>
  <c r="D32" i="1"/>
  <c r="I26" i="1"/>
  <c r="E32" i="1"/>
  <c r="AI26" i="1"/>
  <c r="AJ26" i="1" s="1"/>
  <c r="I28" i="1"/>
  <c r="AJ28" i="1" s="1"/>
  <c r="G32" i="1"/>
  <c r="AJ31" i="1"/>
  <c r="I23" i="1"/>
  <c r="T23" i="1" s="1"/>
  <c r="L24" i="1"/>
  <c r="M22" i="1"/>
  <c r="T22" i="1" s="1"/>
  <c r="M17" i="1"/>
  <c r="J24" i="1"/>
  <c r="J41" i="1" s="1"/>
  <c r="AB24" i="1"/>
  <c r="P24" i="1"/>
  <c r="S17" i="1"/>
  <c r="Q24" i="1"/>
  <c r="S20" i="1"/>
  <c r="N24" i="1"/>
  <c r="K24" i="1"/>
  <c r="K41" i="1" s="1"/>
  <c r="M20" i="1"/>
  <c r="T20" i="1" s="1"/>
  <c r="G24" i="1"/>
  <c r="AH24" i="1"/>
  <c r="Z24" i="1"/>
  <c r="S19" i="1"/>
  <c r="O24" i="1"/>
  <c r="I17" i="1"/>
  <c r="I19" i="1"/>
  <c r="T19" i="1" s="1"/>
  <c r="E24" i="1"/>
  <c r="H24" i="1"/>
  <c r="H41" i="1" s="1"/>
  <c r="F24" i="1"/>
  <c r="I21" i="1"/>
  <c r="AI34" i="1"/>
  <c r="AJ34" i="1" s="1"/>
  <c r="AF41" i="1"/>
  <c r="AI22" i="1"/>
  <c r="AI27" i="1"/>
  <c r="AJ27" i="1" s="1"/>
  <c r="Z40" i="1"/>
  <c r="AI19" i="1"/>
  <c r="AC24" i="1"/>
  <c r="AC41" i="1" s="1"/>
  <c r="AI20" i="1"/>
  <c r="X32" i="1"/>
  <c r="AD24" i="1"/>
  <c r="AD41" i="1" s="1"/>
  <c r="Y24" i="1"/>
  <c r="AH40" i="1"/>
  <c r="V24" i="1"/>
  <c r="W40" i="1"/>
  <c r="W32" i="1"/>
  <c r="AI29" i="1"/>
  <c r="AJ29" i="1" s="1"/>
  <c r="AG40" i="1"/>
  <c r="AG41" i="1" s="1"/>
  <c r="Y40" i="1"/>
  <c r="AI36" i="1"/>
  <c r="X40" i="1"/>
  <c r="AI35" i="1"/>
  <c r="AJ35" i="1" s="1"/>
  <c r="AI38" i="1"/>
  <c r="AB40" i="1"/>
  <c r="AI37" i="1"/>
  <c r="V40" i="1"/>
  <c r="AI39" i="1"/>
  <c r="AI30" i="1"/>
  <c r="AJ30" i="1" s="1"/>
  <c r="Z32" i="1"/>
  <c r="AI17" i="1"/>
  <c r="X24" i="1"/>
  <c r="D41" i="1"/>
  <c r="AJ37" i="1" l="1"/>
  <c r="AJ36" i="1"/>
  <c r="E41" i="1"/>
  <c r="I32" i="1"/>
  <c r="T17" i="1"/>
  <c r="AJ22" i="1"/>
  <c r="AJ23" i="1"/>
  <c r="AH41" i="1"/>
  <c r="AB41" i="1"/>
  <c r="AJ21" i="1"/>
  <c r="T21" i="1"/>
  <c r="AJ20" i="1"/>
  <c r="AJ17" i="1"/>
  <c r="I24" i="1"/>
  <c r="AJ19" i="1"/>
  <c r="V41" i="1"/>
  <c r="AI24" i="1"/>
  <c r="Z41" i="1"/>
  <c r="X41" i="1"/>
  <c r="W41" i="1"/>
  <c r="Y41" i="1"/>
  <c r="AI32" i="1"/>
  <c r="AJ32" i="1"/>
  <c r="AJ38" i="1" l="1"/>
  <c r="AJ39" i="1"/>
  <c r="I41" i="1"/>
  <c r="AJ24" i="1"/>
</calcChain>
</file>

<file path=xl/sharedStrings.xml><?xml version="1.0" encoding="utf-8"?>
<sst xmlns="http://schemas.openxmlformats.org/spreadsheetml/2006/main" count="81" uniqueCount="41">
  <si>
    <t>Seats And Restraints</t>
  </si>
  <si>
    <t>Lights And Instruments</t>
  </si>
  <si>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</si>
  <si>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</si>
  <si>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</si>
  <si>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</si>
  <si>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</si>
  <si>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</si>
  <si>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</si>
  <si>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</si>
  <si>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</si>
  <si>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</si>
  <si>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</si>
  <si>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Components Total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</si>
  <si>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</si>
  <si>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</si>
  <si>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</si>
  <si>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</si>
  <si>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</si>
  <si>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</si>
  <si>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</si>
  <si>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</si>
  <si>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</si>
  <si>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</si>
  <si>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</si>
  <si>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</si>
  <si>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</si>
  <si>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</si>
  <si>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</si>
  <si>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</si>
  <si>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</si>
  <si>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</si>
  <si>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</si>
  <si>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</si>
  <si>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</si>
  <si>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</si>
  <si>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</si>
  <si>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</si>
  <si>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Population in BC</t>
  </si>
  <si>
    <t>Precentage of Car Owners</t>
  </si>
  <si>
    <t>% of Repairs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</si>
</sst>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4" borderId="0" xfId="0" applyNumberFormat="1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64" fontId="0" fillId="5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 applyAlignment="1">
      <alignment horizontal="left" vertical="top"/>
    </xf>
    <xf numFmtId="165" fontId="0" fillId="0" borderId="0" xfId="1" applyNumberFormat="1" applyFont="1"/>
    <xf numFmtId="165" fontId="0" fillId="4" borderId="0" xfId="0" applyNumberFormat="1" applyFill="1"/>
    <xf numFmtId="165" fontId="0" fillId="0" borderId="0" xfId="0" applyNumberFormat="1"/>
    <xf numFmtId="165" fontId="0" fillId="9" borderId="0" xfId="0" applyNumberFormat="1" applyFill="1"/>
    <xf numFmtId="165" fontId="0" fillId="5" borderId="0" xfId="0" applyNumberFormat="1" applyFill="1"/>
    <xf numFmtId="0" fontId="0" fillId="10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10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AJ50"/>
  <sheetViews>
    <sheetView tabSelected="1" topLeftCell="B1" zoomScale="80" zoomScaleNormal="80" workbookViewId="0">
      <selection activeCell="P35" sqref="P35"/>
    </sheetView>
  </sheetViews>
  <sheetFormatPr defaultRowHeight="14.4" x14ac:dyDescent="0.55000000000000004"/>
  <cols>
    <col min="1" max="1" width="30.89453125" customWidth="1"/>
    <col min="2" max="2" width="21.68359375" customWidth="1"/>
    <col min="3" max="3" width="15.7890625" customWidth="1"/>
    <col min="4" max="4" width="18.3125" customWidth="1"/>
    <col min="5" max="7" width="16.26171875" customWidth="1"/>
    <col min="8" max="8" width="16.9453125" customWidth="1"/>
    <col min="9" max="9" width="18.9453125" customWidth="1"/>
    <col min="10" max="10" width="18.7890625" customWidth="1"/>
    <col min="11" max="11" width="17.15625" customWidth="1"/>
    <col min="12" max="12" width="19.15625" customWidth="1"/>
    <col min="13" max="13" width="21.68359375" customWidth="1"/>
    <col min="14" max="14" width="18.3125" customWidth="1"/>
    <col min="15" max="21" width="12.734375" customWidth="1"/>
    <col min="22" max="22" width="18.41796875" customWidth="1"/>
    <col min="23" max="23" width="21.3125" customWidth="1"/>
    <col min="24" max="24" width="19.734375" customWidth="1"/>
    <col min="25" max="25" width="22.1015625" customWidth="1"/>
    <col min="26" max="26" width="19.1015625" customWidth="1"/>
    <col min="27" max="27" width="18.7890625" customWidth="1"/>
    <col min="28" max="28" width="23.26171875" customWidth="1"/>
    <col min="29" max="29" width="22.578125" customWidth="1"/>
    <col min="30" max="31" width="19.7890625" customWidth="1"/>
    <col min="32" max="32" width="20.3125" customWidth="1"/>
    <col min="33" max="33" width="22.3125" customWidth="1"/>
    <col min="34" max="34" width="21.9453125" customWidth="1"/>
    <col min="35" max="35" width="15.7890625" customWidth="1"/>
    <col min="36" max="36" width="18.05078125" customWidth="1"/>
  </cols>
  <sheetData>
    <row r="2" spans="1:36" ht="38.4" x14ac:dyDescent="0.55000000000000004">
      <c r="A2" s="16" t="s">
        <v>37</v>
      </c>
      <c r="B2" s="6"/>
    </row>
    <row r="3" spans="1:36" ht="18.600000000000001" customHeight="1" x14ac:dyDescent="0.55000000000000004">
      <c r="A3" s="16"/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6" ht="18.600000000000001" customHeight="1" x14ac:dyDescent="0.7">
      <c r="A4" s="24" t="s">
        <v>17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6" ht="18.600000000000001" customHeight="1" x14ac:dyDescent="0.55000000000000004">
      <c r="A5" s="22" t="s">
        <v>15</v>
      </c>
      <c r="B5" s="22" t="s">
        <v>16</v>
      </c>
      <c r="C5" s="22" t="s">
        <v>2</v>
      </c>
      <c r="D5" s="22" t="s">
        <v>18</v>
      </c>
      <c r="E5" s="22" t="s">
        <v>4</v>
      </c>
      <c r="F5" s="22" t="s">
        <v>5</v>
      </c>
      <c r="G5" s="22" t="s">
        <v>6</v>
      </c>
      <c r="H5" s="22" t="s">
        <v>7</v>
      </c>
      <c r="I5" s="22" t="s">
        <v>8</v>
      </c>
      <c r="J5" s="22" t="s">
        <v>9</v>
      </c>
      <c r="K5" s="22" t="s">
        <v>10</v>
      </c>
      <c r="L5" s="22" t="s">
        <v>11</v>
      </c>
      <c r="M5" s="22" t="s">
        <v>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6" ht="18.600000000000001" customHeight="1" thickBot="1" x14ac:dyDescent="0.6">
      <c r="A6" s="23">
        <v>200</v>
      </c>
      <c r="B6" s="23">
        <v>1200</v>
      </c>
      <c r="C6" s="23">
        <v>200</v>
      </c>
      <c r="D6" s="23">
        <v>80</v>
      </c>
      <c r="E6" s="23">
        <v>120</v>
      </c>
      <c r="F6" s="23">
        <v>320</v>
      </c>
      <c r="G6" s="23">
        <v>700</v>
      </c>
      <c r="H6" s="23">
        <v>100</v>
      </c>
      <c r="I6" s="23">
        <v>800</v>
      </c>
      <c r="J6" s="23">
        <v>270</v>
      </c>
      <c r="K6" s="23">
        <v>440</v>
      </c>
      <c r="L6" s="23">
        <v>200</v>
      </c>
      <c r="M6" s="23">
        <v>100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36" ht="18.600000000000001" customHeight="1" x14ac:dyDescent="0.5500000000000000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36" ht="18.600000000000001" customHeight="1" x14ac:dyDescent="0.7">
      <c r="A8" s="28" t="s">
        <v>38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36" ht="18.600000000000001" customHeight="1" x14ac:dyDescent="0.55000000000000004">
      <c r="A9" s="27">
        <v>2019</v>
      </c>
      <c r="B9" s="27">
        <v>2018</v>
      </c>
      <c r="C9" s="27">
        <v>2017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36" ht="18.600000000000001" customHeight="1" thickBot="1" x14ac:dyDescent="0.6">
      <c r="A10" s="29">
        <v>5070000</v>
      </c>
      <c r="B10" s="29">
        <v>5010000</v>
      </c>
      <c r="C10" s="29">
        <v>4920000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6" ht="18.600000000000001" customHeight="1" x14ac:dyDescent="0.55000000000000004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6" ht="18.600000000000001" customHeight="1" x14ac:dyDescent="0.7">
      <c r="A12" s="24" t="s">
        <v>40</v>
      </c>
      <c r="B12">
        <v>1E-3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6" ht="18" customHeight="1" x14ac:dyDescent="0.7">
      <c r="A13" s="24" t="s">
        <v>39</v>
      </c>
      <c r="B13">
        <v>0.65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5" spans="1:36" x14ac:dyDescent="0.55000000000000004">
      <c r="A15" s="1"/>
      <c r="B15" s="1"/>
      <c r="C15" s="1"/>
      <c r="D15" s="1" t="s">
        <v>28</v>
      </c>
      <c r="E15" s="1"/>
      <c r="F15" s="1"/>
      <c r="G15" s="1"/>
      <c r="H15" s="1"/>
      <c r="I15" s="3"/>
      <c r="J15" s="1" t="s">
        <v>29</v>
      </c>
      <c r="K15" s="1"/>
      <c r="L15" s="1"/>
      <c r="M15" s="3"/>
      <c r="N15" s="1" t="s">
        <v>30</v>
      </c>
      <c r="O15" s="1"/>
      <c r="P15" s="1"/>
      <c r="Q15" s="1"/>
      <c r="R15" s="1"/>
      <c r="S15" s="15"/>
      <c r="T15" s="4"/>
      <c r="V15" s="1" t="s">
        <v>30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3"/>
      <c r="AJ15" s="4" t="s">
        <v>14</v>
      </c>
    </row>
    <row r="16" spans="1:36" x14ac:dyDescent="0.55000000000000004">
      <c r="A16" s="1" t="s">
        <v>33</v>
      </c>
      <c r="B16" s="1" t="s">
        <v>19</v>
      </c>
      <c r="C16" s="1" t="s">
        <v>20</v>
      </c>
      <c r="D16" s="1" t="s">
        <v>16</v>
      </c>
      <c r="E16" s="1" t="s">
        <v>2</v>
      </c>
      <c r="F16" s="1" t="s">
        <v>10</v>
      </c>
      <c r="G16" s="1" t="s">
        <v>11</v>
      </c>
      <c r="H16" s="1" t="s">
        <v>12</v>
      </c>
      <c r="I16" s="3" t="s">
        <v>31</v>
      </c>
      <c r="J16" s="1" t="s">
        <v>3</v>
      </c>
      <c r="K16" s="1" t="s">
        <v>8</v>
      </c>
      <c r="L16" s="1" t="s">
        <v>9</v>
      </c>
      <c r="M16" s="3" t="s">
        <v>32</v>
      </c>
      <c r="N16" s="1" t="s">
        <v>15</v>
      </c>
      <c r="O16" s="1" t="s">
        <v>4</v>
      </c>
      <c r="P16" s="1" t="s">
        <v>5</v>
      </c>
      <c r="Q16" s="1" t="s">
        <v>6</v>
      </c>
      <c r="R16" s="1" t="s">
        <v>7</v>
      </c>
      <c r="S16" s="15" t="s">
        <v>31</v>
      </c>
      <c r="T16" s="4" t="s">
        <v>14</v>
      </c>
      <c r="V16" s="13" t="s">
        <v>0</v>
      </c>
      <c r="W16" s="12" t="s">
        <v>1</v>
      </c>
      <c r="X16" s="12" t="s">
        <v>2</v>
      </c>
      <c r="Y16" s="14" t="s">
        <v>3</v>
      </c>
      <c r="Z16" s="13" t="s">
        <v>4</v>
      </c>
      <c r="AA16" s="13" t="s">
        <v>5</v>
      </c>
      <c r="AB16" s="13" t="s">
        <v>6</v>
      </c>
      <c r="AC16" s="13" t="s">
        <v>7</v>
      </c>
      <c r="AD16" s="14" t="s">
        <v>8</v>
      </c>
      <c r="AE16" s="14" t="s">
        <v>9</v>
      </c>
      <c r="AF16" s="12" t="s">
        <v>10</v>
      </c>
      <c r="AG16" s="12" t="s">
        <v>11</v>
      </c>
      <c r="AH16" s="12" t="s">
        <v>12</v>
      </c>
      <c r="AI16" s="3" t="s">
        <v>13</v>
      </c>
      <c r="AJ16" s="4"/>
    </row>
    <row r="17" spans="1:36" x14ac:dyDescent="0.55000000000000004">
      <c r="A17" s="2">
        <v>2019</v>
      </c>
      <c r="B17" s="11">
        <f>B24*0.3</f>
        <v>988650</v>
      </c>
      <c r="C17" s="2" t="s">
        <v>21</v>
      </c>
      <c r="D17" s="17"/>
      <c r="E17" s="17"/>
      <c r="F17" s="17">
        <f>$K6 * (B17*B12)</f>
        <v>435006</v>
      </c>
      <c r="G17" s="17"/>
      <c r="H17" s="17">
        <f>$M6 * (B17*B12)</f>
        <v>98865</v>
      </c>
      <c r="I17" s="18">
        <f>SUM(D17:H17)</f>
        <v>533871</v>
      </c>
      <c r="J17" s="17">
        <f>$D6 * (B17*B12)</f>
        <v>79092</v>
      </c>
      <c r="K17" s="19"/>
      <c r="L17" s="19"/>
      <c r="M17" s="18">
        <f t="shared" ref="M17:M23" si="0">SUM(J17:L17)</f>
        <v>79092</v>
      </c>
      <c r="N17" s="19"/>
      <c r="O17" s="19"/>
      <c r="P17" s="19">
        <f>$F6 * (B17*B12)</f>
        <v>316368</v>
      </c>
      <c r="Q17" s="19"/>
      <c r="R17" s="19"/>
      <c r="S17" s="20">
        <f t="shared" ref="S17:S23" si="1">SUM(N17:R17)</f>
        <v>316368</v>
      </c>
      <c r="T17" s="21">
        <f>SUM(I17+M17)</f>
        <v>612963</v>
      </c>
      <c r="V17" s="7">
        <f>A$6*4+(B17*B12)</f>
        <v>1788.65</v>
      </c>
      <c r="W17" s="7">
        <f>B$6*1+(B17*B12)</f>
        <v>2188.65</v>
      </c>
      <c r="X17" s="7">
        <f>C6*3++(B17*B12)</f>
        <v>1588.65</v>
      </c>
      <c r="Y17" s="7">
        <f>D6*2+(B17*B12)</f>
        <v>1148.6500000000001</v>
      </c>
      <c r="Z17" s="7">
        <f>E6*3+(B17*B12)</f>
        <v>1348.65</v>
      </c>
      <c r="AA17" s="7"/>
      <c r="AB17" s="7"/>
      <c r="AC17" s="7">
        <f>H6*1+(B17*B12)</f>
        <v>1088.6500000000001</v>
      </c>
      <c r="AD17" s="7">
        <f>I6*1+(B17*B12)</f>
        <v>1788.65</v>
      </c>
      <c r="AE17" s="7"/>
      <c r="AF17" s="7"/>
      <c r="AG17" s="7"/>
      <c r="AH17" s="7">
        <f>M6*1+(B17*B12)</f>
        <v>1088.6500000000001</v>
      </c>
      <c r="AI17" s="5">
        <f t="shared" ref="AI17:AI23" si="2">SUM(V17:AH17)</f>
        <v>12029.199999999999</v>
      </c>
      <c r="AJ17" s="8">
        <f t="shared" ref="AJ17:AJ23" si="3">SUM(I17+M17+AI17)</f>
        <v>624992.19999999995</v>
      </c>
    </row>
    <row r="18" spans="1:36" x14ac:dyDescent="0.55000000000000004">
      <c r="A18" s="2"/>
      <c r="B18" s="11">
        <f>B24*0.27</f>
        <v>889785.00000000012</v>
      </c>
      <c r="C18" s="2" t="s">
        <v>22</v>
      </c>
      <c r="D18" s="17">
        <f>$B6 * (B18*B12)</f>
        <v>1067742</v>
      </c>
      <c r="E18" s="17"/>
      <c r="F18" s="17"/>
      <c r="G18" s="17"/>
      <c r="I18" s="18">
        <f t="shared" ref="I18:I40" si="4">SUM(D18:H18)</f>
        <v>1067742</v>
      </c>
      <c r="J18" s="19"/>
      <c r="K18" s="19">
        <f>$D6 * (B18*B12)</f>
        <v>71182.8</v>
      </c>
      <c r="L18" s="19"/>
      <c r="M18" s="18">
        <f t="shared" si="0"/>
        <v>71182.8</v>
      </c>
      <c r="N18" s="19">
        <f>$A6 * (B18*B12)</f>
        <v>177957.00000000003</v>
      </c>
      <c r="O18" s="19"/>
      <c r="P18" s="19"/>
      <c r="Q18" s="19"/>
      <c r="R18" s="19"/>
      <c r="S18" s="20">
        <f t="shared" si="1"/>
        <v>177957.00000000003</v>
      </c>
      <c r="T18" s="21">
        <f t="shared" ref="T18:T24" si="5">SUM(I18+M18)</f>
        <v>1138924.8</v>
      </c>
      <c r="V18" s="7">
        <f>A$6*1+(B18*B12)</f>
        <v>1089.7850000000001</v>
      </c>
      <c r="W18" s="7">
        <f>B$6*1++(B18*B12)</f>
        <v>2089.7849999999999</v>
      </c>
      <c r="X18" s="7"/>
      <c r="Y18" s="7"/>
      <c r="Z18" s="7">
        <f>E6*2+(B18*B12)</f>
        <v>1129.7850000000001</v>
      </c>
      <c r="AA18" s="7">
        <f>F6*1+(B18*B12)</f>
        <v>1209.7850000000001</v>
      </c>
      <c r="AB18" s="7">
        <f>G6*1+(B18*B12)</f>
        <v>1589.7850000000001</v>
      </c>
      <c r="AC18" s="7">
        <f>H6*1+(B18*B12)</f>
        <v>989.78500000000008</v>
      </c>
      <c r="AD18" s="7"/>
      <c r="AE18" s="7"/>
      <c r="AF18" s="7"/>
      <c r="AG18" s="7">
        <f>L6*1+(B18*B12)</f>
        <v>1089.7850000000001</v>
      </c>
      <c r="AH18" s="7"/>
      <c r="AI18" s="5">
        <f t="shared" si="2"/>
        <v>9188.494999999999</v>
      </c>
      <c r="AJ18" s="8">
        <f t="shared" si="3"/>
        <v>1148113.2950000002</v>
      </c>
    </row>
    <row r="19" spans="1:36" x14ac:dyDescent="0.55000000000000004">
      <c r="A19" s="2"/>
      <c r="B19" s="11">
        <f>B24*0.17</f>
        <v>560235</v>
      </c>
      <c r="C19" s="2" t="s">
        <v>23</v>
      </c>
      <c r="D19" s="17"/>
      <c r="E19" s="17">
        <f>$C6 * (B19*B12)</f>
        <v>112047</v>
      </c>
      <c r="F19" s="17"/>
      <c r="G19" s="17"/>
      <c r="H19" s="17">
        <f>$M6 * (B19*B12)</f>
        <v>56023.5</v>
      </c>
      <c r="I19" s="18">
        <f t="shared" si="4"/>
        <v>168070.5</v>
      </c>
      <c r="J19" s="19">
        <f>$D6 * (B19*B12)</f>
        <v>44818.8</v>
      </c>
      <c r="K19" s="19"/>
      <c r="L19" s="19"/>
      <c r="M19" s="18">
        <f t="shared" si="0"/>
        <v>44818.8</v>
      </c>
      <c r="N19" s="19"/>
      <c r="O19" s="19">
        <f>$E6 * (B19*B12)</f>
        <v>67228.2</v>
      </c>
      <c r="P19" s="19"/>
      <c r="Q19" s="19"/>
      <c r="R19" s="19"/>
      <c r="S19" s="20">
        <f t="shared" si="1"/>
        <v>67228.2</v>
      </c>
      <c r="T19" s="21">
        <f t="shared" si="5"/>
        <v>212889.3</v>
      </c>
      <c r="V19" s="7"/>
      <c r="W19" s="7"/>
      <c r="X19" s="7"/>
      <c r="Y19" s="7">
        <f>D6*1+(B19*B12)</f>
        <v>640.23500000000001</v>
      </c>
      <c r="Z19" s="7">
        <f>E6*1+(B19*B12)</f>
        <v>680.23500000000001</v>
      </c>
      <c r="AA19" s="7"/>
      <c r="AB19" s="7"/>
      <c r="AC19" s="7">
        <f>H6*2+(B19*B12)</f>
        <v>760.23500000000001</v>
      </c>
      <c r="AD19" s="7"/>
      <c r="AE19" s="7"/>
      <c r="AF19" s="7"/>
      <c r="AG19" s="7"/>
      <c r="AH19" s="7"/>
      <c r="AI19" s="5">
        <f t="shared" si="2"/>
        <v>2080.7049999999999</v>
      </c>
      <c r="AJ19" s="8">
        <f t="shared" si="3"/>
        <v>214970.00499999998</v>
      </c>
    </row>
    <row r="20" spans="1:36" x14ac:dyDescent="0.55000000000000004">
      <c r="A20" s="2"/>
      <c r="B20" s="11">
        <f>B24*0.09</f>
        <v>296595</v>
      </c>
      <c r="C20" s="2" t="s">
        <v>24</v>
      </c>
      <c r="D20" s="17"/>
      <c r="E20" s="17"/>
      <c r="F20" s="17">
        <f>$K6 * (B20*B12)</f>
        <v>130501.80000000002</v>
      </c>
      <c r="G20" s="17"/>
      <c r="H20" s="17"/>
      <c r="I20" s="18">
        <f t="shared" si="4"/>
        <v>130501.80000000002</v>
      </c>
      <c r="J20" s="19"/>
      <c r="K20" s="19">
        <f>$D6 * (B20*B12)</f>
        <v>23727.600000000002</v>
      </c>
      <c r="L20" s="19"/>
      <c r="M20" s="18">
        <f t="shared" si="0"/>
        <v>23727.600000000002</v>
      </c>
      <c r="N20" s="19"/>
      <c r="O20" s="19"/>
      <c r="P20" s="19"/>
      <c r="Q20" s="19">
        <f>$G6 * (B20*B12)</f>
        <v>207616.50000000003</v>
      </c>
      <c r="R20" s="19"/>
      <c r="S20" s="20">
        <f t="shared" si="1"/>
        <v>207616.50000000003</v>
      </c>
      <c r="T20" s="21">
        <f t="shared" si="5"/>
        <v>154229.40000000002</v>
      </c>
      <c r="V20" s="7">
        <f>A6*1+(B20*B12)</f>
        <v>496.59500000000003</v>
      </c>
      <c r="W20" s="7"/>
      <c r="X20" s="7">
        <f>C6*1+(B20*B12)</f>
        <v>496.59500000000003</v>
      </c>
      <c r="Y20" s="7"/>
      <c r="Z20" s="7"/>
      <c r="AA20" s="7"/>
      <c r="AB20" s="7">
        <f>G6*1+(B20*B12)</f>
        <v>996.59500000000003</v>
      </c>
      <c r="AC20" s="7"/>
      <c r="AD20" s="7">
        <f>I6*1+(B20*B12)</f>
        <v>1096.595</v>
      </c>
      <c r="AE20" s="7"/>
      <c r="AF20" s="7"/>
      <c r="AG20" s="7"/>
      <c r="AH20" s="7"/>
      <c r="AI20" s="5">
        <f t="shared" si="2"/>
        <v>3086.38</v>
      </c>
      <c r="AJ20" s="8">
        <f t="shared" si="3"/>
        <v>157315.78000000003</v>
      </c>
    </row>
    <row r="21" spans="1:36" x14ac:dyDescent="0.55000000000000004">
      <c r="A21" s="2"/>
      <c r="B21" s="11">
        <f>B24*0.07</f>
        <v>230685.00000000003</v>
      </c>
      <c r="C21" s="2" t="s">
        <v>25</v>
      </c>
      <c r="D21" s="17">
        <f>$B6 * (B21*B12)</f>
        <v>276822.00000000006</v>
      </c>
      <c r="E21" s="17"/>
      <c r="F21" s="17"/>
      <c r="G21" s="17">
        <f>$L6 * (B20*B12)</f>
        <v>59319.000000000007</v>
      </c>
      <c r="H21" s="17"/>
      <c r="I21" s="18">
        <f t="shared" si="4"/>
        <v>336141.00000000006</v>
      </c>
      <c r="J21" s="19"/>
      <c r="K21" s="19"/>
      <c r="L21" s="19"/>
      <c r="M21" s="18">
        <f t="shared" si="0"/>
        <v>0</v>
      </c>
      <c r="N21" s="19"/>
      <c r="O21" s="19">
        <f>$E6 * (B21*B12)</f>
        <v>27682.200000000004</v>
      </c>
      <c r="P21" s="19"/>
      <c r="Q21" s="19"/>
      <c r="R21" s="19"/>
      <c r="S21" s="20">
        <f t="shared" si="1"/>
        <v>27682.200000000004</v>
      </c>
      <c r="T21" s="21">
        <f t="shared" si="5"/>
        <v>336141.00000000006</v>
      </c>
      <c r="V21" s="7"/>
      <c r="W21" s="7"/>
      <c r="X21" s="7"/>
      <c r="Y21" s="7"/>
      <c r="Z21" s="7">
        <f>E6*1+(B21*B12)</f>
        <v>350.68500000000006</v>
      </c>
      <c r="AA21" s="7"/>
      <c r="AB21" s="7"/>
      <c r="AC21" s="7"/>
      <c r="AD21" s="7"/>
      <c r="AE21" s="7"/>
      <c r="AF21" s="7"/>
      <c r="AG21" s="7"/>
      <c r="AH21" s="7"/>
      <c r="AI21" s="5">
        <f t="shared" si="2"/>
        <v>350.68500000000006</v>
      </c>
      <c r="AJ21" s="8">
        <f t="shared" si="3"/>
        <v>336491.68500000006</v>
      </c>
    </row>
    <row r="22" spans="1:36" x14ac:dyDescent="0.55000000000000004">
      <c r="A22" s="2"/>
      <c r="B22" s="11">
        <f>B24*0.06</f>
        <v>197730</v>
      </c>
      <c r="C22" s="2" t="s">
        <v>26</v>
      </c>
      <c r="D22" s="17"/>
      <c r="E22" s="17"/>
      <c r="F22" s="17"/>
      <c r="G22" s="17">
        <f>$K6 * (B21*B12)</f>
        <v>101501.40000000001</v>
      </c>
      <c r="H22" s="17"/>
      <c r="I22" s="18">
        <f t="shared" si="4"/>
        <v>101501.40000000001</v>
      </c>
      <c r="J22" s="19">
        <f>$D6 * (B22*B12)</f>
        <v>15818.400000000001</v>
      </c>
      <c r="K22" s="19"/>
      <c r="L22" s="19">
        <f>$J6 * (B22*B12)</f>
        <v>53387.100000000006</v>
      </c>
      <c r="M22" s="18">
        <f t="shared" si="0"/>
        <v>69205.5</v>
      </c>
      <c r="N22" s="19">
        <f>$A6 * (B22*B12)</f>
        <v>39546</v>
      </c>
      <c r="O22" s="19"/>
      <c r="P22" s="19"/>
      <c r="Q22" s="19"/>
      <c r="R22" s="19"/>
      <c r="S22" s="20">
        <f t="shared" si="1"/>
        <v>39546</v>
      </c>
      <c r="T22" s="21">
        <f t="shared" si="5"/>
        <v>170706.90000000002</v>
      </c>
      <c r="V22" s="7"/>
      <c r="W22" s="7"/>
      <c r="X22" s="7">
        <f>C6*1+(B22*B12)</f>
        <v>397.73</v>
      </c>
      <c r="Y22" s="7"/>
      <c r="Z22" s="7"/>
      <c r="AA22" s="7"/>
      <c r="AB22" s="7"/>
      <c r="AC22" s="7"/>
      <c r="AD22" s="7"/>
      <c r="AE22" s="7"/>
      <c r="AF22" s="7">
        <f>K6*1+(B22*B12)</f>
        <v>637.73</v>
      </c>
      <c r="AG22" s="7"/>
      <c r="AH22" s="7">
        <f>M6*1+(B22*B12)</f>
        <v>297.73</v>
      </c>
      <c r="AI22" s="5">
        <f t="shared" si="2"/>
        <v>1333.19</v>
      </c>
      <c r="AJ22" s="8">
        <f t="shared" si="3"/>
        <v>172040.09000000003</v>
      </c>
    </row>
    <row r="23" spans="1:36" x14ac:dyDescent="0.55000000000000004">
      <c r="A23" s="2"/>
      <c r="B23" s="11">
        <f>B24*0.04</f>
        <v>131820</v>
      </c>
      <c r="C23" s="2" t="s">
        <v>27</v>
      </c>
      <c r="D23" s="17"/>
      <c r="E23" s="17">
        <f>$C6 * (B23*B12)</f>
        <v>26364</v>
      </c>
      <c r="F23" s="17">
        <f>$K6 * (B23*B12)</f>
        <v>58000.799999999996</v>
      </c>
      <c r="G23" s="17"/>
      <c r="H23" s="17">
        <f>$M6 * (B23*B12)</f>
        <v>13182</v>
      </c>
      <c r="I23" s="18">
        <f>SUM(D23:H23)</f>
        <v>97546.799999999988</v>
      </c>
      <c r="J23" s="19"/>
      <c r="K23" s="19">
        <f>$I6 * (B23*B12)</f>
        <v>105456</v>
      </c>
      <c r="L23" s="19"/>
      <c r="M23" s="18">
        <f t="shared" si="0"/>
        <v>105456</v>
      </c>
      <c r="N23" s="19"/>
      <c r="O23" s="19"/>
      <c r="P23" s="19"/>
      <c r="Q23" s="19"/>
      <c r="R23" s="19">
        <f>$H6 * (B23*B12)</f>
        <v>13182</v>
      </c>
      <c r="S23" s="20">
        <f t="shared" si="1"/>
        <v>13182</v>
      </c>
      <c r="T23" s="21">
        <f t="shared" si="5"/>
        <v>203002.8</v>
      </c>
      <c r="V23" s="7"/>
      <c r="W23" s="7"/>
      <c r="X23" s="7"/>
      <c r="Y23" s="7"/>
      <c r="Z23" s="7"/>
      <c r="AA23" s="7"/>
      <c r="AB23" s="7">
        <f>G6*1+(B23*B12)</f>
        <v>831.81999999999994</v>
      </c>
      <c r="AC23" s="7"/>
      <c r="AD23" s="7"/>
      <c r="AE23" s="7"/>
      <c r="AF23" s="7"/>
      <c r="AG23" s="7"/>
      <c r="AH23" s="7"/>
      <c r="AI23" s="5">
        <f t="shared" si="2"/>
        <v>831.81999999999994</v>
      </c>
      <c r="AJ23" s="8">
        <f t="shared" si="3"/>
        <v>203834.62</v>
      </c>
    </row>
    <row r="24" spans="1:36" x14ac:dyDescent="0.55000000000000004">
      <c r="A24" s="3" t="s">
        <v>34</v>
      </c>
      <c r="B24" s="9">
        <f>A10*B13</f>
        <v>3295500</v>
      </c>
      <c r="C24" s="3"/>
      <c r="D24" s="18">
        <f>SUM(D17:D23)</f>
        <v>1344564</v>
      </c>
      <c r="E24" s="18">
        <f>SUM(E17:E23)</f>
        <v>138411</v>
      </c>
      <c r="F24" s="18">
        <f>SUM(F17:F23)</f>
        <v>623508.60000000009</v>
      </c>
      <c r="G24" s="18">
        <f>SUM(G17:G23)</f>
        <v>160820.40000000002</v>
      </c>
      <c r="H24" s="18">
        <f>SUM(H17:H23)</f>
        <v>168070.5</v>
      </c>
      <c r="I24" s="18">
        <f t="shared" si="4"/>
        <v>2435374.5</v>
      </c>
      <c r="J24" s="18">
        <f t="shared" ref="J24:S39" si="6">SUM(J17:J23)</f>
        <v>139729.20000000001</v>
      </c>
      <c r="K24" s="18">
        <f t="shared" si="6"/>
        <v>200366.40000000002</v>
      </c>
      <c r="L24" s="18">
        <f t="shared" si="6"/>
        <v>53387.100000000006</v>
      </c>
      <c r="M24" s="18">
        <f>SUM(J24:L24)</f>
        <v>393482.70000000007</v>
      </c>
      <c r="N24" s="18">
        <f t="shared" si="6"/>
        <v>217503.00000000003</v>
      </c>
      <c r="O24" s="18">
        <f t="shared" si="6"/>
        <v>94910.399999999994</v>
      </c>
      <c r="P24" s="18">
        <f t="shared" si="6"/>
        <v>316368</v>
      </c>
      <c r="Q24" s="18">
        <f t="shared" si="6"/>
        <v>207616.50000000003</v>
      </c>
      <c r="R24" s="18">
        <f t="shared" si="6"/>
        <v>13182</v>
      </c>
      <c r="S24" s="20">
        <f>SUM(N24:R24)</f>
        <v>849579.9</v>
      </c>
      <c r="T24" s="21">
        <f>SUM(I24+M24)</f>
        <v>2828857.2</v>
      </c>
      <c r="V24" s="5">
        <f t="shared" ref="V24:AJ24" si="7">SUM(V17:V23)</f>
        <v>3375.0300000000007</v>
      </c>
      <c r="W24" s="5">
        <f t="shared" si="7"/>
        <v>4278.4349999999995</v>
      </c>
      <c r="X24" s="5">
        <f t="shared" si="7"/>
        <v>2482.9749999999999</v>
      </c>
      <c r="Y24" s="5">
        <f t="shared" si="7"/>
        <v>1788.8850000000002</v>
      </c>
      <c r="Z24" s="5">
        <f t="shared" si="7"/>
        <v>3509.3550000000005</v>
      </c>
      <c r="AA24" s="5">
        <f t="shared" si="7"/>
        <v>1209.7850000000001</v>
      </c>
      <c r="AB24" s="5">
        <f t="shared" si="7"/>
        <v>3418.2</v>
      </c>
      <c r="AC24" s="5">
        <f t="shared" si="7"/>
        <v>2838.6700000000005</v>
      </c>
      <c r="AD24" s="5">
        <f t="shared" si="7"/>
        <v>2885.2449999999999</v>
      </c>
      <c r="AE24" s="5">
        <f t="shared" si="7"/>
        <v>0</v>
      </c>
      <c r="AF24" s="5">
        <f t="shared" si="7"/>
        <v>637.73</v>
      </c>
      <c r="AG24" s="5">
        <f t="shared" si="7"/>
        <v>1089.7850000000001</v>
      </c>
      <c r="AH24" s="5">
        <f t="shared" si="7"/>
        <v>1386.38</v>
      </c>
      <c r="AI24" s="5">
        <f t="shared" si="7"/>
        <v>28900.475000000002</v>
      </c>
      <c r="AJ24" s="8">
        <f t="shared" si="7"/>
        <v>2857757.6750000003</v>
      </c>
    </row>
    <row r="25" spans="1:36" x14ac:dyDescent="0.55000000000000004">
      <c r="A25" s="2">
        <v>2018</v>
      </c>
      <c r="B25" s="11">
        <f>B32*0.3</f>
        <v>976950</v>
      </c>
      <c r="C25" s="2" t="s">
        <v>21</v>
      </c>
      <c r="D25" s="19"/>
      <c r="E25" s="19"/>
      <c r="F25" s="19"/>
      <c r="G25" s="19"/>
      <c r="H25" s="19">
        <f>$M6 * (B25*B12)</f>
        <v>97695</v>
      </c>
      <c r="I25" s="18">
        <f t="shared" si="4"/>
        <v>97695</v>
      </c>
      <c r="J25" s="19"/>
      <c r="K25" s="19"/>
      <c r="L25" s="19"/>
      <c r="M25" s="18">
        <f t="shared" ref="M25:M40" si="8">SUM(J25:L25)</f>
        <v>0</v>
      </c>
      <c r="N25" s="19"/>
      <c r="O25" s="19"/>
      <c r="P25" s="19"/>
      <c r="Q25" s="19"/>
      <c r="R25" s="19">
        <f>$H6 * (B25*B12)</f>
        <v>97695</v>
      </c>
      <c r="S25" s="20">
        <f t="shared" ref="S25:S40" si="9">SUM(N25:R25)</f>
        <v>97695</v>
      </c>
      <c r="T25" s="21"/>
      <c r="V25" s="7"/>
      <c r="W25" s="7"/>
      <c r="X25" s="7"/>
      <c r="Y25" s="7"/>
      <c r="Z25" s="7"/>
      <c r="AA25" s="7">
        <f>F6*2+(B25*0.7)</f>
        <v>684505</v>
      </c>
      <c r="AB25" s="7"/>
      <c r="AC25" s="7"/>
      <c r="AD25" s="7"/>
      <c r="AE25" s="7"/>
      <c r="AF25" s="7"/>
      <c r="AG25" s="7"/>
      <c r="AH25" s="7"/>
      <c r="AI25" s="5">
        <f t="shared" ref="AI25:AI31" si="10">SUM(V25:AH25)</f>
        <v>684505</v>
      </c>
      <c r="AJ25" s="8">
        <f t="shared" ref="AJ25:AJ31" si="11">I25+M25+AI25</f>
        <v>782200</v>
      </c>
    </row>
    <row r="26" spans="1:36" x14ac:dyDescent="0.55000000000000004">
      <c r="A26" s="2"/>
      <c r="B26" s="11">
        <f>B32*0.27</f>
        <v>879255</v>
      </c>
      <c r="C26" s="2" t="s">
        <v>22</v>
      </c>
      <c r="D26" s="19">
        <f>$B6 * (B26*B12)</f>
        <v>1055106</v>
      </c>
      <c r="E26" s="19"/>
      <c r="F26" s="19">
        <f>$K6 * (B26*B12)</f>
        <v>386872.2</v>
      </c>
      <c r="G26" s="19"/>
      <c r="H26" s="19"/>
      <c r="I26" s="18">
        <f t="shared" si="4"/>
        <v>1441978.2</v>
      </c>
      <c r="J26" s="19"/>
      <c r="K26" s="19"/>
      <c r="L26" s="19"/>
      <c r="M26" s="18">
        <f t="shared" si="8"/>
        <v>0</v>
      </c>
      <c r="N26" s="19"/>
      <c r="O26" s="19"/>
      <c r="P26" s="19"/>
      <c r="Q26" s="19"/>
      <c r="R26" s="19"/>
      <c r="S26" s="20">
        <f t="shared" si="9"/>
        <v>0</v>
      </c>
      <c r="T26" s="21"/>
      <c r="V26" s="7"/>
      <c r="W26" s="7"/>
      <c r="X26" s="7">
        <f>C6*1+(B26*0.7)</f>
        <v>615678.5</v>
      </c>
      <c r="Y26" s="7"/>
      <c r="Z26" s="7">
        <f>E6*1+(B26*0.7)</f>
        <v>615598.5</v>
      </c>
      <c r="AA26" s="7"/>
      <c r="AB26" s="7"/>
      <c r="AC26" s="7"/>
      <c r="AD26" s="7"/>
      <c r="AE26" s="7"/>
      <c r="AF26" s="7"/>
      <c r="AG26" s="7"/>
      <c r="AH26" s="7"/>
      <c r="AI26" s="5">
        <f t="shared" si="10"/>
        <v>1231277</v>
      </c>
      <c r="AJ26" s="8">
        <f t="shared" si="11"/>
        <v>2673255.2000000002</v>
      </c>
    </row>
    <row r="27" spans="1:36" x14ac:dyDescent="0.55000000000000004">
      <c r="A27" s="2"/>
      <c r="B27" s="11">
        <f>B32*0.17</f>
        <v>553605</v>
      </c>
      <c r="C27" s="2" t="s">
        <v>23</v>
      </c>
      <c r="D27" s="19"/>
      <c r="E27" s="19">
        <f>$C6 * (B27*B12)</f>
        <v>110721</v>
      </c>
      <c r="F27" s="19"/>
      <c r="G27" s="19"/>
      <c r="H27" s="19"/>
      <c r="I27" s="18">
        <f t="shared" si="4"/>
        <v>110721</v>
      </c>
      <c r="J27" s="19">
        <f>$D6 * (B27*B12)</f>
        <v>44288.4</v>
      </c>
      <c r="K27" s="19"/>
      <c r="L27" s="19">
        <f>$J6 * (B27*B12)</f>
        <v>149473.35</v>
      </c>
      <c r="M27" s="18">
        <f t="shared" si="8"/>
        <v>193761.75</v>
      </c>
      <c r="N27" s="19"/>
      <c r="O27" s="19"/>
      <c r="P27" s="19"/>
      <c r="Q27" s="19"/>
      <c r="R27" s="19"/>
      <c r="S27" s="20">
        <f t="shared" si="9"/>
        <v>0</v>
      </c>
      <c r="T27" s="21"/>
      <c r="V27" s="7">
        <f>A6*1+(B27*B12)</f>
        <v>753.60500000000002</v>
      </c>
      <c r="W27" s="7"/>
      <c r="X27" s="7"/>
      <c r="Y27" s="7"/>
      <c r="Z27" s="7"/>
      <c r="AA27" s="7"/>
      <c r="AB27" s="7"/>
      <c r="AC27" s="7"/>
      <c r="AD27" s="7"/>
      <c r="AE27" s="7"/>
      <c r="AF27" s="7">
        <f>K6*1+(B27*0.7)</f>
        <v>387963.5</v>
      </c>
      <c r="AG27" s="7"/>
      <c r="AH27" s="7"/>
      <c r="AI27" s="5">
        <f t="shared" si="10"/>
        <v>388717.10499999998</v>
      </c>
      <c r="AJ27" s="8">
        <f t="shared" si="11"/>
        <v>693199.85499999998</v>
      </c>
    </row>
    <row r="28" spans="1:36" x14ac:dyDescent="0.55000000000000004">
      <c r="A28" s="2"/>
      <c r="B28" s="11">
        <f>B32*0.09</f>
        <v>293085</v>
      </c>
      <c r="C28" s="2" t="s">
        <v>24</v>
      </c>
      <c r="D28" s="19"/>
      <c r="E28" s="19"/>
      <c r="F28" s="19"/>
      <c r="G28" s="19">
        <f>$L6 * (B28*B12)</f>
        <v>58616.999999999993</v>
      </c>
      <c r="H28" s="19"/>
      <c r="I28" s="18">
        <f t="shared" si="4"/>
        <v>58616.999999999993</v>
      </c>
      <c r="J28" s="19"/>
      <c r="K28" s="19">
        <f>$I6 * (B28*B12)</f>
        <v>234467.99999999997</v>
      </c>
      <c r="L28" s="19"/>
      <c r="M28" s="18">
        <f t="shared" si="8"/>
        <v>234467.99999999997</v>
      </c>
      <c r="N28" s="19"/>
      <c r="O28" s="19"/>
      <c r="P28" s="19">
        <f>$F6 * (B28*B12)</f>
        <v>93787.199999999997</v>
      </c>
      <c r="Q28" s="19"/>
      <c r="R28" s="19"/>
      <c r="S28" s="20">
        <f t="shared" si="9"/>
        <v>93787.199999999997</v>
      </c>
      <c r="T28" s="21"/>
      <c r="V28" s="7"/>
      <c r="W28" s="7"/>
      <c r="X28" s="7"/>
      <c r="Y28" s="7"/>
      <c r="Z28" s="7"/>
      <c r="AA28" s="7"/>
      <c r="AB28" s="7">
        <f>G6*1+(B28*0.7)</f>
        <v>205859.5</v>
      </c>
      <c r="AC28" s="7"/>
      <c r="AD28" s="7"/>
      <c r="AE28" s="7"/>
      <c r="AF28" s="7"/>
      <c r="AG28" s="7"/>
      <c r="AH28" s="7"/>
      <c r="AI28" s="5">
        <f t="shared" si="10"/>
        <v>205859.5</v>
      </c>
      <c r="AJ28" s="8">
        <f t="shared" si="11"/>
        <v>498944.49999999994</v>
      </c>
    </row>
    <row r="29" spans="1:36" x14ac:dyDescent="0.55000000000000004">
      <c r="A29" s="2"/>
      <c r="B29" s="11">
        <f>B32*0.07</f>
        <v>227955.00000000003</v>
      </c>
      <c r="C29" s="2" t="s">
        <v>25</v>
      </c>
      <c r="D29" s="19">
        <f>$B6 * (B29*B12)</f>
        <v>273546.00000000006</v>
      </c>
      <c r="E29" s="19"/>
      <c r="F29" s="19"/>
      <c r="G29" s="19"/>
      <c r="H29" s="19">
        <f>$M6 * (B29*B12)</f>
        <v>22795.500000000004</v>
      </c>
      <c r="I29" s="18">
        <f t="shared" si="4"/>
        <v>296341.50000000006</v>
      </c>
      <c r="J29" s="19">
        <f>$D6 * (B29*B12)</f>
        <v>18236.400000000001</v>
      </c>
      <c r="K29" s="19"/>
      <c r="L29" s="19"/>
      <c r="M29" s="18">
        <f t="shared" si="8"/>
        <v>18236.400000000001</v>
      </c>
      <c r="N29" s="19">
        <f>$D6 * (B29*B12)</f>
        <v>18236.400000000001</v>
      </c>
      <c r="O29" s="19"/>
      <c r="P29" s="19"/>
      <c r="Q29" s="19"/>
      <c r="R29" s="19"/>
      <c r="S29" s="20">
        <f t="shared" si="9"/>
        <v>18236.400000000001</v>
      </c>
      <c r="T29" s="21"/>
      <c r="V29" s="7"/>
      <c r="W29" s="7">
        <f>B6*1+(B29*0.7)</f>
        <v>160768.5</v>
      </c>
      <c r="X29" s="7"/>
      <c r="Y29" s="7">
        <f>D6*1+(B29*0.7)</f>
        <v>159648.5</v>
      </c>
      <c r="Z29" s="7"/>
      <c r="AA29" s="7"/>
      <c r="AB29" s="7"/>
      <c r="AC29" s="7"/>
      <c r="AD29" s="7"/>
      <c r="AE29" s="7"/>
      <c r="AF29" s="7"/>
      <c r="AG29" s="7"/>
      <c r="AH29" s="7"/>
      <c r="AI29" s="5">
        <f t="shared" si="10"/>
        <v>320417</v>
      </c>
      <c r="AJ29" s="8">
        <f t="shared" si="11"/>
        <v>634994.90000000014</v>
      </c>
    </row>
    <row r="30" spans="1:36" x14ac:dyDescent="0.55000000000000004">
      <c r="A30" s="2"/>
      <c r="B30" s="11">
        <f>B32*0.06</f>
        <v>195390</v>
      </c>
      <c r="C30" s="2" t="s">
        <v>26</v>
      </c>
      <c r="D30" s="19"/>
      <c r="E30" s="19"/>
      <c r="F30" s="19">
        <f>$K6 * (B30*B12)</f>
        <v>85971.6</v>
      </c>
      <c r="G30" s="19"/>
      <c r="H30" s="19">
        <f>$M6 * (B30*B12)</f>
        <v>19539</v>
      </c>
      <c r="I30" s="18">
        <f t="shared" si="4"/>
        <v>105510.6</v>
      </c>
      <c r="J30" s="19">
        <f>$D6 * (B30*B12)</f>
        <v>15631.2</v>
      </c>
      <c r="K30" s="19"/>
      <c r="L30" s="19">
        <f>$J6 * (B30*B12)</f>
        <v>52755.3</v>
      </c>
      <c r="M30" s="18">
        <f t="shared" si="8"/>
        <v>68386.5</v>
      </c>
      <c r="N30" s="19"/>
      <c r="O30" s="19">
        <f>$E6 * (B30*B12)</f>
        <v>23446.800000000003</v>
      </c>
      <c r="P30" s="19"/>
      <c r="Q30" s="19"/>
      <c r="R30" s="19"/>
      <c r="S30" s="20">
        <f t="shared" si="9"/>
        <v>23446.800000000003</v>
      </c>
      <c r="T30" s="21"/>
      <c r="V30" s="7"/>
      <c r="W30" s="7"/>
      <c r="X30" s="7"/>
      <c r="Y30" s="7"/>
      <c r="Z30" s="7">
        <f>E6*1+(B30*0.7)</f>
        <v>136893</v>
      </c>
      <c r="AA30" s="7"/>
      <c r="AB30" s="7">
        <f>G6*2+(B30*0.7)</f>
        <v>138173</v>
      </c>
      <c r="AC30" s="7"/>
      <c r="AD30" s="7"/>
      <c r="AE30" s="7"/>
      <c r="AF30" s="7"/>
      <c r="AG30" s="7"/>
      <c r="AH30" s="7">
        <f>M6*1+(B30*0.7)</f>
        <v>136873</v>
      </c>
      <c r="AI30" s="5">
        <f t="shared" si="10"/>
        <v>411939</v>
      </c>
      <c r="AJ30" s="8">
        <f t="shared" si="11"/>
        <v>585836.1</v>
      </c>
    </row>
    <row r="31" spans="1:36" x14ac:dyDescent="0.55000000000000004">
      <c r="A31" s="2"/>
      <c r="B31" s="11">
        <f>B32*0.04</f>
        <v>130260</v>
      </c>
      <c r="C31" s="2" t="s">
        <v>27</v>
      </c>
      <c r="D31" s="19"/>
      <c r="E31" s="19">
        <f>$C6 * (B31*B12)</f>
        <v>26052</v>
      </c>
      <c r="F31" s="19"/>
      <c r="G31" s="19">
        <f>$L6 * (B31*B12)</f>
        <v>26052</v>
      </c>
      <c r="H31" s="19"/>
      <c r="I31" s="18">
        <f t="shared" si="4"/>
        <v>52104</v>
      </c>
      <c r="J31" s="19"/>
      <c r="K31" s="19">
        <f>$I6 * (B31*B12)</f>
        <v>104208</v>
      </c>
      <c r="L31" s="19"/>
      <c r="M31" s="18">
        <f t="shared" si="8"/>
        <v>104208</v>
      </c>
      <c r="N31" s="19">
        <f>$A6 * (B31*B12)</f>
        <v>26052</v>
      </c>
      <c r="O31" s="19"/>
      <c r="P31" s="19"/>
      <c r="Q31" s="19"/>
      <c r="R31" s="19"/>
      <c r="S31" s="20">
        <f t="shared" si="9"/>
        <v>26052</v>
      </c>
      <c r="T31" s="21"/>
      <c r="V31" s="7"/>
      <c r="W31" s="7"/>
      <c r="X31" s="7">
        <f>C6*1+(B31*0.7)</f>
        <v>91382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5">
        <f t="shared" si="10"/>
        <v>91382</v>
      </c>
      <c r="AJ31" s="8">
        <f t="shared" si="11"/>
        <v>247694</v>
      </c>
    </row>
    <row r="32" spans="1:36" x14ac:dyDescent="0.55000000000000004">
      <c r="A32" s="3" t="s">
        <v>36</v>
      </c>
      <c r="B32" s="9">
        <f>B10*B13</f>
        <v>3256500</v>
      </c>
      <c r="C32" s="3"/>
      <c r="D32" s="18">
        <f>SUM(D25:D31)</f>
        <v>1328652</v>
      </c>
      <c r="E32" s="18">
        <f t="shared" ref="E32:H32" si="12">SUM(E25:E31)</f>
        <v>136773</v>
      </c>
      <c r="F32" s="18">
        <f t="shared" si="12"/>
        <v>472843.80000000005</v>
      </c>
      <c r="G32" s="18">
        <f t="shared" si="12"/>
        <v>84669</v>
      </c>
      <c r="H32" s="18">
        <f t="shared" si="12"/>
        <v>140029.5</v>
      </c>
      <c r="I32" s="18">
        <f t="shared" si="4"/>
        <v>2162967.2999999998</v>
      </c>
      <c r="J32" s="18"/>
      <c r="K32" s="18"/>
      <c r="L32" s="18"/>
      <c r="M32" s="18">
        <f t="shared" si="8"/>
        <v>0</v>
      </c>
      <c r="N32" s="18"/>
      <c r="O32" s="18"/>
      <c r="P32" s="18"/>
      <c r="Q32" s="18"/>
      <c r="R32" s="18"/>
      <c r="S32" s="20">
        <f t="shared" si="9"/>
        <v>0</v>
      </c>
      <c r="T32" s="21"/>
      <c r="V32" s="5">
        <f t="shared" ref="V32:AB32" si="13">SUM(V25:V31)</f>
        <v>753.60500000000002</v>
      </c>
      <c r="W32" s="5">
        <f t="shared" si="13"/>
        <v>160768.5</v>
      </c>
      <c r="X32" s="5">
        <f t="shared" si="13"/>
        <v>707060.5</v>
      </c>
      <c r="Y32" s="5">
        <f t="shared" si="13"/>
        <v>159648.5</v>
      </c>
      <c r="Z32" s="5">
        <f t="shared" si="13"/>
        <v>752491.5</v>
      </c>
      <c r="AA32" s="5">
        <f t="shared" si="13"/>
        <v>684505</v>
      </c>
      <c r="AB32" s="5">
        <f t="shared" si="13"/>
        <v>344032.5</v>
      </c>
      <c r="AC32" s="5">
        <f t="shared" ref="AC32:AH32" si="14">SUM(AC25:AC31)</f>
        <v>0</v>
      </c>
      <c r="AD32" s="5">
        <f t="shared" si="14"/>
        <v>0</v>
      </c>
      <c r="AE32" s="5">
        <f t="shared" si="14"/>
        <v>0</v>
      </c>
      <c r="AF32" s="5">
        <f t="shared" si="14"/>
        <v>387963.5</v>
      </c>
      <c r="AG32" s="5">
        <f t="shared" si="14"/>
        <v>0</v>
      </c>
      <c r="AH32" s="5">
        <f t="shared" si="14"/>
        <v>136873</v>
      </c>
      <c r="AI32" s="5">
        <f>SUM(AI25:AI31)</f>
        <v>3334096.605</v>
      </c>
      <c r="AJ32" s="8">
        <f>SUM(AJ25:AJ31)</f>
        <v>6116124.5549999997</v>
      </c>
    </row>
    <row r="33" spans="1:36" x14ac:dyDescent="0.55000000000000004">
      <c r="A33" s="2">
        <v>2017</v>
      </c>
      <c r="B33" s="11">
        <f>B40*0.3</f>
        <v>959400</v>
      </c>
      <c r="C33" s="2" t="s">
        <v>21</v>
      </c>
      <c r="D33" s="19"/>
      <c r="E33" s="19"/>
      <c r="F33" s="19"/>
      <c r="G33" s="19"/>
      <c r="H33" s="19"/>
      <c r="I33" s="18">
        <f t="shared" si="4"/>
        <v>0</v>
      </c>
      <c r="J33" s="19"/>
      <c r="K33" s="19"/>
      <c r="L33" s="19"/>
      <c r="M33" s="18">
        <f t="shared" si="8"/>
        <v>0</v>
      </c>
      <c r="N33" s="19"/>
      <c r="O33" s="19"/>
      <c r="P33" s="19"/>
      <c r="Q33" s="19"/>
      <c r="R33" s="19"/>
      <c r="S33" s="20">
        <f t="shared" si="9"/>
        <v>0</v>
      </c>
      <c r="T33" s="21"/>
      <c r="V33" s="7">
        <f>A6*3+(B33*B12)</f>
        <v>1559.4</v>
      </c>
      <c r="W33" s="7"/>
      <c r="X33" s="7"/>
      <c r="Y33" s="7"/>
      <c r="Z33" s="7">
        <f>E6*2+(B33*0.7)</f>
        <v>671820</v>
      </c>
      <c r="AA33" s="7">
        <f>F6*2+(B33*0.7)</f>
        <v>672220</v>
      </c>
      <c r="AB33" s="7">
        <f>G6*1+(B33*0.7)</f>
        <v>672280</v>
      </c>
      <c r="AC33" s="7"/>
      <c r="AD33" s="7"/>
      <c r="AE33" s="7"/>
      <c r="AF33" s="7"/>
      <c r="AG33" s="7"/>
      <c r="AH33" s="7">
        <f>M6*4+(B33*0.7)</f>
        <v>671980</v>
      </c>
      <c r="AI33" s="5">
        <f t="shared" ref="AI33:AI39" si="15">SUM(V33:AH33)</f>
        <v>2689859.4</v>
      </c>
      <c r="AJ33" s="8">
        <f t="shared" ref="AJ33:AJ39" si="16">SUM(I33+M33+AI33)</f>
        <v>2689859.4</v>
      </c>
    </row>
    <row r="34" spans="1:36" x14ac:dyDescent="0.55000000000000004">
      <c r="A34" s="2"/>
      <c r="B34" s="11">
        <f>B40*0.27</f>
        <v>863460</v>
      </c>
      <c r="C34" s="2" t="s">
        <v>22</v>
      </c>
      <c r="D34" s="19"/>
      <c r="E34" s="19"/>
      <c r="F34" s="19"/>
      <c r="G34" s="19"/>
      <c r="H34" s="19"/>
      <c r="I34" s="18">
        <f t="shared" si="4"/>
        <v>0</v>
      </c>
      <c r="J34" s="19"/>
      <c r="K34" s="19"/>
      <c r="L34" s="19"/>
      <c r="M34" s="18">
        <f t="shared" si="8"/>
        <v>0</v>
      </c>
      <c r="N34" s="19"/>
      <c r="O34" s="19"/>
      <c r="P34" s="19"/>
      <c r="Q34" s="19"/>
      <c r="R34" s="19"/>
      <c r="S34" s="20">
        <f t="shared" si="9"/>
        <v>0</v>
      </c>
      <c r="T34" s="21"/>
      <c r="V34" s="7"/>
      <c r="W34" s="7">
        <f>B6*1+(B34*0.7)</f>
        <v>605622</v>
      </c>
      <c r="X34" s="7">
        <f>C6*3+(B34*0.7)</f>
        <v>605022</v>
      </c>
      <c r="Y34" s="7"/>
      <c r="Z34" s="7"/>
      <c r="AA34" s="7">
        <f>F6*1+(B34*0.7)</f>
        <v>604742</v>
      </c>
      <c r="AB34" s="7"/>
      <c r="AC34" s="7"/>
      <c r="AD34" s="7"/>
      <c r="AE34" s="7"/>
      <c r="AF34" s="7"/>
      <c r="AG34" s="7"/>
      <c r="AH34" s="7"/>
      <c r="AI34" s="5">
        <f t="shared" si="15"/>
        <v>1815386</v>
      </c>
      <c r="AJ34" s="8">
        <f t="shared" si="16"/>
        <v>1815386</v>
      </c>
    </row>
    <row r="35" spans="1:36" x14ac:dyDescent="0.55000000000000004">
      <c r="A35" s="2"/>
      <c r="B35" s="11">
        <f>B40*0.17</f>
        <v>543660</v>
      </c>
      <c r="C35" s="2" t="s">
        <v>23</v>
      </c>
      <c r="D35" s="19"/>
      <c r="E35" s="19"/>
      <c r="F35" s="19"/>
      <c r="G35" s="19"/>
      <c r="H35" s="19"/>
      <c r="I35" s="18">
        <f t="shared" si="4"/>
        <v>0</v>
      </c>
      <c r="J35" s="19"/>
      <c r="K35" s="19"/>
      <c r="L35" s="19"/>
      <c r="M35" s="18">
        <f t="shared" si="8"/>
        <v>0</v>
      </c>
      <c r="N35" s="19"/>
      <c r="O35" s="19"/>
      <c r="P35" s="19"/>
      <c r="Q35" s="19"/>
      <c r="R35" s="19"/>
      <c r="S35" s="20">
        <f t="shared" si="9"/>
        <v>0</v>
      </c>
      <c r="T35" s="21"/>
      <c r="V35" s="7"/>
      <c r="W35" s="7"/>
      <c r="X35" s="7">
        <f>C6*1+(B35*0.7)</f>
        <v>380762</v>
      </c>
      <c r="Y35" s="7"/>
      <c r="Z35" s="7"/>
      <c r="AA35" s="7"/>
      <c r="AB35" s="7"/>
      <c r="AC35" s="7"/>
      <c r="AD35" s="7"/>
      <c r="AE35" s="7">
        <f>J6*1+(B35*0.7)</f>
        <v>380832</v>
      </c>
      <c r="AF35" s="7"/>
      <c r="AG35" s="7"/>
      <c r="AH35" s="7"/>
      <c r="AI35" s="5">
        <f t="shared" si="15"/>
        <v>761594</v>
      </c>
      <c r="AJ35" s="8">
        <f t="shared" si="16"/>
        <v>761594</v>
      </c>
    </row>
    <row r="36" spans="1:36" x14ac:dyDescent="0.55000000000000004">
      <c r="A36" s="2"/>
      <c r="B36" s="11">
        <f>B40*0.09</f>
        <v>287820</v>
      </c>
      <c r="C36" s="2" t="s">
        <v>24</v>
      </c>
      <c r="D36" s="19"/>
      <c r="E36" s="19"/>
      <c r="F36" s="19"/>
      <c r="G36" s="19"/>
      <c r="H36" s="19"/>
      <c r="I36" s="18">
        <f t="shared" si="4"/>
        <v>0</v>
      </c>
      <c r="J36" s="19"/>
      <c r="K36" s="19"/>
      <c r="L36" s="19"/>
      <c r="M36" s="18">
        <f t="shared" si="8"/>
        <v>0</v>
      </c>
      <c r="N36" s="19"/>
      <c r="O36" s="19"/>
      <c r="P36" s="19"/>
      <c r="Q36" s="19"/>
      <c r="R36" s="19"/>
      <c r="S36" s="20">
        <f t="shared" si="9"/>
        <v>0</v>
      </c>
      <c r="T36" s="21"/>
      <c r="V36" s="7"/>
      <c r="W36" s="7"/>
      <c r="X36" s="7"/>
      <c r="Y36" s="7">
        <f>D6*1+(B36*0.7)</f>
        <v>201554</v>
      </c>
      <c r="Z36" s="7">
        <f>E6*1+(B36*0.7)</f>
        <v>201594</v>
      </c>
      <c r="AA36" s="7"/>
      <c r="AB36" s="7"/>
      <c r="AC36" s="7">
        <f>H6*1+(B36*0.7)</f>
        <v>201574</v>
      </c>
      <c r="AD36" s="7"/>
      <c r="AE36" s="7"/>
      <c r="AF36" s="7"/>
      <c r="AG36" s="7"/>
      <c r="AH36" s="7"/>
      <c r="AI36" s="5">
        <f t="shared" si="15"/>
        <v>604722</v>
      </c>
      <c r="AJ36" s="8">
        <f t="shared" si="16"/>
        <v>604722</v>
      </c>
    </row>
    <row r="37" spans="1:36" x14ac:dyDescent="0.55000000000000004">
      <c r="A37" s="2"/>
      <c r="B37" s="11">
        <f>B40*0.07</f>
        <v>223860.00000000003</v>
      </c>
      <c r="C37" s="2" t="s">
        <v>25</v>
      </c>
      <c r="D37" s="19"/>
      <c r="E37" s="19"/>
      <c r="F37" s="19"/>
      <c r="G37" s="19"/>
      <c r="H37" s="19"/>
      <c r="I37" s="18">
        <f t="shared" si="4"/>
        <v>0</v>
      </c>
      <c r="J37" s="19"/>
      <c r="K37" s="19"/>
      <c r="L37" s="19"/>
      <c r="M37" s="18">
        <f t="shared" si="8"/>
        <v>0</v>
      </c>
      <c r="N37" s="19"/>
      <c r="O37" s="19"/>
      <c r="P37" s="19"/>
      <c r="Q37" s="19"/>
      <c r="R37" s="19"/>
      <c r="S37" s="20">
        <f t="shared" si="9"/>
        <v>0</v>
      </c>
      <c r="T37" s="21"/>
      <c r="V37" s="7">
        <f>A6*1+(B37)</f>
        <v>224060.00000000003</v>
      </c>
      <c r="W37" s="7">
        <f>B6*1+(B37*0.7)</f>
        <v>157902</v>
      </c>
      <c r="X37" s="7"/>
      <c r="Y37" s="7"/>
      <c r="Z37" s="7"/>
      <c r="AA37" s="7">
        <f>F6*1+(B37*0.7)</f>
        <v>157022</v>
      </c>
      <c r="AB37" s="7"/>
      <c r="AC37" s="7"/>
      <c r="AD37" s="7"/>
      <c r="AE37" s="7"/>
      <c r="AF37" s="7"/>
      <c r="AG37" s="7"/>
      <c r="AH37" s="7">
        <f>M6*1+(B37*0.7)</f>
        <v>156802</v>
      </c>
      <c r="AI37" s="5">
        <f t="shared" si="15"/>
        <v>695786</v>
      </c>
      <c r="AJ37" s="8">
        <f t="shared" si="16"/>
        <v>695786</v>
      </c>
    </row>
    <row r="38" spans="1:36" x14ac:dyDescent="0.55000000000000004">
      <c r="A38" s="2"/>
      <c r="B38" s="11">
        <f>B40*0.06</f>
        <v>191880</v>
      </c>
      <c r="C38" s="2" t="s">
        <v>26</v>
      </c>
      <c r="D38" s="19"/>
      <c r="E38" s="19"/>
      <c r="F38" s="19"/>
      <c r="G38" s="19"/>
      <c r="H38" s="19"/>
      <c r="I38" s="18">
        <f t="shared" si="4"/>
        <v>0</v>
      </c>
      <c r="J38" s="19"/>
      <c r="K38" s="19"/>
      <c r="L38" s="19"/>
      <c r="M38" s="18">
        <f t="shared" si="8"/>
        <v>0</v>
      </c>
      <c r="N38" s="19"/>
      <c r="O38" s="19"/>
      <c r="P38" s="19"/>
      <c r="Q38" s="19"/>
      <c r="R38" s="19"/>
      <c r="S38" s="20">
        <f t="shared" si="9"/>
        <v>0</v>
      </c>
      <c r="T38" s="21"/>
      <c r="V38" s="7">
        <f>A6*1+(B38*B12)</f>
        <v>391.88</v>
      </c>
      <c r="W38" s="7"/>
      <c r="X38" s="7"/>
      <c r="Y38" s="7"/>
      <c r="Z38" s="7"/>
      <c r="AA38" s="7"/>
      <c r="AB38" s="7">
        <f>G6*1+(B38*0.7)</f>
        <v>135016</v>
      </c>
      <c r="AC38" s="7"/>
      <c r="AD38" s="7"/>
      <c r="AE38" s="7"/>
      <c r="AF38" s="7">
        <f>K6*1+(B38*0.7)</f>
        <v>134756</v>
      </c>
      <c r="AG38" s="7"/>
      <c r="AH38" s="7"/>
      <c r="AI38" s="5">
        <f t="shared" si="15"/>
        <v>270163.88</v>
      </c>
      <c r="AJ38" s="8">
        <f t="shared" si="16"/>
        <v>270163.88</v>
      </c>
    </row>
    <row r="39" spans="1:36" x14ac:dyDescent="0.55000000000000004">
      <c r="A39" s="2"/>
      <c r="B39" s="11">
        <f>B40*0.04</f>
        <v>127920</v>
      </c>
      <c r="C39" s="2" t="s">
        <v>27</v>
      </c>
      <c r="D39" s="19"/>
      <c r="E39" s="19"/>
      <c r="F39" s="19"/>
      <c r="G39" s="19"/>
      <c r="H39" s="19"/>
      <c r="I39" s="18">
        <f t="shared" si="4"/>
        <v>0</v>
      </c>
      <c r="J39" s="19"/>
      <c r="K39" s="19"/>
      <c r="L39" s="19"/>
      <c r="M39" s="18">
        <f t="shared" si="8"/>
        <v>0</v>
      </c>
      <c r="N39" s="19"/>
      <c r="O39" s="19"/>
      <c r="P39" s="19"/>
      <c r="Q39" s="19"/>
      <c r="R39" s="19"/>
      <c r="S39" s="20">
        <f t="shared" si="9"/>
        <v>0</v>
      </c>
      <c r="T39" s="21"/>
      <c r="V39" s="7"/>
      <c r="W39" s="7"/>
      <c r="X39" s="7">
        <v>1</v>
      </c>
      <c r="Y39" s="7"/>
      <c r="Z39" s="7">
        <f>E6*1+(B39*0.7)</f>
        <v>89664</v>
      </c>
      <c r="AA39" s="7"/>
      <c r="AB39" s="7"/>
      <c r="AC39" s="7"/>
      <c r="AD39" s="7"/>
      <c r="AE39" s="7"/>
      <c r="AF39" s="7"/>
      <c r="AG39" s="7">
        <f>L6*1+(B39*0.7)</f>
        <v>89744</v>
      </c>
      <c r="AH39" s="7">
        <f>M6*1+(B39*0.7)</f>
        <v>89644</v>
      </c>
      <c r="AI39" s="5">
        <f t="shared" si="15"/>
        <v>269053</v>
      </c>
      <c r="AJ39" s="8">
        <f t="shared" si="16"/>
        <v>269053</v>
      </c>
    </row>
    <row r="40" spans="1:36" x14ac:dyDescent="0.55000000000000004">
      <c r="A40" s="3" t="s">
        <v>35</v>
      </c>
      <c r="B40" s="9">
        <f>C10*B13</f>
        <v>3198000</v>
      </c>
      <c r="C40" s="3"/>
      <c r="D40" s="18"/>
      <c r="E40" s="18"/>
      <c r="F40" s="18"/>
      <c r="G40" s="18"/>
      <c r="H40" s="18"/>
      <c r="I40" s="18">
        <f t="shared" si="4"/>
        <v>0</v>
      </c>
      <c r="J40" s="18"/>
      <c r="K40" s="18"/>
      <c r="L40" s="18"/>
      <c r="M40" s="18">
        <f t="shared" si="8"/>
        <v>0</v>
      </c>
      <c r="N40" s="18"/>
      <c r="O40" s="18"/>
      <c r="P40" s="18"/>
      <c r="Q40" s="18"/>
      <c r="R40" s="18"/>
      <c r="S40" s="20">
        <f t="shared" si="9"/>
        <v>0</v>
      </c>
      <c r="T40" s="21"/>
      <c r="V40" s="5">
        <f>SUM(V33:V39)</f>
        <v>226011.28000000003</v>
      </c>
      <c r="W40" s="5">
        <f t="shared" ref="W40:AH40" si="17">SUM(W33:W39)</f>
        <v>763524</v>
      </c>
      <c r="X40" s="5">
        <f t="shared" si="17"/>
        <v>985785</v>
      </c>
      <c r="Y40" s="5">
        <f t="shared" si="17"/>
        <v>201554</v>
      </c>
      <c r="Z40" s="5">
        <f t="shared" si="17"/>
        <v>963078</v>
      </c>
      <c r="AA40" s="5">
        <f t="shared" si="17"/>
        <v>1433984</v>
      </c>
      <c r="AB40" s="5">
        <f t="shared" si="17"/>
        <v>807296</v>
      </c>
      <c r="AC40" s="5">
        <f t="shared" si="17"/>
        <v>201574</v>
      </c>
      <c r="AD40" s="5">
        <f t="shared" si="17"/>
        <v>0</v>
      </c>
      <c r="AE40" s="5">
        <f t="shared" si="17"/>
        <v>380832</v>
      </c>
      <c r="AF40" s="5">
        <f t="shared" si="17"/>
        <v>134756</v>
      </c>
      <c r="AG40" s="5">
        <f>SUM(AG33:AG39)</f>
        <v>89744</v>
      </c>
      <c r="AH40" s="5">
        <f t="shared" si="17"/>
        <v>918426</v>
      </c>
      <c r="AI40" s="5"/>
      <c r="AJ40" s="8"/>
    </row>
    <row r="41" spans="1:36" x14ac:dyDescent="0.55000000000000004">
      <c r="A41" s="4"/>
      <c r="B41" s="10">
        <f>B24+B32+B40</f>
        <v>9750000</v>
      </c>
      <c r="C41" s="4"/>
      <c r="D41" s="21">
        <f>SUM(D24+D32+D40)</f>
        <v>2673216</v>
      </c>
      <c r="E41" s="21">
        <f>SUM(E24+E32+E40)</f>
        <v>275184</v>
      </c>
      <c r="F41" s="21"/>
      <c r="G41" s="21"/>
      <c r="H41" s="21">
        <f>SUM(H24+H32+H40)</f>
        <v>308100</v>
      </c>
      <c r="I41" s="21">
        <f>SUM(I40+I32+I24)</f>
        <v>4598341.8</v>
      </c>
      <c r="J41" s="21">
        <f>J24+J32+J40</f>
        <v>139729.20000000001</v>
      </c>
      <c r="K41" s="21">
        <f t="shared" ref="K41:L41" si="18">K24+K32+K40</f>
        <v>200366.40000000002</v>
      </c>
      <c r="L41" s="21">
        <f>L24+L32+L40</f>
        <v>53387.100000000006</v>
      </c>
      <c r="M41" s="21">
        <f>M24+M32+M40</f>
        <v>393482.70000000007</v>
      </c>
      <c r="N41" s="21">
        <f>SUM(N24+N32+N40)</f>
        <v>217503.00000000003</v>
      </c>
      <c r="O41" s="21">
        <f t="shared" ref="O41:S41" si="19">SUM(O24+O32+O40)</f>
        <v>94910.399999999994</v>
      </c>
      <c r="P41" s="21">
        <f t="shared" si="19"/>
        <v>316368</v>
      </c>
      <c r="Q41" s="21">
        <f t="shared" si="19"/>
        <v>207616.50000000003</v>
      </c>
      <c r="R41" s="21">
        <f t="shared" si="19"/>
        <v>13182</v>
      </c>
      <c r="S41" s="21">
        <f t="shared" si="19"/>
        <v>849579.9</v>
      </c>
      <c r="T41" s="21"/>
      <c r="V41" s="8">
        <f>SUM(V24+V32+V40)</f>
        <v>230139.91500000004</v>
      </c>
      <c r="W41" s="8">
        <f t="shared" ref="W41:AH41" si="20">SUM(W24+W32+W40)</f>
        <v>928570.93500000006</v>
      </c>
      <c r="X41" s="8">
        <f t="shared" si="20"/>
        <v>1695328.4750000001</v>
      </c>
      <c r="Y41" s="8">
        <f t="shared" si="20"/>
        <v>362991.38500000001</v>
      </c>
      <c r="Z41" s="8">
        <f t="shared" si="20"/>
        <v>1719078.855</v>
      </c>
      <c r="AA41" s="8">
        <f t="shared" si="20"/>
        <v>2119698.7850000001</v>
      </c>
      <c r="AB41" s="8">
        <f t="shared" si="20"/>
        <v>1154746.7</v>
      </c>
      <c r="AC41" s="8">
        <f t="shared" si="20"/>
        <v>204412.67</v>
      </c>
      <c r="AD41" s="8">
        <f t="shared" si="20"/>
        <v>2885.2449999999999</v>
      </c>
      <c r="AE41" s="8">
        <f t="shared" si="20"/>
        <v>380832</v>
      </c>
      <c r="AF41" s="8">
        <f t="shared" si="20"/>
        <v>523357.23</v>
      </c>
      <c r="AG41" s="8">
        <f t="shared" si="20"/>
        <v>90833.785000000003</v>
      </c>
      <c r="AH41" s="8">
        <f t="shared" si="20"/>
        <v>1056685.3799999999</v>
      </c>
      <c r="AI41" s="8"/>
      <c r="AJ41" s="8"/>
    </row>
    <row r="48" spans="1:36" x14ac:dyDescent="0.55000000000000004">
      <c r="E48" s="7"/>
      <c r="F48" s="7"/>
      <c r="G48" s="7"/>
    </row>
    <row r="50" spans="5:7" x14ac:dyDescent="0.55000000000000004">
      <c r="E50" s="7"/>
      <c r="F50" s="7"/>
      <c r="G50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2022-03-17T17:01:52Z</dcterms:modified>
</cp:coreProperties>
</file>