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D25E006-E82F-433E-8664-AD3E629518A3}" xr6:coauthVersionLast="36" xr6:coauthVersionMax="36" xr10:uidLastSave="{00000000-0000-0000-0000-000000000000}"/>
  <bookViews>
    <workbookView xWindow="-120" yWindow="-120" windowWidth="29040" windowHeight="15840" firstSheet="483" activeTab="495" xr2:uid="{00000000-000D-0000-FFFF-FFFF00000000}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  <sheet name="Sheet1 (8)" sheetId="8" r:id="rId8"/>
    <sheet name="Sheet1 (9)" sheetId="9" r:id="rId9"/>
    <sheet name="Sheet1 (10)" sheetId="10" r:id="rId10"/>
    <sheet name="Sheet1 (11)" sheetId="11" r:id="rId11"/>
    <sheet name="Sheet1 (12)" sheetId="12" r:id="rId12"/>
    <sheet name="Sheet1 (13)" sheetId="13" r:id="rId13"/>
    <sheet name="Sheet1 (14)" sheetId="14" r:id="rId14"/>
    <sheet name="Sheet1 (15)" sheetId="15" r:id="rId15"/>
    <sheet name="Sheet1 (16)" sheetId="16" r:id="rId16"/>
    <sheet name="Sheet1 (17)" sheetId="17" r:id="rId17"/>
    <sheet name="Sheet1 (18)" sheetId="18" r:id="rId18"/>
    <sheet name="Sheet1 (19)" sheetId="19" r:id="rId19"/>
    <sheet name="Sheet1 (20)" sheetId="20" r:id="rId20"/>
    <sheet name="Sheet1 (21)" sheetId="21" r:id="rId21"/>
    <sheet name="Sheet1 (22)" sheetId="22" r:id="rId22"/>
    <sheet name="Sheet1 (23)" sheetId="23" r:id="rId23"/>
    <sheet name="Sheet1 (24)" sheetId="24" r:id="rId24"/>
    <sheet name="Sheet1 (25)" sheetId="25" r:id="rId25"/>
    <sheet name="Sheet1 (26)" sheetId="26" r:id="rId26"/>
    <sheet name="Sheet1 (27)" sheetId="27" r:id="rId27"/>
    <sheet name="Sheet1 (28)" sheetId="28" r:id="rId28"/>
    <sheet name="Sheet1 (29)" sheetId="29" r:id="rId29"/>
    <sheet name="Sheet1 (30)" sheetId="30" r:id="rId30"/>
    <sheet name="Sheet1 (31)" sheetId="31" r:id="rId31"/>
    <sheet name="Sheet1 (32)" sheetId="32" r:id="rId32"/>
    <sheet name="Sheet1 (33)" sheetId="33" r:id="rId33"/>
    <sheet name="Sheet1 (34)" sheetId="34" r:id="rId34"/>
    <sheet name="Sheet1 (35)" sheetId="35" r:id="rId35"/>
    <sheet name="Sheet1 (36)" sheetId="36" r:id="rId36"/>
    <sheet name="Sheet1 (37)" sheetId="37" r:id="rId37"/>
    <sheet name="Sheet1 (38)" sheetId="38" r:id="rId38"/>
    <sheet name="Sheet1 (39)" sheetId="39" r:id="rId39"/>
    <sheet name="Sheet1 (40)" sheetId="40" r:id="rId40"/>
    <sheet name="Sheet1 (41)" sheetId="41" r:id="rId41"/>
    <sheet name="Sheet1 (42)" sheetId="42" r:id="rId42"/>
    <sheet name="Sheet1 (43)" sheetId="43" r:id="rId43"/>
    <sheet name="Sheet1 (44)" sheetId="44" r:id="rId44"/>
    <sheet name="Sheet1 (45)" sheetId="45" r:id="rId45"/>
    <sheet name="Sheet1 (46)" sheetId="46" r:id="rId46"/>
    <sheet name="Sheet1 (47)" sheetId="47" r:id="rId47"/>
    <sheet name="Sheet1 (48)" sheetId="48" r:id="rId48"/>
    <sheet name="Sheet1 (49)" sheetId="49" r:id="rId49"/>
    <sheet name="Sheet1 (50)" sheetId="50" r:id="rId50"/>
    <sheet name="Sheet1 (51)" sheetId="51" r:id="rId51"/>
    <sheet name="Sheet1 (52)" sheetId="52" r:id="rId52"/>
    <sheet name="Sheet1 (53)" sheetId="53" r:id="rId53"/>
    <sheet name="Sheet1 (54)" sheetId="54" r:id="rId54"/>
    <sheet name="Sheet1 (55)" sheetId="55" r:id="rId55"/>
    <sheet name="Sheet1 (56)" sheetId="56" r:id="rId56"/>
    <sheet name="Sheet1 (57)" sheetId="57" r:id="rId57"/>
    <sheet name="Sheet1 (59)" sheetId="59" r:id="rId58"/>
    <sheet name="Sheet1 (58)" sheetId="58" r:id="rId59"/>
    <sheet name="Sheet1 (60)" sheetId="60" r:id="rId60"/>
    <sheet name="Sheet1 (61)" sheetId="61" r:id="rId61"/>
    <sheet name="Sheet1 (62)" sheetId="62" r:id="rId62"/>
    <sheet name="Sheet1 (63)" sheetId="63" r:id="rId63"/>
    <sheet name="Sheet1 (64)" sheetId="64" r:id="rId64"/>
    <sheet name="Sheet1 (65)" sheetId="65" r:id="rId65"/>
    <sheet name="Sheet1 (66)" sheetId="66" r:id="rId66"/>
    <sheet name="Sheet1 (67)" sheetId="67" r:id="rId67"/>
    <sheet name="Sheet1 (68)" sheetId="68" r:id="rId68"/>
    <sheet name="Sheet1 (69)" sheetId="69" r:id="rId69"/>
    <sheet name="Sheet1 (70)" sheetId="70" r:id="rId70"/>
    <sheet name="Sheet1 (71)" sheetId="71" r:id="rId71"/>
    <sheet name="Sheet1 (72)" sheetId="72" r:id="rId72"/>
    <sheet name="Sheet1 (73)" sheetId="73" r:id="rId73"/>
    <sheet name="Sheet1 (74)" sheetId="74" r:id="rId74"/>
    <sheet name="Sheet1 (75)" sheetId="75" r:id="rId75"/>
    <sheet name="Sheet1 (76)" sheetId="76" r:id="rId76"/>
    <sheet name="Sheet1 (77)" sheetId="77" r:id="rId77"/>
    <sheet name="Sheet1 (78)" sheetId="78" r:id="rId78"/>
    <sheet name="Sheet1 (80)" sheetId="80" r:id="rId79"/>
    <sheet name="Sheet1 (81)" sheetId="81" r:id="rId80"/>
    <sheet name="Sheet1 (82)" sheetId="82" r:id="rId81"/>
    <sheet name="Sheet1 (83)" sheetId="83" r:id="rId82"/>
    <sheet name="Sheet1 (84)" sheetId="84" r:id="rId83"/>
    <sheet name="Sheet1 (85)" sheetId="85" r:id="rId84"/>
    <sheet name="Sheet1 (86)" sheetId="86" r:id="rId85"/>
    <sheet name="Sheet1 (87)" sheetId="87" r:id="rId86"/>
    <sheet name="Sheet1 (88)" sheetId="88" r:id="rId87"/>
    <sheet name="Sheet1 (89)" sheetId="89" r:id="rId88"/>
    <sheet name="Sheet1 (90)" sheetId="90" r:id="rId89"/>
    <sheet name="Sheet1 (91)" sheetId="91" r:id="rId90"/>
    <sheet name="Sheet1 (92)" sheetId="92" r:id="rId91"/>
    <sheet name="Sheet1 (93)" sheetId="93" r:id="rId92"/>
    <sheet name="Sheet1 (94)" sheetId="94" r:id="rId93"/>
    <sheet name="Sheet1 (95)" sheetId="95" r:id="rId94"/>
    <sheet name="Sheet1 (96)" sheetId="96" r:id="rId95"/>
    <sheet name="Sheet1 (97)" sheetId="97" r:id="rId96"/>
    <sheet name="Sheet1 (98)" sheetId="98" r:id="rId97"/>
    <sheet name="Sheet1 (99)" sheetId="99" r:id="rId98"/>
    <sheet name="Sheet1 (100)" sheetId="100" r:id="rId99"/>
    <sheet name="Sheet1 (101)" sheetId="101" r:id="rId100"/>
    <sheet name="Sheet1 (102)" sheetId="102" r:id="rId101"/>
    <sheet name="Sheet1 (103)" sheetId="103" r:id="rId102"/>
    <sheet name="Sheet1 (104)" sheetId="104" r:id="rId103"/>
    <sheet name="Sheet1 (105)" sheetId="105" r:id="rId104"/>
    <sheet name="Sheet1 (106)" sheetId="106" r:id="rId105"/>
    <sheet name="Sheet1 (107)" sheetId="107" r:id="rId106"/>
    <sheet name="Sheet1 (108)" sheetId="108" r:id="rId107"/>
    <sheet name="Sheet1 (109)" sheetId="109" r:id="rId108"/>
    <sheet name="Sheet1 (110)" sheetId="110" r:id="rId109"/>
    <sheet name="Sheet1 (111)" sheetId="111" r:id="rId110"/>
    <sheet name="Sheet1 (112)" sheetId="112" r:id="rId111"/>
    <sheet name="Sheet1 (113)" sheetId="113" r:id="rId112"/>
    <sheet name="Sheet1 (114)" sheetId="114" r:id="rId113"/>
    <sheet name="Sheet1 (115)" sheetId="115" r:id="rId114"/>
    <sheet name="Sheet1 (116)" sheetId="116" r:id="rId115"/>
    <sheet name="Sheet1 (117)" sheetId="117" r:id="rId116"/>
    <sheet name="Sheet1 (118)" sheetId="118" r:id="rId117"/>
    <sheet name="Sheet1 (119)" sheetId="119" r:id="rId118"/>
    <sheet name="Sheet1 (120)" sheetId="120" r:id="rId119"/>
    <sheet name="Sheet1 (121)" sheetId="121" r:id="rId120"/>
    <sheet name="Sheet1 (122)" sheetId="122" r:id="rId121"/>
    <sheet name="Sheet1 (123)" sheetId="123" r:id="rId122"/>
    <sheet name="Sheet1 (124)" sheetId="124" r:id="rId123"/>
    <sheet name="Sheet1 (125)" sheetId="125" r:id="rId124"/>
    <sheet name="Sheet1 (126)" sheetId="126" r:id="rId125"/>
    <sheet name="Sheet1 (129)" sheetId="129" r:id="rId126"/>
    <sheet name="Sheet1 (130)" sheetId="130" r:id="rId127"/>
    <sheet name="Sheet1 (131)" sheetId="131" r:id="rId128"/>
    <sheet name="Sheet1 (132)" sheetId="132" r:id="rId129"/>
    <sheet name="Sheet1 (133)" sheetId="133" r:id="rId130"/>
    <sheet name="Sheet1 (134)" sheetId="134" r:id="rId131"/>
    <sheet name="Sheet1 (127)" sheetId="127" r:id="rId132"/>
    <sheet name="Sheet1 (128)" sheetId="128" r:id="rId133"/>
    <sheet name="Sheet1 (135)" sheetId="135" r:id="rId134"/>
    <sheet name="Sheet1 (136)" sheetId="136" r:id="rId135"/>
    <sheet name="Sheet1 (137)" sheetId="137" r:id="rId136"/>
    <sheet name="Sheet1 (138)" sheetId="138" r:id="rId137"/>
    <sheet name="Sheet1 (139)" sheetId="139" r:id="rId138"/>
    <sheet name="Sheet1 (140)" sheetId="140" r:id="rId139"/>
    <sheet name="Sheet1 (141)" sheetId="141" r:id="rId140"/>
    <sheet name="Sheet1 (142)" sheetId="142" r:id="rId141"/>
    <sheet name="Sheet1 (143)" sheetId="143" r:id="rId142"/>
    <sheet name="Sheet1 (144)" sheetId="144" r:id="rId143"/>
    <sheet name="Sheet1 (145)" sheetId="145" r:id="rId144"/>
    <sheet name="Sheet1 (146)" sheetId="146" r:id="rId145"/>
    <sheet name="Sheet1 (148)" sheetId="148" r:id="rId146"/>
    <sheet name="Sheet1 (149)" sheetId="149" r:id="rId147"/>
    <sheet name="Sheet1 (150)" sheetId="150" r:id="rId148"/>
    <sheet name="Sheet1 (151)" sheetId="151" r:id="rId149"/>
    <sheet name="Sheet1 (152)" sheetId="152" r:id="rId150"/>
    <sheet name="Sheet1 (153)" sheetId="153" r:id="rId151"/>
    <sheet name="Sheet1 (154)" sheetId="154" r:id="rId152"/>
    <sheet name="Sheet1 (155)" sheetId="155" r:id="rId153"/>
    <sheet name="Sheet1 (156)" sheetId="156" r:id="rId154"/>
    <sheet name="Sheet1 (157)" sheetId="157" r:id="rId155"/>
    <sheet name="Sheet1 (158)" sheetId="158" r:id="rId156"/>
    <sheet name="Sheet1 (159)" sheetId="159" r:id="rId157"/>
    <sheet name="Sheet1 (160)" sheetId="160" r:id="rId158"/>
    <sheet name="Sheet1 (161)" sheetId="161" r:id="rId159"/>
    <sheet name="Sheet1 (162)" sheetId="162" r:id="rId160"/>
    <sheet name="Sheet1 (163)" sheetId="163" r:id="rId161"/>
    <sheet name="Sheet1 (164)" sheetId="164" r:id="rId162"/>
    <sheet name="Sheet1 (165)" sheetId="165" r:id="rId163"/>
    <sheet name="Sheet1 (166)" sheetId="166" r:id="rId164"/>
    <sheet name="Sheet1 (167)" sheetId="167" r:id="rId165"/>
    <sheet name="Sheet1 (168)" sheetId="168" r:id="rId166"/>
    <sheet name="Sheet1 (169)" sheetId="169" r:id="rId167"/>
    <sheet name="Sheet1 (170)" sheetId="170" r:id="rId168"/>
    <sheet name="Sheet1 (171)" sheetId="171" r:id="rId169"/>
    <sheet name="Sheet1 (172)" sheetId="172" r:id="rId170"/>
    <sheet name="Sheet1 (173)" sheetId="173" r:id="rId171"/>
    <sheet name="Sheet1 (174)" sheetId="174" r:id="rId172"/>
    <sheet name="Sheet1 (175)" sheetId="175" r:id="rId173"/>
    <sheet name="Sheet1 (176)" sheetId="176" r:id="rId174"/>
    <sheet name="Sheet1 (177)" sheetId="177" r:id="rId175"/>
    <sheet name="Sheet1 (178)" sheetId="178" r:id="rId176"/>
    <sheet name="Sheet1 (179)" sheetId="179" r:id="rId177"/>
    <sheet name="Sheet1 (180)" sheetId="180" r:id="rId178"/>
    <sheet name="Sheet1 (181)" sheetId="181" r:id="rId179"/>
    <sheet name="Sheet1 (182)" sheetId="182" r:id="rId180"/>
    <sheet name="Sheet1 (183)" sheetId="183" r:id="rId181"/>
    <sheet name="Sheet1 (184)" sheetId="184" r:id="rId182"/>
    <sheet name="Sheet1 (185)" sheetId="185" r:id="rId183"/>
    <sheet name="Sheet1 (186)" sheetId="186" r:id="rId184"/>
    <sheet name="Sheet1 (187)" sheetId="187" r:id="rId185"/>
    <sheet name="Sheet1 (188)" sheetId="188" r:id="rId186"/>
    <sheet name="Sheet1 (189)" sheetId="189" r:id="rId187"/>
    <sheet name="Sheet1 (190)" sheetId="190" r:id="rId188"/>
    <sheet name="Sheet1 (191)" sheetId="191" r:id="rId189"/>
    <sheet name="Sheet1 (192)" sheetId="192" r:id="rId190"/>
    <sheet name="Sheet1 (193)" sheetId="193" r:id="rId191"/>
    <sheet name="Sheet1 (194)" sheetId="194" r:id="rId192"/>
    <sheet name="Sheet1 (195)" sheetId="195" r:id="rId193"/>
    <sheet name="Sheet1 (196)" sheetId="196" r:id="rId194"/>
    <sheet name="Sheet1 (197)" sheetId="197" r:id="rId195"/>
    <sheet name="Sheet1 (198)" sheetId="198" r:id="rId196"/>
    <sheet name="Sheet1 (199)" sheetId="199" r:id="rId197"/>
    <sheet name="Sheet1 (200)" sheetId="200" r:id="rId198"/>
    <sheet name="Sheet1 (201)" sheetId="201" r:id="rId199"/>
    <sheet name="Sheet1 (202)" sheetId="202" r:id="rId200"/>
    <sheet name="Sheet1 (203)" sheetId="203" r:id="rId201"/>
    <sheet name="Sheet1 (204)" sheetId="204" r:id="rId202"/>
    <sheet name="Sheet1 (205)" sheetId="205" r:id="rId203"/>
    <sheet name="Sheet1 (206)" sheetId="206" r:id="rId204"/>
    <sheet name="Sheet1 (207)" sheetId="207" r:id="rId205"/>
    <sheet name="Sheet1 (208)" sheetId="208" r:id="rId206"/>
    <sheet name="Sheet1 (209)" sheetId="209" r:id="rId207"/>
    <sheet name="Sheet1 (210)" sheetId="210" r:id="rId208"/>
    <sheet name="Sheet1 (211)" sheetId="211" r:id="rId209"/>
    <sheet name="Sheet1 (212)" sheetId="212" r:id="rId210"/>
    <sheet name="Sheet1 (213)" sheetId="213" r:id="rId211"/>
    <sheet name="Sheet1 (214)" sheetId="214" r:id="rId212"/>
    <sheet name="Sheet1 (215)" sheetId="215" r:id="rId213"/>
    <sheet name="Sheet1 (216)" sheetId="216" r:id="rId214"/>
    <sheet name="Sheet1 (217)" sheetId="217" r:id="rId215"/>
    <sheet name="Sheet1 (218)" sheetId="218" r:id="rId216"/>
    <sheet name="Sheet1 (219)" sheetId="219" r:id="rId217"/>
    <sheet name="Sheet1 (220)" sheetId="220" r:id="rId218"/>
    <sheet name="Sheet1 (221)" sheetId="221" r:id="rId219"/>
    <sheet name="Sheet1 (222)" sheetId="222" r:id="rId220"/>
    <sheet name="Sheet1 (223)" sheetId="223" r:id="rId221"/>
    <sheet name="Sheet1 (224)" sheetId="224" r:id="rId222"/>
    <sheet name="Sheet1 (225)" sheetId="225" r:id="rId223"/>
    <sheet name="Sheet1 (226)" sheetId="226" r:id="rId224"/>
    <sheet name="Sheet1 (227)" sheetId="227" r:id="rId225"/>
    <sheet name="Sheet1 (228)" sheetId="228" r:id="rId226"/>
    <sheet name="Sheet1 (229)" sheetId="229" r:id="rId227"/>
    <sheet name="Sheet1 (230)" sheetId="230" r:id="rId228"/>
    <sheet name="Sheet1 (231)" sheetId="231" r:id="rId229"/>
    <sheet name="Sheet1 (232)" sheetId="232" r:id="rId230"/>
    <sheet name="Sheet1 (233)" sheetId="233" r:id="rId231"/>
    <sheet name="Sheet1 (234)" sheetId="234" r:id="rId232"/>
    <sheet name="Sheet1 (235)" sheetId="235" r:id="rId233"/>
    <sheet name="Sheet1 (236)" sheetId="236" r:id="rId234"/>
    <sheet name="Sheet1 (237)" sheetId="237" r:id="rId235"/>
    <sheet name="Sheet1 (238)" sheetId="238" r:id="rId236"/>
    <sheet name="Sheet1 (239)" sheetId="239" r:id="rId237"/>
    <sheet name="Sheet1 (240)" sheetId="240" r:id="rId238"/>
    <sheet name="Sheet1 (241)" sheetId="241" r:id="rId239"/>
    <sheet name="Sheet1 (242)" sheetId="242" r:id="rId240"/>
    <sheet name="Sheet1 (243)" sheetId="243" r:id="rId241"/>
    <sheet name="Sheet1 (244)" sheetId="244" r:id="rId242"/>
    <sheet name="Sheet1 (245)" sheetId="245" r:id="rId243"/>
    <sheet name="Sheet1 (246)" sheetId="246" r:id="rId244"/>
    <sheet name="Sheet1 (247)" sheetId="247" r:id="rId245"/>
    <sheet name="Sheet1 (248)" sheetId="248" r:id="rId246"/>
    <sheet name="Sheet1 (249)" sheetId="249" r:id="rId247"/>
    <sheet name="Sheet1 (250)" sheetId="250" r:id="rId248"/>
    <sheet name="Sheet1 (251)" sheetId="251" r:id="rId249"/>
    <sheet name="Sheet1 (252)" sheetId="252" r:id="rId250"/>
    <sheet name="Sheet1 (253)" sheetId="253" r:id="rId251"/>
    <sheet name="Sheet1 (254)" sheetId="254" r:id="rId252"/>
    <sheet name="Sheet1 (255)" sheetId="255" r:id="rId253"/>
    <sheet name="Sheet1 (256)" sheetId="256" r:id="rId254"/>
    <sheet name="Sheet1 (257)" sheetId="257" r:id="rId255"/>
    <sheet name="Sheet1 (258)" sheetId="258" r:id="rId256"/>
    <sheet name="Sheet1 (259)" sheetId="259" r:id="rId257"/>
    <sheet name="Sheet1 (260)" sheetId="260" r:id="rId258"/>
    <sheet name="Sheet1 (261)" sheetId="261" r:id="rId259"/>
    <sheet name="Sheet1 (262)" sheetId="262" r:id="rId260"/>
    <sheet name="Sheet1 (263)" sheetId="263" r:id="rId261"/>
    <sheet name="Sheet1 (264)" sheetId="264" r:id="rId262"/>
    <sheet name="Sheet1 (265)" sheetId="265" r:id="rId263"/>
    <sheet name="Sheet1 (266)" sheetId="266" r:id="rId264"/>
    <sheet name="Sheet1 (267)" sheetId="267" r:id="rId265"/>
    <sheet name="Sheet1 (268)" sheetId="268" r:id="rId266"/>
    <sheet name="Sheet1 (269)" sheetId="269" r:id="rId267"/>
    <sheet name="Sheet1 (270)" sheetId="270" r:id="rId268"/>
    <sheet name="Sheet1 (271)" sheetId="271" r:id="rId269"/>
    <sheet name="Sheet1 (272)" sheetId="272" r:id="rId270"/>
    <sheet name="Sheet1 (273)" sheetId="273" r:id="rId271"/>
    <sheet name="Sheet1 (274)" sheetId="274" r:id="rId272"/>
    <sheet name="Sheet1 (275)" sheetId="275" r:id="rId273"/>
    <sheet name="Sheet1 (276)" sheetId="276" r:id="rId274"/>
    <sheet name="Sheet1 (277)" sheetId="277" r:id="rId275"/>
    <sheet name="Sheet1 (278)" sheetId="278" r:id="rId276"/>
    <sheet name="Sheet1 (279)" sheetId="279" r:id="rId277"/>
    <sheet name="Sheet1 (280)" sheetId="280" r:id="rId278"/>
    <sheet name="Sheet1 (281)" sheetId="281" r:id="rId279"/>
    <sheet name="Sheet1 (282)" sheetId="282" r:id="rId280"/>
    <sheet name="Sheet1 (283)" sheetId="283" r:id="rId281"/>
    <sheet name="Sheet1 (284)" sheetId="284" r:id="rId282"/>
    <sheet name="Sheet1 (285)" sheetId="285" r:id="rId283"/>
    <sheet name="Sheet1 (286)" sheetId="286" r:id="rId284"/>
    <sheet name="Sheet1 (287)" sheetId="287" r:id="rId285"/>
    <sheet name="Sheet1 (288)" sheetId="288" r:id="rId286"/>
    <sheet name="Sheet1 (289)" sheetId="289" r:id="rId287"/>
    <sheet name="Sheet1 (290)" sheetId="290" r:id="rId288"/>
    <sheet name="Sheet1 (291)" sheetId="291" r:id="rId289"/>
    <sheet name="Sheet1 (292)" sheetId="292" r:id="rId290"/>
    <sheet name="Sheet1 (293)" sheetId="293" r:id="rId291"/>
    <sheet name="Sheet1 (294)" sheetId="294" r:id="rId292"/>
    <sheet name="Sheet1 (295)" sheetId="295" r:id="rId293"/>
    <sheet name="1.1.24" sheetId="306" r:id="rId294"/>
    <sheet name="2.1.24 " sheetId="307" r:id="rId295"/>
    <sheet name="3.1.24" sheetId="308" r:id="rId296"/>
    <sheet name="4.1.24" sheetId="309" r:id="rId297"/>
    <sheet name="6.1.24" sheetId="310" r:id="rId298"/>
    <sheet name="8.1.24 " sheetId="311" r:id="rId299"/>
    <sheet name="9.1.24" sheetId="312" r:id="rId300"/>
    <sheet name="11.1.24" sheetId="313" r:id="rId301"/>
    <sheet name="14.1.24" sheetId="314" r:id="rId302"/>
    <sheet name="16.1.24" sheetId="315" r:id="rId303"/>
    <sheet name="16.1.24 (2)" sheetId="316" r:id="rId304"/>
    <sheet name="18.1.24" sheetId="317" r:id="rId305"/>
    <sheet name="21.1.24" sheetId="318" r:id="rId306"/>
    <sheet name="24.1.24" sheetId="319" r:id="rId307"/>
    <sheet name="25.1.24" sheetId="321" r:id="rId308"/>
    <sheet name="28.1.24" sheetId="322" r:id="rId309"/>
    <sheet name="28.1.24 (2)" sheetId="323" r:id="rId310"/>
    <sheet name="30.1.24" sheetId="324" r:id="rId311"/>
    <sheet name="31.1.24" sheetId="325" r:id="rId312"/>
    <sheet name="1.2.24" sheetId="326" r:id="rId313"/>
    <sheet name="4.2.24 (2)" sheetId="327" r:id="rId314"/>
    <sheet name="5.2.24" sheetId="328" r:id="rId315"/>
    <sheet name="5.2.24 (2)" sheetId="329" r:id="rId316"/>
    <sheet name="7.2.24 (3)" sheetId="330" r:id="rId317"/>
    <sheet name="8.2.24" sheetId="331" r:id="rId318"/>
    <sheet name="11.2.24" sheetId="332" r:id="rId319"/>
    <sheet name="12.2.24 (2)" sheetId="333" r:id="rId320"/>
    <sheet name="13.2.24" sheetId="334" r:id="rId321"/>
    <sheet name="14.2.24" sheetId="335" r:id="rId322"/>
    <sheet name="15.2.24 (2)" sheetId="336" r:id="rId323"/>
    <sheet name="15.2.24 (3)" sheetId="337" r:id="rId324"/>
    <sheet name="18.2.24" sheetId="338" r:id="rId325"/>
    <sheet name="19.2.24 (2)" sheetId="339" r:id="rId326"/>
    <sheet name="20.2.24" sheetId="340" r:id="rId327"/>
    <sheet name="22.2.24" sheetId="341" r:id="rId328"/>
    <sheet name="24.2.24 (2)" sheetId="342" r:id="rId329"/>
    <sheet name="26.2.24 (3)" sheetId="343" r:id="rId330"/>
    <sheet name="27.2.24 (4)" sheetId="344" r:id="rId331"/>
    <sheet name="28.2.24 (5)" sheetId="345" r:id="rId332"/>
    <sheet name="29.2.24 (6)" sheetId="346" r:id="rId333"/>
    <sheet name="03.3.24" sheetId="347" r:id="rId334"/>
    <sheet name="04.3.24" sheetId="348" r:id="rId335"/>
    <sheet name="5.3.24" sheetId="349" r:id="rId336"/>
    <sheet name="6.3.24" sheetId="350" r:id="rId337"/>
    <sheet name="7.3.24" sheetId="351" r:id="rId338"/>
    <sheet name="11.3.24" sheetId="352" r:id="rId339"/>
    <sheet name="12.3.24 (2)" sheetId="353" r:id="rId340"/>
    <sheet name="13.3.24" sheetId="354" r:id="rId341"/>
    <sheet name="14.3.24" sheetId="355" r:id="rId342"/>
    <sheet name="17.3.24" sheetId="356" r:id="rId343"/>
    <sheet name="18.3.24" sheetId="357" r:id="rId344"/>
    <sheet name="18.3.24 (2)" sheetId="358" r:id="rId345"/>
    <sheet name="18.3.24 (3)" sheetId="359" r:id="rId346"/>
    <sheet name="18.3.24 (4)" sheetId="360" r:id="rId347"/>
    <sheet name="24.3.24 (5)" sheetId="361" r:id="rId348"/>
    <sheet name="25.3.24 (6)" sheetId="362" r:id="rId349"/>
    <sheet name="27.3.24 (7)" sheetId="363" r:id="rId350"/>
    <sheet name="27.3.24 (8)" sheetId="364" r:id="rId351"/>
    <sheet name="31.3.24" sheetId="365" r:id="rId352"/>
    <sheet name="01.04.24" sheetId="366" r:id="rId353"/>
    <sheet name="02.04.24 (2)" sheetId="367" r:id="rId354"/>
    <sheet name="03.04.24 (3)" sheetId="368" r:id="rId355"/>
    <sheet name="04.04.24 " sheetId="369" r:id="rId356"/>
    <sheet name="05.04.24  (2)" sheetId="370" r:id="rId357"/>
    <sheet name="06.04.24  (3)" sheetId="371" r:id="rId358"/>
    <sheet name="06.04.24  (4)" sheetId="372" r:id="rId359"/>
    <sheet name="06.04.24  (5)" sheetId="373" r:id="rId360"/>
    <sheet name="06.04.24  (6)" sheetId="374" r:id="rId361"/>
    <sheet name="21.4.24" sheetId="375" r:id="rId362"/>
    <sheet name="22.4.24 " sheetId="376" r:id="rId363"/>
    <sheet name="23.4.24" sheetId="377" r:id="rId364"/>
    <sheet name="24.4.24" sheetId="378" r:id="rId365"/>
    <sheet name="25.4.24 (2)" sheetId="379" r:id="rId366"/>
    <sheet name="26.4.24 (3)" sheetId="380" r:id="rId367"/>
    <sheet name="27.4.24 (4)" sheetId="381" r:id="rId368"/>
    <sheet name="28.4.24 (5)" sheetId="382" r:id="rId369"/>
    <sheet name="29.4.24 " sheetId="383" r:id="rId370"/>
    <sheet name="30.4.24" sheetId="384" r:id="rId371"/>
    <sheet name="1.5.24" sheetId="385" r:id="rId372"/>
    <sheet name="2.5.24" sheetId="386" r:id="rId373"/>
    <sheet name="4.5.24" sheetId="387" r:id="rId374"/>
    <sheet name="5.5.24 (2)" sheetId="388" r:id="rId375"/>
    <sheet name="6.5.24" sheetId="389" r:id="rId376"/>
    <sheet name="7.5.24" sheetId="390" r:id="rId377"/>
    <sheet name="7.5.24 (2)" sheetId="391" r:id="rId378"/>
    <sheet name="9.5.24 " sheetId="392" r:id="rId379"/>
    <sheet name="12.5.24" sheetId="393" r:id="rId380"/>
    <sheet name="13.5.24" sheetId="394" r:id="rId381"/>
    <sheet name="14.5.24" sheetId="395" r:id="rId382"/>
    <sheet name="15.5.24" sheetId="396" r:id="rId383"/>
    <sheet name="16.5.24 " sheetId="397" r:id="rId384"/>
    <sheet name="18.5.24" sheetId="398" r:id="rId385"/>
    <sheet name="26.5.24" sheetId="399" r:id="rId386"/>
    <sheet name="27.5.24" sheetId="400" r:id="rId387"/>
    <sheet name="29.5.24" sheetId="401" r:id="rId388"/>
    <sheet name="7.7.24" sheetId="402" r:id="rId389"/>
    <sheet name="8.7.24" sheetId="403" r:id="rId390"/>
    <sheet name="9.7.24" sheetId="404" r:id="rId391"/>
    <sheet name="15.7.24" sheetId="405" r:id="rId392"/>
    <sheet name="16.7.24" sheetId="406" r:id="rId393"/>
    <sheet name="18.7.24" sheetId="407" r:id="rId394"/>
    <sheet name="21.7.24" sheetId="408" r:id="rId395"/>
    <sheet name="23.7.24" sheetId="409" r:id="rId396"/>
    <sheet name="24.7.24" sheetId="410" r:id="rId397"/>
    <sheet name="25.7.24" sheetId="411" r:id="rId398"/>
    <sheet name="26.7.24" sheetId="412" r:id="rId399"/>
    <sheet name="28.7.24" sheetId="413" r:id="rId400"/>
    <sheet name="29.7.24" sheetId="414" r:id="rId401"/>
    <sheet name="30.7.24" sheetId="415" r:id="rId402"/>
    <sheet name="31.7.24" sheetId="416" r:id="rId403"/>
    <sheet name="1.8.24" sheetId="417" r:id="rId404"/>
    <sheet name="4.8.24" sheetId="418" r:id="rId405"/>
    <sheet name="5.8.24" sheetId="419" r:id="rId406"/>
    <sheet name="6.8.24" sheetId="420" r:id="rId407"/>
    <sheet name="8.8.24" sheetId="421" r:id="rId408"/>
    <sheet name="10.8.24" sheetId="422" r:id="rId409"/>
    <sheet name="10.8.24 (2)" sheetId="423" r:id="rId410"/>
    <sheet name="11.8.24" sheetId="424" r:id="rId411"/>
    <sheet name="12.8.24" sheetId="425" r:id="rId412"/>
    <sheet name="13.8.24" sheetId="426" r:id="rId413"/>
    <sheet name="14.8.24" sheetId="427" r:id="rId414"/>
    <sheet name="15.8.24" sheetId="428" r:id="rId415"/>
    <sheet name="17.8.24" sheetId="429" r:id="rId416"/>
    <sheet name="18.8.24" sheetId="430" r:id="rId417"/>
    <sheet name="19.8.24" sheetId="431" r:id="rId418"/>
    <sheet name="20.8.24" sheetId="432" r:id="rId419"/>
    <sheet name="21.8.24" sheetId="433" r:id="rId420"/>
    <sheet name="22.8.24" sheetId="434" r:id="rId421"/>
    <sheet name="25.8.24" sheetId="435" r:id="rId422"/>
    <sheet name="26.8.24" sheetId="436" r:id="rId423"/>
    <sheet name="27.8.24" sheetId="437" r:id="rId424"/>
    <sheet name="28.8.24" sheetId="438" r:id="rId425"/>
    <sheet name="29.8.24" sheetId="439" r:id="rId426"/>
    <sheet name="01.09.24" sheetId="440" r:id="rId427"/>
    <sheet name="2.9.24" sheetId="441" r:id="rId428"/>
    <sheet name="3.9.24" sheetId="442" r:id="rId429"/>
    <sheet name="4.9.24" sheetId="443" r:id="rId430"/>
    <sheet name="5.9.24" sheetId="444" r:id="rId431"/>
    <sheet name="8.9.24" sheetId="445" r:id="rId432"/>
    <sheet name="9.9.24" sheetId="446" r:id="rId433"/>
    <sheet name="10.9.24" sheetId="447" r:id="rId434"/>
    <sheet name="11.9.24" sheetId="448" r:id="rId435"/>
    <sheet name="12.9.24" sheetId="449" r:id="rId436"/>
    <sheet name="15.9.24" sheetId="450" r:id="rId437"/>
    <sheet name="17.9.24" sheetId="451" r:id="rId438"/>
    <sheet name="18.9.24" sheetId="452" r:id="rId439"/>
    <sheet name="19.9.24" sheetId="453" r:id="rId440"/>
    <sheet name="22.9.24" sheetId="454" r:id="rId441"/>
    <sheet name="23.9.24" sheetId="455" r:id="rId442"/>
    <sheet name="24.9.24" sheetId="456" r:id="rId443"/>
    <sheet name="25.9.24" sheetId="457" r:id="rId444"/>
    <sheet name="26.9.24" sheetId="458" r:id="rId445"/>
    <sheet name="29.9.24" sheetId="459" r:id="rId446"/>
    <sheet name="30.9.24" sheetId="460" r:id="rId447"/>
    <sheet name="1.10.24" sheetId="461" r:id="rId448"/>
    <sheet name="2.10.24" sheetId="462" r:id="rId449"/>
    <sheet name="3.10.24" sheetId="463" r:id="rId450"/>
    <sheet name="6.10.24" sheetId="464" r:id="rId451"/>
    <sheet name="7.10.24" sheetId="465" r:id="rId452"/>
    <sheet name="14.10.24" sheetId="466" r:id="rId453"/>
    <sheet name="15.10.24" sheetId="467" r:id="rId454"/>
    <sheet name="16.10.24" sheetId="468" r:id="rId455"/>
    <sheet name="17.10.24" sheetId="469" r:id="rId456"/>
    <sheet name="20.10.24" sheetId="470" r:id="rId457"/>
    <sheet name="21.10.24" sheetId="471" r:id="rId458"/>
    <sheet name="22.10.24 " sheetId="472" r:id="rId459"/>
    <sheet name="23.10.24" sheetId="473" r:id="rId460"/>
    <sheet name="24.10.24" sheetId="474" r:id="rId461"/>
    <sheet name="26.10.26" sheetId="475" r:id="rId462"/>
    <sheet name="27.10.24" sheetId="476" r:id="rId463"/>
    <sheet name="28.10.24" sheetId="477" r:id="rId464"/>
    <sheet name="29.10.24" sheetId="478" r:id="rId465"/>
    <sheet name="30.10.24" sheetId="479" r:id="rId466"/>
    <sheet name="31.10.24" sheetId="480" r:id="rId467"/>
    <sheet name="3.11.24" sheetId="481" r:id="rId468"/>
    <sheet name="4.11.24" sheetId="482" r:id="rId469"/>
    <sheet name="5.11.24" sheetId="483" r:id="rId470"/>
    <sheet name="6.11.24" sheetId="484" r:id="rId471"/>
    <sheet name="7.11.24" sheetId="485" r:id="rId472"/>
    <sheet name="9.11.24" sheetId="486" r:id="rId473"/>
    <sheet name="10.11.24" sheetId="487" r:id="rId474"/>
    <sheet name="11.11.24" sheetId="488" r:id="rId475"/>
    <sheet name="12.11.24" sheetId="489" r:id="rId476"/>
    <sheet name="13.11.24" sheetId="490" r:id="rId477"/>
    <sheet name="14.11.24" sheetId="491" r:id="rId478"/>
    <sheet name="16.11.24" sheetId="492" r:id="rId479"/>
    <sheet name="17.11.24" sheetId="493" r:id="rId480"/>
    <sheet name="18.11.24" sheetId="494" r:id="rId481"/>
    <sheet name="19.11.24" sheetId="495" r:id="rId482"/>
    <sheet name="20.11.24" sheetId="496" r:id="rId483"/>
    <sheet name="21.11.24" sheetId="497" r:id="rId484"/>
    <sheet name="23.11.24" sheetId="498" r:id="rId485"/>
    <sheet name="24.11.24" sheetId="499" r:id="rId486"/>
    <sheet name="25.11.24" sheetId="500" r:id="rId487"/>
    <sheet name="26.11.24" sheetId="502" r:id="rId488"/>
    <sheet name="27.11.24" sheetId="503" r:id="rId489"/>
    <sheet name="28.11.24" sheetId="504" r:id="rId490"/>
    <sheet name="30.11.24" sheetId="505" r:id="rId491"/>
    <sheet name="1.12.24" sheetId="506" r:id="rId492"/>
    <sheet name="2.12.24" sheetId="507" r:id="rId493"/>
    <sheet name="3.12.24" sheetId="508" r:id="rId494"/>
    <sheet name="4.12.24" sheetId="509" r:id="rId495"/>
    <sheet name="5.12.24" sheetId="510" r:id="rId496"/>
    <sheet name="Zillu MiA" sheetId="501" r:id="rId497"/>
    <sheet name="Total Sales &amp; Expensess" sheetId="147" r:id="rId498"/>
  </sheets>
  <calcPr calcId="191029"/>
</workbook>
</file>

<file path=xl/calcChain.xml><?xml version="1.0" encoding="utf-8"?>
<calcChain xmlns="http://schemas.openxmlformats.org/spreadsheetml/2006/main">
  <c r="N39" i="510" l="1"/>
  <c r="C37" i="510"/>
  <c r="N35" i="510"/>
  <c r="N37" i="510" s="1"/>
  <c r="N30" i="510"/>
  <c r="K30" i="510"/>
  <c r="O27" i="510"/>
  <c r="M27" i="510"/>
  <c r="Q26" i="510"/>
  <c r="J26" i="510"/>
  <c r="J27" i="510" s="1"/>
  <c r="Q25" i="510"/>
  <c r="N25" i="510"/>
  <c r="J25" i="510"/>
  <c r="M24" i="510"/>
  <c r="L24" i="510"/>
  <c r="Q23" i="510"/>
  <c r="O23" i="510"/>
  <c r="J23" i="510"/>
  <c r="J24" i="510" s="1"/>
  <c r="N22" i="510"/>
  <c r="M22" i="510"/>
  <c r="M23" i="510" s="1"/>
  <c r="G22" i="510"/>
  <c r="C22" i="510"/>
  <c r="O21" i="510"/>
  <c r="J21" i="510"/>
  <c r="J20" i="510"/>
  <c r="M19" i="510"/>
  <c r="I19" i="510"/>
  <c r="Q17" i="510"/>
  <c r="O17" i="510"/>
  <c r="J17" i="510"/>
  <c r="I17" i="510"/>
  <c r="M16" i="510"/>
  <c r="J16" i="510"/>
  <c r="K15" i="510"/>
  <c r="J15" i="510"/>
  <c r="P14" i="510"/>
  <c r="N14" i="510"/>
  <c r="K14" i="510"/>
  <c r="N13" i="510"/>
  <c r="N16" i="510" s="1"/>
  <c r="K13" i="510"/>
  <c r="J13" i="510"/>
  <c r="K12" i="510"/>
  <c r="M11" i="510"/>
  <c r="K11" i="510"/>
  <c r="M10" i="510"/>
  <c r="J10" i="510"/>
  <c r="K8" i="510"/>
  <c r="N6" i="510"/>
  <c r="K5" i="510"/>
  <c r="C25" i="510" l="1"/>
  <c r="N39" i="509"/>
  <c r="C37" i="509"/>
  <c r="N35" i="509"/>
  <c r="N37" i="509" s="1"/>
  <c r="N30" i="509"/>
  <c r="K30" i="509"/>
  <c r="O27" i="509"/>
  <c r="M27" i="509"/>
  <c r="Q26" i="509"/>
  <c r="J26" i="509"/>
  <c r="J27" i="509" s="1"/>
  <c r="Q25" i="509"/>
  <c r="N25" i="509"/>
  <c r="J25" i="509"/>
  <c r="M24" i="509"/>
  <c r="L24" i="509"/>
  <c r="Q23" i="509"/>
  <c r="O23" i="509"/>
  <c r="J23" i="509"/>
  <c r="J24" i="509" s="1"/>
  <c r="N22" i="509"/>
  <c r="M22" i="509"/>
  <c r="M23" i="509" s="1"/>
  <c r="G22" i="509"/>
  <c r="C22" i="509"/>
  <c r="O21" i="509"/>
  <c r="J21" i="509"/>
  <c r="J20" i="509"/>
  <c r="M19" i="509"/>
  <c r="I19" i="509"/>
  <c r="Q17" i="509"/>
  <c r="O17" i="509"/>
  <c r="J17" i="509"/>
  <c r="I17" i="509"/>
  <c r="M16" i="509"/>
  <c r="J16" i="509"/>
  <c r="K15" i="509"/>
  <c r="J15" i="509"/>
  <c r="P14" i="509"/>
  <c r="N14" i="509"/>
  <c r="K14" i="509"/>
  <c r="N13" i="509"/>
  <c r="N16" i="509" s="1"/>
  <c r="K13" i="509"/>
  <c r="J13" i="509"/>
  <c r="K12" i="509"/>
  <c r="M11" i="509"/>
  <c r="K11" i="509"/>
  <c r="M10" i="509"/>
  <c r="J10" i="509"/>
  <c r="K8" i="509"/>
  <c r="N6" i="509"/>
  <c r="K5" i="509"/>
  <c r="C25" i="509" l="1"/>
  <c r="N39" i="508"/>
  <c r="C37" i="508"/>
  <c r="N35" i="508"/>
  <c r="N37" i="508" s="1"/>
  <c r="N30" i="508"/>
  <c r="K30" i="508"/>
  <c r="O27" i="508"/>
  <c r="M27" i="508"/>
  <c r="J27" i="508"/>
  <c r="Q26" i="508"/>
  <c r="J26" i="508"/>
  <c r="Q25" i="508"/>
  <c r="N25" i="508"/>
  <c r="J25" i="508"/>
  <c r="M24" i="508"/>
  <c r="L24" i="508"/>
  <c r="Q23" i="508"/>
  <c r="O23" i="508"/>
  <c r="M23" i="508"/>
  <c r="J23" i="508"/>
  <c r="J24" i="508" s="1"/>
  <c r="N22" i="508"/>
  <c r="M22" i="508"/>
  <c r="G22" i="508"/>
  <c r="C22" i="508"/>
  <c r="O21" i="508"/>
  <c r="J21" i="508"/>
  <c r="J20" i="508"/>
  <c r="M19" i="508"/>
  <c r="I19" i="508"/>
  <c r="Q17" i="508"/>
  <c r="O17" i="508"/>
  <c r="J17" i="508"/>
  <c r="I17" i="508"/>
  <c r="M16" i="508"/>
  <c r="J16" i="508"/>
  <c r="K15" i="508"/>
  <c r="J15" i="508"/>
  <c r="P14" i="508"/>
  <c r="N14" i="508"/>
  <c r="K14" i="508"/>
  <c r="N13" i="508"/>
  <c r="N16" i="508" s="1"/>
  <c r="K13" i="508"/>
  <c r="J13" i="508"/>
  <c r="K12" i="508"/>
  <c r="M11" i="508"/>
  <c r="K11" i="508"/>
  <c r="M10" i="508"/>
  <c r="J10" i="508"/>
  <c r="K8" i="508"/>
  <c r="N6" i="508"/>
  <c r="K5" i="508"/>
  <c r="C25" i="508" l="1"/>
  <c r="N39" i="507"/>
  <c r="N37" i="507"/>
  <c r="C37" i="507"/>
  <c r="N35" i="507"/>
  <c r="N30" i="507"/>
  <c r="K30" i="507"/>
  <c r="O27" i="507"/>
  <c r="M27" i="507"/>
  <c r="Q26" i="507"/>
  <c r="J26" i="507"/>
  <c r="J27" i="507" s="1"/>
  <c r="Q25" i="507"/>
  <c r="N25" i="507"/>
  <c r="J25" i="507"/>
  <c r="M24" i="507"/>
  <c r="L24" i="507"/>
  <c r="Q23" i="507"/>
  <c r="O23" i="507"/>
  <c r="M23" i="507"/>
  <c r="J23" i="507"/>
  <c r="J24" i="507" s="1"/>
  <c r="N22" i="507"/>
  <c r="M22" i="507"/>
  <c r="G22" i="507"/>
  <c r="C22" i="507"/>
  <c r="O21" i="507"/>
  <c r="J21" i="507"/>
  <c r="J20" i="507"/>
  <c r="M19" i="507"/>
  <c r="I19" i="507"/>
  <c r="Q17" i="507"/>
  <c r="O17" i="507"/>
  <c r="J17" i="507"/>
  <c r="I17" i="507"/>
  <c r="M16" i="507"/>
  <c r="J16" i="507"/>
  <c r="K15" i="507"/>
  <c r="J15" i="507"/>
  <c r="P14" i="507"/>
  <c r="N14" i="507"/>
  <c r="K14" i="507"/>
  <c r="N13" i="507"/>
  <c r="N16" i="507" s="1"/>
  <c r="K13" i="507"/>
  <c r="J13" i="507"/>
  <c r="K12" i="507"/>
  <c r="M11" i="507"/>
  <c r="K11" i="507"/>
  <c r="M10" i="507"/>
  <c r="J10" i="507"/>
  <c r="K8" i="507"/>
  <c r="N6" i="507"/>
  <c r="K5" i="507"/>
  <c r="C25" i="507" l="1"/>
  <c r="N39" i="506"/>
  <c r="C37" i="506"/>
  <c r="N35" i="506"/>
  <c r="N37" i="506" s="1"/>
  <c r="N30" i="506"/>
  <c r="K30" i="506"/>
  <c r="O27" i="506"/>
  <c r="M27" i="506"/>
  <c r="J27" i="506"/>
  <c r="Q26" i="506"/>
  <c r="J26" i="506"/>
  <c r="Q25" i="506"/>
  <c r="N25" i="506"/>
  <c r="J25" i="506"/>
  <c r="M24" i="506"/>
  <c r="L24" i="506"/>
  <c r="J24" i="506"/>
  <c r="Q23" i="506"/>
  <c r="O23" i="506"/>
  <c r="M23" i="506"/>
  <c r="J23" i="506"/>
  <c r="N22" i="506"/>
  <c r="M22" i="506"/>
  <c r="G22" i="506"/>
  <c r="C22" i="506"/>
  <c r="O21" i="506"/>
  <c r="J21" i="506"/>
  <c r="J20" i="506"/>
  <c r="M19" i="506"/>
  <c r="I19" i="506"/>
  <c r="Q17" i="506"/>
  <c r="O17" i="506"/>
  <c r="J17" i="506"/>
  <c r="I17" i="506"/>
  <c r="M16" i="506"/>
  <c r="J16" i="506"/>
  <c r="K15" i="506"/>
  <c r="J15" i="506"/>
  <c r="P14" i="506"/>
  <c r="N14" i="506"/>
  <c r="K14" i="506"/>
  <c r="N13" i="506"/>
  <c r="N16" i="506" s="1"/>
  <c r="K13" i="506"/>
  <c r="J13" i="506"/>
  <c r="K12" i="506"/>
  <c r="M11" i="506"/>
  <c r="K11" i="506"/>
  <c r="M10" i="506"/>
  <c r="J10" i="506"/>
  <c r="K8" i="506"/>
  <c r="N6" i="506"/>
  <c r="K5" i="506"/>
  <c r="C25" i="506" l="1"/>
  <c r="N39" i="505"/>
  <c r="N37" i="505"/>
  <c r="C37" i="505"/>
  <c r="N35" i="505"/>
  <c r="N30" i="505"/>
  <c r="K30" i="505"/>
  <c r="O27" i="505"/>
  <c r="M27" i="505"/>
  <c r="Q26" i="505"/>
  <c r="J26" i="505"/>
  <c r="J27" i="505" s="1"/>
  <c r="Q25" i="505"/>
  <c r="N25" i="505"/>
  <c r="J25" i="505"/>
  <c r="M24" i="505"/>
  <c r="L24" i="505"/>
  <c r="Q23" i="505"/>
  <c r="O23" i="505"/>
  <c r="M23" i="505"/>
  <c r="J23" i="505"/>
  <c r="J24" i="505" s="1"/>
  <c r="N22" i="505"/>
  <c r="M22" i="505"/>
  <c r="G22" i="505"/>
  <c r="C22" i="505"/>
  <c r="O21" i="505"/>
  <c r="J21" i="505"/>
  <c r="J20" i="505"/>
  <c r="M19" i="505"/>
  <c r="I19" i="505"/>
  <c r="Q17" i="505"/>
  <c r="O17" i="505"/>
  <c r="J17" i="505"/>
  <c r="I17" i="505"/>
  <c r="N16" i="505"/>
  <c r="M16" i="505"/>
  <c r="J16" i="505"/>
  <c r="K15" i="505"/>
  <c r="J15" i="505"/>
  <c r="P14" i="505"/>
  <c r="N14" i="505"/>
  <c r="K14" i="505"/>
  <c r="N13" i="505"/>
  <c r="K13" i="505"/>
  <c r="J13" i="505"/>
  <c r="K12" i="505"/>
  <c r="M11" i="505"/>
  <c r="K11" i="505"/>
  <c r="M10" i="505"/>
  <c r="J10" i="505"/>
  <c r="K8" i="505"/>
  <c r="N6" i="505"/>
  <c r="K5" i="505"/>
  <c r="C25" i="505" l="1"/>
  <c r="N39" i="504"/>
  <c r="C37" i="504"/>
  <c r="N35" i="504"/>
  <c r="N37" i="504" s="1"/>
  <c r="N30" i="504"/>
  <c r="K30" i="504"/>
  <c r="O27" i="504"/>
  <c r="M27" i="504"/>
  <c r="J27" i="504"/>
  <c r="Q26" i="504"/>
  <c r="J26" i="504"/>
  <c r="Q25" i="504"/>
  <c r="N25" i="504"/>
  <c r="J25" i="504"/>
  <c r="M24" i="504"/>
  <c r="L24" i="504"/>
  <c r="J24" i="504"/>
  <c r="Q23" i="504"/>
  <c r="O23" i="504"/>
  <c r="M23" i="504"/>
  <c r="J23" i="504"/>
  <c r="N22" i="504"/>
  <c r="M22" i="504"/>
  <c r="G22" i="504"/>
  <c r="C22" i="504"/>
  <c r="O21" i="504"/>
  <c r="J21" i="504"/>
  <c r="J20" i="504"/>
  <c r="M19" i="504"/>
  <c r="I19" i="504"/>
  <c r="Q17" i="504"/>
  <c r="O17" i="504"/>
  <c r="J17" i="504"/>
  <c r="I17" i="504"/>
  <c r="M16" i="504"/>
  <c r="J16" i="504"/>
  <c r="K15" i="504"/>
  <c r="J15" i="504"/>
  <c r="P14" i="504"/>
  <c r="N14" i="504"/>
  <c r="K14" i="504"/>
  <c r="N13" i="504"/>
  <c r="N16" i="504" s="1"/>
  <c r="K13" i="504"/>
  <c r="J13" i="504"/>
  <c r="K12" i="504"/>
  <c r="M11" i="504"/>
  <c r="K11" i="504"/>
  <c r="M10" i="504"/>
  <c r="J10" i="504"/>
  <c r="K8" i="504"/>
  <c r="N6" i="504"/>
  <c r="K5" i="504"/>
  <c r="C25" i="504" l="1"/>
  <c r="I17" i="503"/>
  <c r="N39" i="503"/>
  <c r="N37" i="503"/>
  <c r="C37" i="503"/>
  <c r="N35" i="503"/>
  <c r="N30" i="503"/>
  <c r="K30" i="503"/>
  <c r="O27" i="503"/>
  <c r="M27" i="503"/>
  <c r="J27" i="503"/>
  <c r="Q26" i="503"/>
  <c r="J26" i="503"/>
  <c r="Q25" i="503"/>
  <c r="N25" i="503"/>
  <c r="J25" i="503"/>
  <c r="M24" i="503"/>
  <c r="L24" i="503"/>
  <c r="J24" i="503"/>
  <c r="Q23" i="503"/>
  <c r="O23" i="503"/>
  <c r="M23" i="503"/>
  <c r="J23" i="503"/>
  <c r="N22" i="503"/>
  <c r="M22" i="503"/>
  <c r="G22" i="503"/>
  <c r="C22" i="503"/>
  <c r="O21" i="503"/>
  <c r="J21" i="503"/>
  <c r="J20" i="503"/>
  <c r="M19" i="503"/>
  <c r="I19" i="503"/>
  <c r="Q17" i="503"/>
  <c r="O17" i="503"/>
  <c r="J17" i="503"/>
  <c r="M16" i="503"/>
  <c r="J16" i="503"/>
  <c r="K15" i="503"/>
  <c r="J15" i="503"/>
  <c r="P14" i="503"/>
  <c r="N14" i="503"/>
  <c r="K14" i="503"/>
  <c r="N13" i="503"/>
  <c r="N16" i="503" s="1"/>
  <c r="K13" i="503"/>
  <c r="J13" i="503"/>
  <c r="K12" i="503"/>
  <c r="M11" i="503"/>
  <c r="K11" i="503"/>
  <c r="M10" i="503"/>
  <c r="J10" i="503"/>
  <c r="K8" i="503"/>
  <c r="N6" i="503"/>
  <c r="K5" i="503"/>
  <c r="C25" i="503" l="1"/>
  <c r="G22" i="502"/>
  <c r="N39" i="502"/>
  <c r="C37" i="502"/>
  <c r="N35" i="502"/>
  <c r="N37" i="502" s="1"/>
  <c r="N30" i="502"/>
  <c r="K30" i="502"/>
  <c r="O27" i="502"/>
  <c r="M27" i="502"/>
  <c r="Q26" i="502"/>
  <c r="J26" i="502"/>
  <c r="J27" i="502" s="1"/>
  <c r="Q25" i="502"/>
  <c r="N25" i="502"/>
  <c r="J25" i="502"/>
  <c r="M24" i="502"/>
  <c r="L24" i="502"/>
  <c r="Q23" i="502"/>
  <c r="O23" i="502"/>
  <c r="J23" i="502"/>
  <c r="J24" i="502" s="1"/>
  <c r="N22" i="502"/>
  <c r="M22" i="502"/>
  <c r="M23" i="502" s="1"/>
  <c r="C22" i="502"/>
  <c r="O21" i="502"/>
  <c r="J21" i="502"/>
  <c r="J20" i="502"/>
  <c r="M19" i="502"/>
  <c r="I19" i="502"/>
  <c r="Q17" i="502"/>
  <c r="O17" i="502"/>
  <c r="J17" i="502"/>
  <c r="M16" i="502"/>
  <c r="J16" i="502"/>
  <c r="K15" i="502"/>
  <c r="J15" i="502"/>
  <c r="P14" i="502"/>
  <c r="N14" i="502"/>
  <c r="K14" i="502"/>
  <c r="N13" i="502"/>
  <c r="N16" i="502" s="1"/>
  <c r="K13" i="502"/>
  <c r="J13" i="502"/>
  <c r="K12" i="502"/>
  <c r="M11" i="502"/>
  <c r="K11" i="502"/>
  <c r="M10" i="502"/>
  <c r="J10" i="502"/>
  <c r="K8" i="502"/>
  <c r="N6" i="502"/>
  <c r="K5" i="502"/>
  <c r="C25" i="502" l="1"/>
  <c r="N39" i="501"/>
  <c r="C37" i="501"/>
  <c r="N35" i="501"/>
  <c r="N37" i="501" s="1"/>
  <c r="N30" i="501"/>
  <c r="K30" i="501"/>
  <c r="O27" i="501"/>
  <c r="M27" i="501"/>
  <c r="J27" i="501"/>
  <c r="Q26" i="501"/>
  <c r="J26" i="501"/>
  <c r="Q25" i="501"/>
  <c r="N25" i="501"/>
  <c r="J25" i="501"/>
  <c r="M24" i="501"/>
  <c r="L24" i="501"/>
  <c r="Q23" i="501"/>
  <c r="O23" i="501"/>
  <c r="J23" i="501"/>
  <c r="J24" i="501" s="1"/>
  <c r="N22" i="501"/>
  <c r="M22" i="501"/>
  <c r="M23" i="501" s="1"/>
  <c r="G22" i="501"/>
  <c r="C22" i="501"/>
  <c r="O21" i="501"/>
  <c r="J21" i="501"/>
  <c r="J20" i="501"/>
  <c r="M19" i="501"/>
  <c r="I19" i="501"/>
  <c r="Q17" i="501"/>
  <c r="O17" i="501"/>
  <c r="J17" i="501"/>
  <c r="M16" i="501"/>
  <c r="J16" i="501"/>
  <c r="K15" i="501"/>
  <c r="J15" i="501"/>
  <c r="P14" i="501"/>
  <c r="N14" i="501"/>
  <c r="K14" i="501"/>
  <c r="N13" i="501"/>
  <c r="N16" i="501" s="1"/>
  <c r="K13" i="501"/>
  <c r="J13" i="501"/>
  <c r="K12" i="501"/>
  <c r="M11" i="501"/>
  <c r="K11" i="501"/>
  <c r="M10" i="501"/>
  <c r="J10" i="501"/>
  <c r="K8" i="501"/>
  <c r="N6" i="501"/>
  <c r="K5" i="501"/>
  <c r="C25" i="501" l="1"/>
  <c r="N39" i="500"/>
  <c r="C37" i="500"/>
  <c r="N35" i="500"/>
  <c r="N37" i="500" s="1"/>
  <c r="N30" i="500"/>
  <c r="K30" i="500"/>
  <c r="O27" i="500"/>
  <c r="M27" i="500"/>
  <c r="Q26" i="500"/>
  <c r="J26" i="500"/>
  <c r="J27" i="500" s="1"/>
  <c r="Q25" i="500"/>
  <c r="N25" i="500"/>
  <c r="J25" i="500"/>
  <c r="M24" i="500"/>
  <c r="L24" i="500"/>
  <c r="Q23" i="500"/>
  <c r="O23" i="500"/>
  <c r="J23" i="500"/>
  <c r="J24" i="500" s="1"/>
  <c r="N22" i="500"/>
  <c r="M22" i="500"/>
  <c r="M23" i="500" s="1"/>
  <c r="G22" i="500"/>
  <c r="C22" i="500"/>
  <c r="O21" i="500"/>
  <c r="J21" i="500"/>
  <c r="J20" i="500"/>
  <c r="M19" i="500"/>
  <c r="I19" i="500"/>
  <c r="Q17" i="500"/>
  <c r="O17" i="500"/>
  <c r="J17" i="500"/>
  <c r="M16" i="500"/>
  <c r="J16" i="500"/>
  <c r="K15" i="500"/>
  <c r="J15" i="500"/>
  <c r="P14" i="500"/>
  <c r="N14" i="500"/>
  <c r="K14" i="500"/>
  <c r="N13" i="500"/>
  <c r="N16" i="500" s="1"/>
  <c r="K13" i="500"/>
  <c r="J13" i="500"/>
  <c r="K12" i="500"/>
  <c r="M11" i="500"/>
  <c r="K11" i="500"/>
  <c r="M10" i="500"/>
  <c r="J10" i="500"/>
  <c r="K8" i="500"/>
  <c r="N6" i="500"/>
  <c r="K5" i="500"/>
  <c r="C25" i="500" l="1"/>
  <c r="N39" i="499"/>
  <c r="C37" i="499"/>
  <c r="N35" i="499"/>
  <c r="N37" i="499" s="1"/>
  <c r="N30" i="499"/>
  <c r="K30" i="499"/>
  <c r="O27" i="499"/>
  <c r="M27" i="499"/>
  <c r="Q26" i="499"/>
  <c r="J26" i="499"/>
  <c r="J27" i="499" s="1"/>
  <c r="Q25" i="499"/>
  <c r="N25" i="499"/>
  <c r="J25" i="499"/>
  <c r="M24" i="499"/>
  <c r="L24" i="499"/>
  <c r="Q23" i="499"/>
  <c r="O23" i="499"/>
  <c r="J23" i="499"/>
  <c r="J24" i="499" s="1"/>
  <c r="N22" i="499"/>
  <c r="M22" i="499"/>
  <c r="M23" i="499" s="1"/>
  <c r="G22" i="499"/>
  <c r="C22" i="499"/>
  <c r="O21" i="499"/>
  <c r="J21" i="499"/>
  <c r="J20" i="499"/>
  <c r="M19" i="499"/>
  <c r="I19" i="499"/>
  <c r="Q17" i="499"/>
  <c r="O17" i="499"/>
  <c r="J17" i="499"/>
  <c r="M16" i="499"/>
  <c r="J16" i="499"/>
  <c r="K15" i="499"/>
  <c r="J15" i="499"/>
  <c r="P14" i="499"/>
  <c r="N14" i="499"/>
  <c r="K14" i="499"/>
  <c r="N13" i="499"/>
  <c r="N16" i="499" s="1"/>
  <c r="K13" i="499"/>
  <c r="J13" i="499"/>
  <c r="K12" i="499"/>
  <c r="M11" i="499"/>
  <c r="K11" i="499"/>
  <c r="M10" i="499"/>
  <c r="J10" i="499"/>
  <c r="K8" i="499"/>
  <c r="N6" i="499"/>
  <c r="K5" i="499"/>
  <c r="C25" i="499" l="1"/>
  <c r="N39" i="498"/>
  <c r="N37" i="498"/>
  <c r="C37" i="498"/>
  <c r="N35" i="498"/>
  <c r="N30" i="498"/>
  <c r="K30" i="498"/>
  <c r="O27" i="498"/>
  <c r="M27" i="498"/>
  <c r="J27" i="498"/>
  <c r="Q26" i="498"/>
  <c r="J26" i="498"/>
  <c r="Q25" i="498"/>
  <c r="N25" i="498"/>
  <c r="J25" i="498"/>
  <c r="M24" i="498"/>
  <c r="L24" i="498"/>
  <c r="J24" i="498"/>
  <c r="Q23" i="498"/>
  <c r="O23" i="498"/>
  <c r="M23" i="498"/>
  <c r="J23" i="498"/>
  <c r="N22" i="498"/>
  <c r="M22" i="498"/>
  <c r="G22" i="498"/>
  <c r="C22" i="498"/>
  <c r="O21" i="498"/>
  <c r="J21" i="498"/>
  <c r="J20" i="498"/>
  <c r="M19" i="498"/>
  <c r="I19" i="498"/>
  <c r="Q17" i="498"/>
  <c r="O17" i="498"/>
  <c r="J17" i="498"/>
  <c r="M16" i="498"/>
  <c r="J16" i="498"/>
  <c r="K15" i="498"/>
  <c r="J15" i="498"/>
  <c r="P14" i="498"/>
  <c r="N14" i="498"/>
  <c r="K14" i="498"/>
  <c r="N13" i="498"/>
  <c r="N16" i="498" s="1"/>
  <c r="K13" i="498"/>
  <c r="J13" i="498"/>
  <c r="K12" i="498"/>
  <c r="M11" i="498"/>
  <c r="K11" i="498"/>
  <c r="M10" i="498"/>
  <c r="J10" i="498"/>
  <c r="K8" i="498"/>
  <c r="N6" i="498"/>
  <c r="K5" i="498"/>
  <c r="C25" i="498" l="1"/>
  <c r="N39" i="497"/>
  <c r="C37" i="497"/>
  <c r="N35" i="497"/>
  <c r="N37" i="497" s="1"/>
  <c r="N30" i="497"/>
  <c r="K30" i="497"/>
  <c r="O27" i="497"/>
  <c r="M27" i="497"/>
  <c r="J27" i="497"/>
  <c r="Q26" i="497"/>
  <c r="J26" i="497"/>
  <c r="Q25" i="497"/>
  <c r="N25" i="497"/>
  <c r="J25" i="497"/>
  <c r="M24" i="497"/>
  <c r="L24" i="497"/>
  <c r="J24" i="497"/>
  <c r="Q23" i="497"/>
  <c r="O23" i="497"/>
  <c r="M23" i="497"/>
  <c r="J23" i="497"/>
  <c r="N22" i="497"/>
  <c r="M22" i="497"/>
  <c r="G22" i="497"/>
  <c r="C22" i="497"/>
  <c r="O21" i="497"/>
  <c r="J21" i="497"/>
  <c r="J20" i="497"/>
  <c r="M19" i="497"/>
  <c r="I19" i="497"/>
  <c r="Q17" i="497"/>
  <c r="O17" i="497"/>
  <c r="J17" i="497"/>
  <c r="M16" i="497"/>
  <c r="J16" i="497"/>
  <c r="K15" i="497"/>
  <c r="J15" i="497"/>
  <c r="P14" i="497"/>
  <c r="N14" i="497"/>
  <c r="K14" i="497"/>
  <c r="N13" i="497"/>
  <c r="N16" i="497" s="1"/>
  <c r="K13" i="497"/>
  <c r="J13" i="497"/>
  <c r="K12" i="497"/>
  <c r="M11" i="497"/>
  <c r="K11" i="497"/>
  <c r="M10" i="497"/>
  <c r="J10" i="497"/>
  <c r="K8" i="497"/>
  <c r="N6" i="497"/>
  <c r="K5" i="497"/>
  <c r="C25" i="497" l="1"/>
  <c r="J16" i="496"/>
  <c r="N39" i="496"/>
  <c r="C37" i="496"/>
  <c r="N35" i="496"/>
  <c r="N37" i="496" s="1"/>
  <c r="N30" i="496"/>
  <c r="K30" i="496"/>
  <c r="O27" i="496"/>
  <c r="M27" i="496"/>
  <c r="Q26" i="496"/>
  <c r="J26" i="496"/>
  <c r="J27" i="496" s="1"/>
  <c r="Q25" i="496"/>
  <c r="N25" i="496"/>
  <c r="J25" i="496"/>
  <c r="M24" i="496"/>
  <c r="L24" i="496"/>
  <c r="Q23" i="496"/>
  <c r="O23" i="496"/>
  <c r="J23" i="496"/>
  <c r="J24" i="496" s="1"/>
  <c r="N22" i="496"/>
  <c r="M22" i="496"/>
  <c r="M23" i="496" s="1"/>
  <c r="G22" i="496"/>
  <c r="C22" i="496"/>
  <c r="O21" i="496"/>
  <c r="J21" i="496"/>
  <c r="J20" i="496"/>
  <c r="M19" i="496"/>
  <c r="I19" i="496"/>
  <c r="Q17" i="496"/>
  <c r="O17" i="496"/>
  <c r="J17" i="496"/>
  <c r="M16" i="496"/>
  <c r="K15" i="496"/>
  <c r="J15" i="496"/>
  <c r="P14" i="496"/>
  <c r="N14" i="496"/>
  <c r="K14" i="496"/>
  <c r="N13" i="496"/>
  <c r="N16" i="496" s="1"/>
  <c r="K13" i="496"/>
  <c r="J13" i="496"/>
  <c r="K12" i="496"/>
  <c r="M11" i="496"/>
  <c r="K11" i="496"/>
  <c r="M10" i="496"/>
  <c r="J10" i="496"/>
  <c r="K8" i="496"/>
  <c r="N6" i="496"/>
  <c r="K5" i="496"/>
  <c r="C25" i="496" l="1"/>
  <c r="N39" i="495"/>
  <c r="C37" i="495"/>
  <c r="N35" i="495"/>
  <c r="N37" i="495" s="1"/>
  <c r="N30" i="495"/>
  <c r="K30" i="495"/>
  <c r="O27" i="495"/>
  <c r="M27" i="495"/>
  <c r="Q26" i="495"/>
  <c r="J26" i="495"/>
  <c r="J27" i="495" s="1"/>
  <c r="Q25" i="495"/>
  <c r="N25" i="495"/>
  <c r="J25" i="495"/>
  <c r="M24" i="495"/>
  <c r="L24" i="495"/>
  <c r="Q23" i="495"/>
  <c r="O23" i="495"/>
  <c r="J23" i="495"/>
  <c r="J24" i="495" s="1"/>
  <c r="N22" i="495"/>
  <c r="M22" i="495"/>
  <c r="M23" i="495" s="1"/>
  <c r="G22" i="495"/>
  <c r="C22" i="495"/>
  <c r="O21" i="495"/>
  <c r="J21" i="495"/>
  <c r="J20" i="495"/>
  <c r="M19" i="495"/>
  <c r="I19" i="495"/>
  <c r="Q17" i="495"/>
  <c r="O17" i="495"/>
  <c r="J17" i="495"/>
  <c r="M16" i="495"/>
  <c r="K15" i="495"/>
  <c r="J15" i="495"/>
  <c r="P14" i="495"/>
  <c r="N14" i="495"/>
  <c r="N16" i="495" s="1"/>
  <c r="K14" i="495"/>
  <c r="N13" i="495"/>
  <c r="K13" i="495"/>
  <c r="J13" i="495"/>
  <c r="K12" i="495"/>
  <c r="M11" i="495"/>
  <c r="K11" i="495"/>
  <c r="M10" i="495"/>
  <c r="J10" i="495"/>
  <c r="K8" i="495"/>
  <c r="N6" i="495"/>
  <c r="K5" i="495"/>
  <c r="C25" i="495" l="1"/>
  <c r="N39" i="494"/>
  <c r="C37" i="494"/>
  <c r="N35" i="494"/>
  <c r="N37" i="494" s="1"/>
  <c r="N30" i="494"/>
  <c r="K30" i="494"/>
  <c r="O27" i="494"/>
  <c r="M27" i="494"/>
  <c r="Q26" i="494"/>
  <c r="J26" i="494"/>
  <c r="J27" i="494" s="1"/>
  <c r="Q25" i="494"/>
  <c r="N25" i="494"/>
  <c r="J25" i="494"/>
  <c r="M24" i="494"/>
  <c r="L24" i="494"/>
  <c r="Q23" i="494"/>
  <c r="O23" i="494"/>
  <c r="J23" i="494"/>
  <c r="J24" i="494" s="1"/>
  <c r="N22" i="494"/>
  <c r="M22" i="494"/>
  <c r="M23" i="494" s="1"/>
  <c r="G22" i="494"/>
  <c r="C22" i="494"/>
  <c r="O21" i="494"/>
  <c r="J21" i="494"/>
  <c r="J20" i="494"/>
  <c r="M19" i="494"/>
  <c r="I19" i="494"/>
  <c r="Q17" i="494"/>
  <c r="O17" i="494"/>
  <c r="J17" i="494"/>
  <c r="M16" i="494"/>
  <c r="K15" i="494"/>
  <c r="J15" i="494"/>
  <c r="P14" i="494"/>
  <c r="N14" i="494"/>
  <c r="N16" i="494" s="1"/>
  <c r="K14" i="494"/>
  <c r="N13" i="494"/>
  <c r="K13" i="494"/>
  <c r="J13" i="494"/>
  <c r="K12" i="494"/>
  <c r="M11" i="494"/>
  <c r="K11" i="494"/>
  <c r="M10" i="494"/>
  <c r="J10" i="494"/>
  <c r="K8" i="494"/>
  <c r="N6" i="494"/>
  <c r="K5" i="494"/>
  <c r="C25" i="494" l="1"/>
  <c r="N39" i="493"/>
  <c r="N37" i="493"/>
  <c r="C37" i="493"/>
  <c r="N35" i="493"/>
  <c r="N30" i="493"/>
  <c r="K30" i="493"/>
  <c r="O27" i="493"/>
  <c r="M27" i="493"/>
  <c r="J27" i="493"/>
  <c r="Q26" i="493"/>
  <c r="J26" i="493"/>
  <c r="Q25" i="493"/>
  <c r="N25" i="493"/>
  <c r="J25" i="493"/>
  <c r="M24" i="493"/>
  <c r="L24" i="493"/>
  <c r="Q23" i="493"/>
  <c r="O23" i="493"/>
  <c r="M23" i="493"/>
  <c r="J23" i="493"/>
  <c r="J24" i="493" s="1"/>
  <c r="N22" i="493"/>
  <c r="M22" i="493"/>
  <c r="G22" i="493"/>
  <c r="C22" i="493"/>
  <c r="O21" i="493"/>
  <c r="J21" i="493"/>
  <c r="J20" i="493"/>
  <c r="M19" i="493"/>
  <c r="I19" i="493"/>
  <c r="Q17" i="493"/>
  <c r="O17" i="493"/>
  <c r="J17" i="493"/>
  <c r="M16" i="493"/>
  <c r="K15" i="493"/>
  <c r="J15" i="493"/>
  <c r="P14" i="493"/>
  <c r="N14" i="493"/>
  <c r="K14" i="493"/>
  <c r="N13" i="493"/>
  <c r="N16" i="493" s="1"/>
  <c r="K13" i="493"/>
  <c r="J13" i="493"/>
  <c r="K12" i="493"/>
  <c r="M11" i="493"/>
  <c r="K11" i="493"/>
  <c r="M10" i="493"/>
  <c r="J10" i="493"/>
  <c r="K8" i="493"/>
  <c r="N6" i="493"/>
  <c r="K5" i="493"/>
  <c r="C25" i="493" l="1"/>
  <c r="N39" i="492"/>
  <c r="C37" i="492"/>
  <c r="N35" i="492"/>
  <c r="N37" i="492" s="1"/>
  <c r="N30" i="492"/>
  <c r="K30" i="492"/>
  <c r="O27" i="492"/>
  <c r="M27" i="492"/>
  <c r="Q26" i="492"/>
  <c r="J26" i="492"/>
  <c r="J27" i="492" s="1"/>
  <c r="Q25" i="492"/>
  <c r="N25" i="492"/>
  <c r="J25" i="492"/>
  <c r="M24" i="492"/>
  <c r="L24" i="492"/>
  <c r="Q23" i="492"/>
  <c r="O23" i="492"/>
  <c r="J23" i="492"/>
  <c r="J24" i="492" s="1"/>
  <c r="N22" i="492"/>
  <c r="M22" i="492"/>
  <c r="M23" i="492" s="1"/>
  <c r="G22" i="492"/>
  <c r="C22" i="492"/>
  <c r="O21" i="492"/>
  <c r="J21" i="492"/>
  <c r="J20" i="492"/>
  <c r="M19" i="492"/>
  <c r="I19" i="492"/>
  <c r="Q17" i="492"/>
  <c r="O17" i="492"/>
  <c r="J17" i="492"/>
  <c r="M16" i="492"/>
  <c r="K15" i="492"/>
  <c r="J15" i="492"/>
  <c r="P14" i="492"/>
  <c r="N14" i="492"/>
  <c r="K14" i="492"/>
  <c r="N13" i="492"/>
  <c r="N16" i="492" s="1"/>
  <c r="K13" i="492"/>
  <c r="J13" i="492"/>
  <c r="K12" i="492"/>
  <c r="M11" i="492"/>
  <c r="K11" i="492"/>
  <c r="M10" i="492"/>
  <c r="J10" i="492"/>
  <c r="K8" i="492"/>
  <c r="N6" i="492"/>
  <c r="K5" i="492"/>
  <c r="C25" i="492" l="1"/>
  <c r="N39" i="491"/>
  <c r="N37" i="491"/>
  <c r="C37" i="491"/>
  <c r="N35" i="491"/>
  <c r="N30" i="491"/>
  <c r="K30" i="491"/>
  <c r="O27" i="491"/>
  <c r="M27" i="491"/>
  <c r="Q26" i="491"/>
  <c r="J26" i="491"/>
  <c r="J27" i="491" s="1"/>
  <c r="Q25" i="491"/>
  <c r="N25" i="491"/>
  <c r="J25" i="491"/>
  <c r="M24" i="491"/>
  <c r="L24" i="491"/>
  <c r="J24" i="491"/>
  <c r="Q23" i="491"/>
  <c r="O23" i="491"/>
  <c r="M23" i="491"/>
  <c r="J23" i="491"/>
  <c r="N22" i="491"/>
  <c r="M22" i="491"/>
  <c r="G22" i="491"/>
  <c r="C22" i="491"/>
  <c r="O21" i="491"/>
  <c r="J21" i="491"/>
  <c r="J20" i="491"/>
  <c r="M19" i="491"/>
  <c r="I19" i="491"/>
  <c r="Q17" i="491"/>
  <c r="O17" i="491"/>
  <c r="J17" i="491"/>
  <c r="N16" i="491"/>
  <c r="M16" i="491"/>
  <c r="K15" i="491"/>
  <c r="J15" i="491"/>
  <c r="P14" i="491"/>
  <c r="N14" i="491"/>
  <c r="K14" i="491"/>
  <c r="N13" i="491"/>
  <c r="K13" i="491"/>
  <c r="J13" i="491"/>
  <c r="K12" i="491"/>
  <c r="M11" i="491"/>
  <c r="K11" i="491"/>
  <c r="M10" i="491"/>
  <c r="J10" i="491"/>
  <c r="K8" i="491"/>
  <c r="N6" i="491"/>
  <c r="K5" i="491"/>
  <c r="C25" i="491" l="1"/>
  <c r="N39" i="490"/>
  <c r="C37" i="490"/>
  <c r="N35" i="490"/>
  <c r="N37" i="490" s="1"/>
  <c r="N30" i="490"/>
  <c r="K30" i="490"/>
  <c r="O27" i="490"/>
  <c r="M27" i="490"/>
  <c r="Q26" i="490"/>
  <c r="J26" i="490"/>
  <c r="J27" i="490" s="1"/>
  <c r="Q25" i="490"/>
  <c r="N25" i="490"/>
  <c r="J25" i="490"/>
  <c r="M24" i="490"/>
  <c r="L24" i="490"/>
  <c r="Q23" i="490"/>
  <c r="O23" i="490"/>
  <c r="J23" i="490"/>
  <c r="J24" i="490" s="1"/>
  <c r="N22" i="490"/>
  <c r="M22" i="490"/>
  <c r="M23" i="490" s="1"/>
  <c r="G22" i="490"/>
  <c r="C22" i="490"/>
  <c r="O21" i="490"/>
  <c r="J21" i="490"/>
  <c r="J20" i="490"/>
  <c r="M19" i="490"/>
  <c r="I19" i="490"/>
  <c r="Q17" i="490"/>
  <c r="O17" i="490"/>
  <c r="J17" i="490"/>
  <c r="M16" i="490"/>
  <c r="K15" i="490"/>
  <c r="J15" i="490"/>
  <c r="P14" i="490"/>
  <c r="N14" i="490"/>
  <c r="K14" i="490"/>
  <c r="N13" i="490"/>
  <c r="N16" i="490" s="1"/>
  <c r="K13" i="490"/>
  <c r="J13" i="490"/>
  <c r="K12" i="490"/>
  <c r="M11" i="490"/>
  <c r="K11" i="490"/>
  <c r="M10" i="490"/>
  <c r="J10" i="490"/>
  <c r="K8" i="490"/>
  <c r="N6" i="490"/>
  <c r="K5" i="490"/>
  <c r="C25" i="490" l="1"/>
  <c r="N39" i="489"/>
  <c r="C37" i="489"/>
  <c r="N35" i="489"/>
  <c r="N37" i="489" s="1"/>
  <c r="N30" i="489"/>
  <c r="K30" i="489"/>
  <c r="O27" i="489"/>
  <c r="M27" i="489"/>
  <c r="Q26" i="489"/>
  <c r="J26" i="489"/>
  <c r="J27" i="489" s="1"/>
  <c r="Q25" i="489"/>
  <c r="N25" i="489"/>
  <c r="J25" i="489"/>
  <c r="M24" i="489"/>
  <c r="L24" i="489"/>
  <c r="Q23" i="489"/>
  <c r="O23" i="489"/>
  <c r="J23" i="489"/>
  <c r="J24" i="489" s="1"/>
  <c r="N22" i="489"/>
  <c r="M22" i="489"/>
  <c r="M23" i="489" s="1"/>
  <c r="G22" i="489"/>
  <c r="C22" i="489"/>
  <c r="O21" i="489"/>
  <c r="J21" i="489"/>
  <c r="J20" i="489"/>
  <c r="M19" i="489"/>
  <c r="I19" i="489"/>
  <c r="Q17" i="489"/>
  <c r="O17" i="489"/>
  <c r="J17" i="489"/>
  <c r="M16" i="489"/>
  <c r="K15" i="489"/>
  <c r="J15" i="489"/>
  <c r="P14" i="489"/>
  <c r="N14" i="489"/>
  <c r="K14" i="489"/>
  <c r="N13" i="489"/>
  <c r="N16" i="489" s="1"/>
  <c r="K13" i="489"/>
  <c r="J13" i="489"/>
  <c r="K12" i="489"/>
  <c r="M11" i="489"/>
  <c r="K11" i="489"/>
  <c r="M10" i="489"/>
  <c r="J10" i="489"/>
  <c r="K8" i="489"/>
  <c r="N6" i="489"/>
  <c r="K5" i="489"/>
  <c r="C25" i="489" l="1"/>
  <c r="N39" i="488"/>
  <c r="C37" i="488"/>
  <c r="N35" i="488"/>
  <c r="N37" i="488" s="1"/>
  <c r="N30" i="488"/>
  <c r="K30" i="488"/>
  <c r="O27" i="488"/>
  <c r="M27" i="488"/>
  <c r="Q26" i="488"/>
  <c r="J26" i="488"/>
  <c r="J27" i="488" s="1"/>
  <c r="Q25" i="488"/>
  <c r="N25" i="488"/>
  <c r="J25" i="488"/>
  <c r="M24" i="488"/>
  <c r="L24" i="488"/>
  <c r="Q23" i="488"/>
  <c r="O23" i="488"/>
  <c r="J23" i="488"/>
  <c r="J24" i="488" s="1"/>
  <c r="N22" i="488"/>
  <c r="M22" i="488"/>
  <c r="M23" i="488" s="1"/>
  <c r="G22" i="488"/>
  <c r="C22" i="488"/>
  <c r="O21" i="488"/>
  <c r="J21" i="488"/>
  <c r="J20" i="488"/>
  <c r="M19" i="488"/>
  <c r="I19" i="488"/>
  <c r="Q17" i="488"/>
  <c r="O17" i="488"/>
  <c r="J17" i="488"/>
  <c r="M16" i="488"/>
  <c r="K15" i="488"/>
  <c r="J15" i="488"/>
  <c r="P14" i="488"/>
  <c r="N14" i="488"/>
  <c r="K14" i="488"/>
  <c r="N13" i="488"/>
  <c r="N16" i="488" s="1"/>
  <c r="K13" i="488"/>
  <c r="J13" i="488"/>
  <c r="K12" i="488"/>
  <c r="J12" i="488"/>
  <c r="M11" i="488"/>
  <c r="K11" i="488"/>
  <c r="M10" i="488"/>
  <c r="J10" i="488"/>
  <c r="K8" i="488"/>
  <c r="N6" i="488"/>
  <c r="K5" i="488"/>
  <c r="C25" i="488" l="1"/>
  <c r="N39" i="487"/>
  <c r="C37" i="487"/>
  <c r="N35" i="487"/>
  <c r="N37" i="487" s="1"/>
  <c r="N30" i="487"/>
  <c r="K30" i="487"/>
  <c r="O27" i="487"/>
  <c r="M27" i="487"/>
  <c r="Q26" i="487"/>
  <c r="J26" i="487"/>
  <c r="J27" i="487" s="1"/>
  <c r="Q25" i="487"/>
  <c r="N25" i="487"/>
  <c r="J25" i="487"/>
  <c r="M24" i="487"/>
  <c r="L24" i="487"/>
  <c r="Q23" i="487"/>
  <c r="O23" i="487"/>
  <c r="J23" i="487"/>
  <c r="J24" i="487" s="1"/>
  <c r="N22" i="487"/>
  <c r="M22" i="487"/>
  <c r="M23" i="487" s="1"/>
  <c r="G22" i="487"/>
  <c r="C22" i="487"/>
  <c r="O21" i="487"/>
  <c r="J21" i="487"/>
  <c r="J20" i="487"/>
  <c r="M19" i="487"/>
  <c r="I19" i="487"/>
  <c r="Q17" i="487"/>
  <c r="O17" i="487"/>
  <c r="J17" i="487"/>
  <c r="M16" i="487"/>
  <c r="K15" i="487"/>
  <c r="J15" i="487"/>
  <c r="P14" i="487"/>
  <c r="N14" i="487"/>
  <c r="K14" i="487"/>
  <c r="N13" i="487"/>
  <c r="N16" i="487" s="1"/>
  <c r="K13" i="487"/>
  <c r="J13" i="487"/>
  <c r="K12" i="487"/>
  <c r="J12" i="487"/>
  <c r="M11" i="487"/>
  <c r="K11" i="487"/>
  <c r="M10" i="487"/>
  <c r="J10" i="487"/>
  <c r="K8" i="487"/>
  <c r="N6" i="487"/>
  <c r="K5" i="487"/>
  <c r="C25" i="487" l="1"/>
  <c r="N39" i="486"/>
  <c r="C37" i="486"/>
  <c r="N35" i="486"/>
  <c r="N37" i="486" s="1"/>
  <c r="N30" i="486"/>
  <c r="K30" i="486"/>
  <c r="O27" i="486"/>
  <c r="M27" i="486"/>
  <c r="Q26" i="486"/>
  <c r="J26" i="486"/>
  <c r="J27" i="486" s="1"/>
  <c r="Q25" i="486"/>
  <c r="N25" i="486"/>
  <c r="J25" i="486"/>
  <c r="M24" i="486"/>
  <c r="L24" i="486"/>
  <c r="Q23" i="486"/>
  <c r="O23" i="486"/>
  <c r="J23" i="486"/>
  <c r="J24" i="486" s="1"/>
  <c r="N22" i="486"/>
  <c r="M22" i="486"/>
  <c r="M23" i="486" s="1"/>
  <c r="G22" i="486"/>
  <c r="C22" i="486"/>
  <c r="O21" i="486"/>
  <c r="J21" i="486"/>
  <c r="J20" i="486"/>
  <c r="M19" i="486"/>
  <c r="I19" i="486"/>
  <c r="Q17" i="486"/>
  <c r="O17" i="486"/>
  <c r="J17" i="486"/>
  <c r="M16" i="486"/>
  <c r="K15" i="486"/>
  <c r="J15" i="486"/>
  <c r="P14" i="486"/>
  <c r="N14" i="486"/>
  <c r="N16" i="486" s="1"/>
  <c r="K14" i="486"/>
  <c r="N13" i="486"/>
  <c r="K13" i="486"/>
  <c r="J13" i="486"/>
  <c r="K12" i="486"/>
  <c r="J12" i="486"/>
  <c r="M11" i="486"/>
  <c r="K11" i="486"/>
  <c r="M10" i="486"/>
  <c r="J10" i="486"/>
  <c r="K8" i="486"/>
  <c r="N6" i="486"/>
  <c r="K5" i="486"/>
  <c r="C25" i="486" l="1"/>
  <c r="N39" i="485"/>
  <c r="C37" i="485"/>
  <c r="N35" i="485"/>
  <c r="N37" i="485" s="1"/>
  <c r="N30" i="485"/>
  <c r="K30" i="485"/>
  <c r="O27" i="485"/>
  <c r="M27" i="485"/>
  <c r="J27" i="485"/>
  <c r="Q26" i="485"/>
  <c r="J26" i="485"/>
  <c r="Q25" i="485"/>
  <c r="N25" i="485"/>
  <c r="J25" i="485"/>
  <c r="M24" i="485"/>
  <c r="L24" i="485"/>
  <c r="Q23" i="485"/>
  <c r="O23" i="485"/>
  <c r="M23" i="485"/>
  <c r="J23" i="485"/>
  <c r="J24" i="485" s="1"/>
  <c r="N22" i="485"/>
  <c r="M22" i="485"/>
  <c r="G22" i="485"/>
  <c r="C22" i="485"/>
  <c r="O21" i="485"/>
  <c r="J21" i="485"/>
  <c r="J20" i="485"/>
  <c r="M19" i="485"/>
  <c r="I19" i="485"/>
  <c r="Q17" i="485"/>
  <c r="O17" i="485"/>
  <c r="J17" i="485"/>
  <c r="M16" i="485"/>
  <c r="K15" i="485"/>
  <c r="J15" i="485"/>
  <c r="P14" i="485"/>
  <c r="N14" i="485"/>
  <c r="K14" i="485"/>
  <c r="N13" i="485"/>
  <c r="N16" i="485" s="1"/>
  <c r="K13" i="485"/>
  <c r="J13" i="485"/>
  <c r="K12" i="485"/>
  <c r="J12" i="485"/>
  <c r="M11" i="485"/>
  <c r="K11" i="485"/>
  <c r="M10" i="485"/>
  <c r="J10" i="485"/>
  <c r="K8" i="485"/>
  <c r="N6" i="485"/>
  <c r="K5" i="485"/>
  <c r="C25" i="485" l="1"/>
  <c r="G18" i="484"/>
  <c r="I19" i="484"/>
  <c r="N39" i="484"/>
  <c r="C37" i="484"/>
  <c r="N35" i="484"/>
  <c r="N37" i="484" s="1"/>
  <c r="N30" i="484"/>
  <c r="K30" i="484"/>
  <c r="O27" i="484"/>
  <c r="M27" i="484"/>
  <c r="Q26" i="484"/>
  <c r="J26" i="484"/>
  <c r="J27" i="484" s="1"/>
  <c r="Q25" i="484"/>
  <c r="N25" i="484"/>
  <c r="J25" i="484"/>
  <c r="M24" i="484"/>
  <c r="L24" i="484"/>
  <c r="Q23" i="484"/>
  <c r="O23" i="484"/>
  <c r="J23" i="484"/>
  <c r="J24" i="484" s="1"/>
  <c r="N22" i="484"/>
  <c r="M22" i="484"/>
  <c r="M23" i="484" s="1"/>
  <c r="G22" i="484"/>
  <c r="C22" i="484"/>
  <c r="O21" i="484"/>
  <c r="J21" i="484"/>
  <c r="J20" i="484"/>
  <c r="M19" i="484"/>
  <c r="Q17" i="484"/>
  <c r="O17" i="484"/>
  <c r="J17" i="484"/>
  <c r="M16" i="484"/>
  <c r="K15" i="484"/>
  <c r="J15" i="484"/>
  <c r="P14" i="484"/>
  <c r="N14" i="484"/>
  <c r="N16" i="484" s="1"/>
  <c r="K14" i="484"/>
  <c r="N13" i="484"/>
  <c r="K13" i="484"/>
  <c r="J13" i="484"/>
  <c r="K12" i="484"/>
  <c r="J12" i="484"/>
  <c r="M11" i="484"/>
  <c r="K11" i="484"/>
  <c r="M10" i="484"/>
  <c r="J10" i="484"/>
  <c r="K8" i="484"/>
  <c r="N6" i="484"/>
  <c r="K5" i="484"/>
  <c r="C25" i="484" l="1"/>
  <c r="N39" i="483"/>
  <c r="C37" i="483"/>
  <c r="N35" i="483"/>
  <c r="N37" i="483" s="1"/>
  <c r="N30" i="483"/>
  <c r="K30" i="483"/>
  <c r="O27" i="483"/>
  <c r="M27" i="483"/>
  <c r="Q26" i="483"/>
  <c r="J26" i="483"/>
  <c r="J27" i="483" s="1"/>
  <c r="Q25" i="483"/>
  <c r="N25" i="483"/>
  <c r="J25" i="483"/>
  <c r="M24" i="483"/>
  <c r="L24" i="483"/>
  <c r="Q23" i="483"/>
  <c r="O23" i="483"/>
  <c r="J23" i="483"/>
  <c r="J24" i="483" s="1"/>
  <c r="N22" i="483"/>
  <c r="M22" i="483"/>
  <c r="M23" i="483" s="1"/>
  <c r="C22" i="483"/>
  <c r="O21" i="483"/>
  <c r="J21" i="483"/>
  <c r="J20" i="483"/>
  <c r="M19" i="483"/>
  <c r="G22" i="483"/>
  <c r="Q17" i="483"/>
  <c r="O17" i="483"/>
  <c r="J17" i="483"/>
  <c r="M16" i="483"/>
  <c r="K15" i="483"/>
  <c r="J15" i="483"/>
  <c r="P14" i="483"/>
  <c r="N14" i="483"/>
  <c r="K14" i="483"/>
  <c r="N13" i="483"/>
  <c r="N16" i="483" s="1"/>
  <c r="K13" i="483"/>
  <c r="J13" i="483"/>
  <c r="K12" i="483"/>
  <c r="J12" i="483"/>
  <c r="M11" i="483"/>
  <c r="K11" i="483"/>
  <c r="M10" i="483"/>
  <c r="J10" i="483"/>
  <c r="K8" i="483"/>
  <c r="N6" i="483"/>
  <c r="K5" i="483"/>
  <c r="C25" i="483" l="1"/>
  <c r="G18" i="482"/>
  <c r="N39" i="482" l="1"/>
  <c r="N37" i="482"/>
  <c r="C37" i="482"/>
  <c r="N35" i="482"/>
  <c r="N30" i="482"/>
  <c r="K30" i="482"/>
  <c r="O27" i="482"/>
  <c r="M27" i="482"/>
  <c r="Q26" i="482"/>
  <c r="J26" i="482"/>
  <c r="J27" i="482" s="1"/>
  <c r="Q25" i="482"/>
  <c r="N25" i="482"/>
  <c r="J25" i="482"/>
  <c r="M24" i="482"/>
  <c r="L24" i="482"/>
  <c r="Q23" i="482"/>
  <c r="O23" i="482"/>
  <c r="M23" i="482"/>
  <c r="J23" i="482"/>
  <c r="J24" i="482" s="1"/>
  <c r="N22" i="482"/>
  <c r="M22" i="482"/>
  <c r="G22" i="482"/>
  <c r="C22" i="482"/>
  <c r="O21" i="482"/>
  <c r="J21" i="482"/>
  <c r="J20" i="482"/>
  <c r="M19" i="482"/>
  <c r="Q17" i="482"/>
  <c r="O17" i="482"/>
  <c r="J17" i="482"/>
  <c r="M16" i="482"/>
  <c r="K15" i="482"/>
  <c r="J15" i="482"/>
  <c r="P14" i="482"/>
  <c r="N14" i="482"/>
  <c r="K14" i="482"/>
  <c r="N13" i="482"/>
  <c r="N16" i="482" s="1"/>
  <c r="K13" i="482"/>
  <c r="J13" i="482"/>
  <c r="K12" i="482"/>
  <c r="J12" i="482"/>
  <c r="M11" i="482"/>
  <c r="K11" i="482"/>
  <c r="M10" i="482"/>
  <c r="J10" i="482"/>
  <c r="K8" i="482"/>
  <c r="N6" i="482"/>
  <c r="K5" i="482"/>
  <c r="C25" i="482" l="1"/>
  <c r="N39" i="481"/>
  <c r="C37" i="481"/>
  <c r="N35" i="481"/>
  <c r="N37" i="481" s="1"/>
  <c r="N30" i="481"/>
  <c r="K30" i="481"/>
  <c r="O27" i="481"/>
  <c r="M27" i="481"/>
  <c r="Q26" i="481"/>
  <c r="J26" i="481"/>
  <c r="J27" i="481" s="1"/>
  <c r="Q25" i="481"/>
  <c r="N25" i="481"/>
  <c r="J25" i="481"/>
  <c r="M24" i="481"/>
  <c r="L24" i="481"/>
  <c r="Q23" i="481"/>
  <c r="O23" i="481"/>
  <c r="M23" i="481"/>
  <c r="J23" i="481"/>
  <c r="J24" i="481" s="1"/>
  <c r="N22" i="481"/>
  <c r="M22" i="481"/>
  <c r="G22" i="481"/>
  <c r="O21" i="481"/>
  <c r="J21" i="481"/>
  <c r="J20" i="481"/>
  <c r="M19" i="481"/>
  <c r="Q17" i="481"/>
  <c r="O17" i="481"/>
  <c r="J17" i="481"/>
  <c r="I17" i="481"/>
  <c r="M16" i="481"/>
  <c r="K15" i="481"/>
  <c r="J15" i="481"/>
  <c r="P14" i="481"/>
  <c r="N14" i="481"/>
  <c r="N16" i="481" s="1"/>
  <c r="K14" i="481"/>
  <c r="N13" i="481"/>
  <c r="K13" i="481"/>
  <c r="J13" i="481"/>
  <c r="K12" i="481"/>
  <c r="J12" i="481"/>
  <c r="M11" i="481"/>
  <c r="K11" i="481"/>
  <c r="M10" i="481"/>
  <c r="J10" i="481"/>
  <c r="K8" i="481"/>
  <c r="N6" i="481"/>
  <c r="K5" i="481"/>
  <c r="C22" i="481"/>
  <c r="C25" i="481" l="1"/>
  <c r="C22" i="480"/>
  <c r="C4" i="480"/>
  <c r="C5" i="480"/>
  <c r="N39" i="480"/>
  <c r="C37" i="480"/>
  <c r="N35" i="480"/>
  <c r="N37" i="480" s="1"/>
  <c r="N30" i="480"/>
  <c r="K30" i="480"/>
  <c r="O27" i="480"/>
  <c r="M27" i="480"/>
  <c r="J27" i="480"/>
  <c r="Q26" i="480"/>
  <c r="J26" i="480"/>
  <c r="Q25" i="480"/>
  <c r="N25" i="480"/>
  <c r="J25" i="480"/>
  <c r="M24" i="480"/>
  <c r="L24" i="480"/>
  <c r="J24" i="480"/>
  <c r="Q23" i="480"/>
  <c r="O23" i="480"/>
  <c r="M23" i="480"/>
  <c r="J23" i="480"/>
  <c r="N22" i="480"/>
  <c r="M22" i="480"/>
  <c r="O21" i="480"/>
  <c r="J21" i="480"/>
  <c r="J20" i="480"/>
  <c r="M19" i="480"/>
  <c r="G22" i="480"/>
  <c r="Q17" i="480"/>
  <c r="O17" i="480"/>
  <c r="J17" i="480"/>
  <c r="I17" i="480"/>
  <c r="M16" i="480"/>
  <c r="K15" i="480"/>
  <c r="J15" i="480"/>
  <c r="P14" i="480"/>
  <c r="N14" i="480"/>
  <c r="K14" i="480"/>
  <c r="N13" i="480"/>
  <c r="N16" i="480" s="1"/>
  <c r="K13" i="480"/>
  <c r="J13" i="480"/>
  <c r="K12" i="480"/>
  <c r="J12" i="480"/>
  <c r="M11" i="480"/>
  <c r="K11" i="480"/>
  <c r="M10" i="480"/>
  <c r="J10" i="480"/>
  <c r="K8" i="480"/>
  <c r="N6" i="480"/>
  <c r="K5" i="480"/>
  <c r="C25" i="480" l="1"/>
  <c r="G18" i="479"/>
  <c r="C5" i="479" l="1"/>
  <c r="C22" i="479" s="1"/>
  <c r="N39" i="479"/>
  <c r="C37" i="479"/>
  <c r="N35" i="479"/>
  <c r="N37" i="479" s="1"/>
  <c r="N30" i="479"/>
  <c r="K30" i="479"/>
  <c r="O27" i="479"/>
  <c r="M27" i="479"/>
  <c r="Q26" i="479"/>
  <c r="J26" i="479"/>
  <c r="J27" i="479" s="1"/>
  <c r="Q25" i="479"/>
  <c r="N25" i="479"/>
  <c r="J25" i="479"/>
  <c r="M24" i="479"/>
  <c r="L24" i="479"/>
  <c r="Q23" i="479"/>
  <c r="O23" i="479"/>
  <c r="J23" i="479"/>
  <c r="J24" i="479" s="1"/>
  <c r="N22" i="479"/>
  <c r="M22" i="479"/>
  <c r="M23" i="479" s="1"/>
  <c r="G22" i="479"/>
  <c r="O21" i="479"/>
  <c r="J21" i="479"/>
  <c r="J20" i="479"/>
  <c r="M19" i="479"/>
  <c r="Q17" i="479"/>
  <c r="O17" i="479"/>
  <c r="J17" i="479"/>
  <c r="I17" i="479"/>
  <c r="M16" i="479"/>
  <c r="K15" i="479"/>
  <c r="J15" i="479"/>
  <c r="P14" i="479"/>
  <c r="N14" i="479"/>
  <c r="K14" i="479"/>
  <c r="N13" i="479"/>
  <c r="N16" i="479" s="1"/>
  <c r="K13" i="479"/>
  <c r="J13" i="479"/>
  <c r="K12" i="479"/>
  <c r="J12" i="479"/>
  <c r="M11" i="479"/>
  <c r="K11" i="479"/>
  <c r="M10" i="479"/>
  <c r="J10" i="479"/>
  <c r="K8" i="479"/>
  <c r="N6" i="479"/>
  <c r="K5" i="479"/>
  <c r="C25" i="479" l="1"/>
  <c r="N39" i="478"/>
  <c r="N37" i="478"/>
  <c r="C37" i="478"/>
  <c r="N35" i="478"/>
  <c r="N30" i="478"/>
  <c r="K30" i="478"/>
  <c r="O27" i="478"/>
  <c r="M27" i="478"/>
  <c r="Q26" i="478"/>
  <c r="J26" i="478"/>
  <c r="J27" i="478" s="1"/>
  <c r="Q25" i="478"/>
  <c r="N25" i="478"/>
  <c r="J25" i="478"/>
  <c r="M24" i="478"/>
  <c r="L24" i="478"/>
  <c r="Q23" i="478"/>
  <c r="O23" i="478"/>
  <c r="J23" i="478"/>
  <c r="J24" i="478" s="1"/>
  <c r="N22" i="478"/>
  <c r="M22" i="478"/>
  <c r="M23" i="478" s="1"/>
  <c r="C22" i="478"/>
  <c r="O21" i="478"/>
  <c r="J21" i="478"/>
  <c r="J20" i="478"/>
  <c r="M19" i="478"/>
  <c r="G22" i="478"/>
  <c r="Q17" i="478"/>
  <c r="O17" i="478"/>
  <c r="J17" i="478"/>
  <c r="I17" i="478"/>
  <c r="N16" i="478"/>
  <c r="M16" i="478"/>
  <c r="K15" i="478"/>
  <c r="J15" i="478"/>
  <c r="P14" i="478"/>
  <c r="N14" i="478"/>
  <c r="K14" i="478"/>
  <c r="N13" i="478"/>
  <c r="K13" i="478"/>
  <c r="J13" i="478"/>
  <c r="K12" i="478"/>
  <c r="J12" i="478"/>
  <c r="M11" i="478"/>
  <c r="K11" i="478"/>
  <c r="M10" i="478"/>
  <c r="J10" i="478"/>
  <c r="K8" i="478"/>
  <c r="N6" i="478"/>
  <c r="K5" i="478"/>
  <c r="C25" i="478" l="1"/>
  <c r="G18" i="477"/>
  <c r="G22" i="477" s="1"/>
  <c r="N39" i="477"/>
  <c r="C37" i="477"/>
  <c r="N35" i="477"/>
  <c r="N37" i="477" s="1"/>
  <c r="N30" i="477"/>
  <c r="K30" i="477"/>
  <c r="O27" i="477"/>
  <c r="M27" i="477"/>
  <c r="Q26" i="477"/>
  <c r="J26" i="477"/>
  <c r="J27" i="477" s="1"/>
  <c r="Q25" i="477"/>
  <c r="N25" i="477"/>
  <c r="J25" i="477"/>
  <c r="M24" i="477"/>
  <c r="L24" i="477"/>
  <c r="Q23" i="477"/>
  <c r="O23" i="477"/>
  <c r="J23" i="477"/>
  <c r="J24" i="477" s="1"/>
  <c r="N22" i="477"/>
  <c r="M22" i="477"/>
  <c r="M23" i="477" s="1"/>
  <c r="C22" i="477"/>
  <c r="O21" i="477"/>
  <c r="J21" i="477"/>
  <c r="J20" i="477"/>
  <c r="M19" i="477"/>
  <c r="Q17" i="477"/>
  <c r="O17" i="477"/>
  <c r="J17" i="477"/>
  <c r="I17" i="477"/>
  <c r="M16" i="477"/>
  <c r="K15" i="477"/>
  <c r="J15" i="477"/>
  <c r="P14" i="477"/>
  <c r="N14" i="477"/>
  <c r="K14" i="477"/>
  <c r="N13" i="477"/>
  <c r="N16" i="477" s="1"/>
  <c r="K13" i="477"/>
  <c r="J13" i="477"/>
  <c r="K12" i="477"/>
  <c r="J12" i="477"/>
  <c r="M11" i="477"/>
  <c r="K11" i="477"/>
  <c r="M10" i="477"/>
  <c r="J10" i="477"/>
  <c r="K8" i="477"/>
  <c r="N6" i="477"/>
  <c r="K5" i="477"/>
  <c r="C25" i="477" l="1"/>
  <c r="N39" i="476"/>
  <c r="C37" i="476"/>
  <c r="N35" i="476"/>
  <c r="N37" i="476" s="1"/>
  <c r="N30" i="476"/>
  <c r="K30" i="476"/>
  <c r="O27" i="476"/>
  <c r="M27" i="476"/>
  <c r="Q26" i="476"/>
  <c r="J26" i="476"/>
  <c r="J27" i="476" s="1"/>
  <c r="Q25" i="476"/>
  <c r="N25" i="476"/>
  <c r="J25" i="476"/>
  <c r="M24" i="476"/>
  <c r="L24" i="476"/>
  <c r="Q23" i="476"/>
  <c r="O23" i="476"/>
  <c r="J23" i="476"/>
  <c r="J24" i="476" s="1"/>
  <c r="N22" i="476"/>
  <c r="M22" i="476"/>
  <c r="M23" i="476" s="1"/>
  <c r="G22" i="476"/>
  <c r="C22" i="476"/>
  <c r="O21" i="476"/>
  <c r="J21" i="476"/>
  <c r="J20" i="476"/>
  <c r="M19" i="476"/>
  <c r="Q17" i="476"/>
  <c r="O17" i="476"/>
  <c r="J17" i="476"/>
  <c r="I17" i="476"/>
  <c r="M16" i="476"/>
  <c r="K15" i="476"/>
  <c r="J15" i="476"/>
  <c r="P14" i="476"/>
  <c r="N14" i="476"/>
  <c r="N16" i="476" s="1"/>
  <c r="K14" i="476"/>
  <c r="N13" i="476"/>
  <c r="K13" i="476"/>
  <c r="J13" i="476"/>
  <c r="K12" i="476"/>
  <c r="J12" i="476"/>
  <c r="M11" i="476"/>
  <c r="K11" i="476"/>
  <c r="M10" i="476"/>
  <c r="J10" i="476"/>
  <c r="K8" i="476"/>
  <c r="N6" i="476"/>
  <c r="K5" i="476"/>
  <c r="C25" i="476" l="1"/>
  <c r="N39" i="475"/>
  <c r="N37" i="475"/>
  <c r="C37" i="475"/>
  <c r="N35" i="475"/>
  <c r="N30" i="475"/>
  <c r="K30" i="475"/>
  <c r="O27" i="475"/>
  <c r="M27" i="475"/>
  <c r="Q26" i="475"/>
  <c r="J26" i="475"/>
  <c r="J27" i="475" s="1"/>
  <c r="Q25" i="475"/>
  <c r="N25" i="475"/>
  <c r="J25" i="475"/>
  <c r="M24" i="475"/>
  <c r="L24" i="475"/>
  <c r="Q23" i="475"/>
  <c r="O23" i="475"/>
  <c r="M23" i="475"/>
  <c r="J23" i="475"/>
  <c r="J24" i="475" s="1"/>
  <c r="N22" i="475"/>
  <c r="M22" i="475"/>
  <c r="G22" i="475"/>
  <c r="C22" i="475"/>
  <c r="O21" i="475"/>
  <c r="J21" i="475"/>
  <c r="J20" i="475"/>
  <c r="M19" i="475"/>
  <c r="Q17" i="475"/>
  <c r="O17" i="475"/>
  <c r="J17" i="475"/>
  <c r="I17" i="475"/>
  <c r="M16" i="475"/>
  <c r="K15" i="475"/>
  <c r="J15" i="475"/>
  <c r="P14" i="475"/>
  <c r="N14" i="475"/>
  <c r="K14" i="475"/>
  <c r="N13" i="475"/>
  <c r="N16" i="475" s="1"/>
  <c r="K13" i="475"/>
  <c r="J13" i="475"/>
  <c r="K12" i="475"/>
  <c r="J12" i="475"/>
  <c r="M11" i="475"/>
  <c r="K11" i="475"/>
  <c r="M10" i="475"/>
  <c r="J10" i="475"/>
  <c r="K8" i="475"/>
  <c r="N6" i="475"/>
  <c r="K5" i="475"/>
  <c r="C25" i="475" l="1"/>
  <c r="N39" i="474" l="1"/>
  <c r="N37" i="474"/>
  <c r="C37" i="474"/>
  <c r="N35" i="474"/>
  <c r="N30" i="474"/>
  <c r="K30" i="474"/>
  <c r="O27" i="474"/>
  <c r="M27" i="474"/>
  <c r="J27" i="474"/>
  <c r="Q26" i="474"/>
  <c r="J26" i="474"/>
  <c r="Q25" i="474"/>
  <c r="N25" i="474"/>
  <c r="J25" i="474"/>
  <c r="M24" i="474"/>
  <c r="L24" i="474"/>
  <c r="Q23" i="474"/>
  <c r="O23" i="474"/>
  <c r="M23" i="474"/>
  <c r="J23" i="474"/>
  <c r="J24" i="474" s="1"/>
  <c r="N22" i="474"/>
  <c r="M22" i="474"/>
  <c r="G22" i="474"/>
  <c r="C22" i="474"/>
  <c r="O21" i="474"/>
  <c r="J21" i="474"/>
  <c r="J20" i="474"/>
  <c r="M19" i="474"/>
  <c r="Q17" i="474"/>
  <c r="O17" i="474"/>
  <c r="J17" i="474"/>
  <c r="I17" i="474"/>
  <c r="M16" i="474"/>
  <c r="K15" i="474"/>
  <c r="J15" i="474"/>
  <c r="P14" i="474"/>
  <c r="N14" i="474"/>
  <c r="K14" i="474"/>
  <c r="N13" i="474"/>
  <c r="N16" i="474" s="1"/>
  <c r="K13" i="474"/>
  <c r="J13" i="474"/>
  <c r="K12" i="474"/>
  <c r="J12" i="474"/>
  <c r="M11" i="474"/>
  <c r="K11" i="474"/>
  <c r="M10" i="474"/>
  <c r="J10" i="474"/>
  <c r="K8" i="474"/>
  <c r="N6" i="474"/>
  <c r="K5" i="474"/>
  <c r="C25" i="474" l="1"/>
  <c r="N39" i="473"/>
  <c r="N37" i="473"/>
  <c r="C37" i="473"/>
  <c r="N35" i="473"/>
  <c r="N30" i="473"/>
  <c r="K30" i="473"/>
  <c r="O27" i="473"/>
  <c r="M27" i="473"/>
  <c r="Q26" i="473"/>
  <c r="J26" i="473"/>
  <c r="J27" i="473" s="1"/>
  <c r="Q25" i="473"/>
  <c r="N25" i="473"/>
  <c r="J25" i="473"/>
  <c r="M24" i="473"/>
  <c r="L24" i="473"/>
  <c r="Q23" i="473"/>
  <c r="O23" i="473"/>
  <c r="M23" i="473"/>
  <c r="J23" i="473"/>
  <c r="J24" i="473" s="1"/>
  <c r="N22" i="473"/>
  <c r="M22" i="473"/>
  <c r="G22" i="473"/>
  <c r="C22" i="473"/>
  <c r="O21" i="473"/>
  <c r="J21" i="473"/>
  <c r="J20" i="473"/>
  <c r="M19" i="473"/>
  <c r="Q17" i="473"/>
  <c r="O17" i="473"/>
  <c r="J17" i="473"/>
  <c r="I17" i="473"/>
  <c r="M16" i="473"/>
  <c r="K15" i="473"/>
  <c r="J15" i="473"/>
  <c r="P14" i="473"/>
  <c r="N14" i="473"/>
  <c r="K14" i="473"/>
  <c r="N13" i="473"/>
  <c r="N16" i="473" s="1"/>
  <c r="K13" i="473"/>
  <c r="J13" i="473"/>
  <c r="K12" i="473"/>
  <c r="J12" i="473"/>
  <c r="M11" i="473"/>
  <c r="K11" i="473"/>
  <c r="M10" i="473"/>
  <c r="J10" i="473"/>
  <c r="K8" i="473"/>
  <c r="N6" i="473"/>
  <c r="K5" i="473"/>
  <c r="C25" i="473" l="1"/>
  <c r="N39" i="472"/>
  <c r="N37" i="472"/>
  <c r="C37" i="472"/>
  <c r="N35" i="472"/>
  <c r="N30" i="472"/>
  <c r="K30" i="472"/>
  <c r="O27" i="472"/>
  <c r="M27" i="472"/>
  <c r="J27" i="472"/>
  <c r="Q26" i="472"/>
  <c r="J26" i="472"/>
  <c r="Q25" i="472"/>
  <c r="N25" i="472"/>
  <c r="J25" i="472"/>
  <c r="M24" i="472"/>
  <c r="L24" i="472"/>
  <c r="J24" i="472"/>
  <c r="Q23" i="472"/>
  <c r="O23" i="472"/>
  <c r="M23" i="472"/>
  <c r="J23" i="472"/>
  <c r="N22" i="472"/>
  <c r="M22" i="472"/>
  <c r="G22" i="472"/>
  <c r="C22" i="472"/>
  <c r="O21" i="472"/>
  <c r="J21" i="472"/>
  <c r="J20" i="472"/>
  <c r="M19" i="472"/>
  <c r="Q17" i="472"/>
  <c r="O17" i="472"/>
  <c r="J17" i="472"/>
  <c r="I17" i="472"/>
  <c r="N16" i="472"/>
  <c r="M16" i="472"/>
  <c r="K15" i="472"/>
  <c r="J15" i="472"/>
  <c r="P14" i="472"/>
  <c r="N14" i="472"/>
  <c r="K14" i="472"/>
  <c r="N13" i="472"/>
  <c r="K13" i="472"/>
  <c r="J13" i="472"/>
  <c r="K12" i="472"/>
  <c r="J12" i="472"/>
  <c r="M11" i="472"/>
  <c r="K11" i="472"/>
  <c r="M10" i="472"/>
  <c r="J10" i="472"/>
  <c r="K8" i="472"/>
  <c r="N6" i="472"/>
  <c r="K5" i="472"/>
  <c r="C25" i="472" l="1"/>
  <c r="N39" i="471"/>
  <c r="N37" i="471"/>
  <c r="C37" i="471"/>
  <c r="N35" i="471"/>
  <c r="N30" i="471"/>
  <c r="K30" i="471"/>
  <c r="O27" i="471"/>
  <c r="M27" i="471"/>
  <c r="Q26" i="471"/>
  <c r="J26" i="471"/>
  <c r="J27" i="471" s="1"/>
  <c r="Q25" i="471"/>
  <c r="N25" i="471"/>
  <c r="J25" i="471"/>
  <c r="M24" i="471"/>
  <c r="L24" i="471"/>
  <c r="Q23" i="471"/>
  <c r="O23" i="471"/>
  <c r="M23" i="471"/>
  <c r="J23" i="471"/>
  <c r="J24" i="471" s="1"/>
  <c r="N22" i="471"/>
  <c r="M22" i="471"/>
  <c r="G22" i="471"/>
  <c r="C22" i="471"/>
  <c r="O21" i="471"/>
  <c r="J21" i="471"/>
  <c r="J20" i="471"/>
  <c r="M19" i="471"/>
  <c r="Q17" i="471"/>
  <c r="O17" i="471"/>
  <c r="J17" i="471"/>
  <c r="I17" i="471"/>
  <c r="M16" i="471"/>
  <c r="K15" i="471"/>
  <c r="J15" i="471"/>
  <c r="P14" i="471"/>
  <c r="N14" i="471"/>
  <c r="K14" i="471"/>
  <c r="N13" i="471"/>
  <c r="N16" i="471" s="1"/>
  <c r="K13" i="471"/>
  <c r="J13" i="471"/>
  <c r="K12" i="471"/>
  <c r="J12" i="471"/>
  <c r="M11" i="471"/>
  <c r="K11" i="471"/>
  <c r="M10" i="471"/>
  <c r="J10" i="471"/>
  <c r="K8" i="471"/>
  <c r="N6" i="471"/>
  <c r="K5" i="471"/>
  <c r="C25" i="471" l="1"/>
  <c r="N39" i="470"/>
  <c r="C37" i="470"/>
  <c r="N35" i="470"/>
  <c r="N37" i="470" s="1"/>
  <c r="N30" i="470"/>
  <c r="K30" i="470"/>
  <c r="O27" i="470"/>
  <c r="M27" i="470"/>
  <c r="Q26" i="470"/>
  <c r="J26" i="470"/>
  <c r="J27" i="470" s="1"/>
  <c r="Q25" i="470"/>
  <c r="N25" i="470"/>
  <c r="J25" i="470"/>
  <c r="M24" i="470"/>
  <c r="L24" i="470"/>
  <c r="Q23" i="470"/>
  <c r="O23" i="470"/>
  <c r="J23" i="470"/>
  <c r="J24" i="470" s="1"/>
  <c r="N22" i="470"/>
  <c r="M22" i="470"/>
  <c r="M23" i="470" s="1"/>
  <c r="G22" i="470"/>
  <c r="C22" i="470"/>
  <c r="O21" i="470"/>
  <c r="J21" i="470"/>
  <c r="J20" i="470"/>
  <c r="M19" i="470"/>
  <c r="Q17" i="470"/>
  <c r="O17" i="470"/>
  <c r="J17" i="470"/>
  <c r="I17" i="470"/>
  <c r="M16" i="470"/>
  <c r="K15" i="470"/>
  <c r="J15" i="470"/>
  <c r="P14" i="470"/>
  <c r="N14" i="470"/>
  <c r="N16" i="470" s="1"/>
  <c r="K14" i="470"/>
  <c r="N13" i="470"/>
  <c r="K13" i="470"/>
  <c r="J13" i="470"/>
  <c r="K12" i="470"/>
  <c r="J12" i="470"/>
  <c r="M11" i="470"/>
  <c r="K11" i="470"/>
  <c r="M10" i="470"/>
  <c r="J10" i="470"/>
  <c r="K8" i="470"/>
  <c r="N6" i="470"/>
  <c r="K5" i="470"/>
  <c r="C25" i="470" l="1"/>
  <c r="J22" i="467"/>
  <c r="J21" i="467"/>
  <c r="I10" i="468"/>
  <c r="I9" i="468"/>
  <c r="I8" i="468"/>
  <c r="I7" i="468"/>
  <c r="N39" i="469" l="1"/>
  <c r="C37" i="469"/>
  <c r="N35" i="469"/>
  <c r="N37" i="469" s="1"/>
  <c r="N30" i="469"/>
  <c r="K30" i="469"/>
  <c r="O27" i="469"/>
  <c r="M27" i="469"/>
  <c r="Q26" i="469"/>
  <c r="J26" i="469"/>
  <c r="J27" i="469" s="1"/>
  <c r="Q25" i="469"/>
  <c r="N25" i="469"/>
  <c r="J25" i="469"/>
  <c r="M24" i="469"/>
  <c r="L24" i="469"/>
  <c r="Q23" i="469"/>
  <c r="O23" i="469"/>
  <c r="J23" i="469"/>
  <c r="J24" i="469" s="1"/>
  <c r="N22" i="469"/>
  <c r="M22" i="469"/>
  <c r="M23" i="469" s="1"/>
  <c r="G22" i="469"/>
  <c r="C22" i="469"/>
  <c r="O21" i="469"/>
  <c r="J21" i="469"/>
  <c r="J20" i="469"/>
  <c r="M19" i="469"/>
  <c r="Q17" i="469"/>
  <c r="O17" i="469"/>
  <c r="J17" i="469"/>
  <c r="I17" i="469"/>
  <c r="N16" i="469"/>
  <c r="M16" i="469"/>
  <c r="K15" i="469"/>
  <c r="J15" i="469"/>
  <c r="P14" i="469"/>
  <c r="N14" i="469"/>
  <c r="K14" i="469"/>
  <c r="N13" i="469"/>
  <c r="K13" i="469"/>
  <c r="J13" i="469"/>
  <c r="K12" i="469"/>
  <c r="J12" i="469"/>
  <c r="M11" i="469"/>
  <c r="K11" i="469"/>
  <c r="M10" i="469"/>
  <c r="J10" i="469"/>
  <c r="K8" i="469"/>
  <c r="N6" i="469"/>
  <c r="K5" i="469"/>
  <c r="C25" i="469" l="1"/>
  <c r="M19" i="468"/>
  <c r="J24" i="468"/>
  <c r="J23" i="468"/>
  <c r="N39" i="468"/>
  <c r="N37" i="468"/>
  <c r="C37" i="468"/>
  <c r="N35" i="468"/>
  <c r="N30" i="468"/>
  <c r="K30" i="468"/>
  <c r="O27" i="468"/>
  <c r="M27" i="468"/>
  <c r="Q26" i="468"/>
  <c r="J26" i="468"/>
  <c r="J27" i="468" s="1"/>
  <c r="Q25" i="468"/>
  <c r="N25" i="468"/>
  <c r="J25" i="468"/>
  <c r="M24" i="468"/>
  <c r="L24" i="468"/>
  <c r="Q23" i="468"/>
  <c r="O23" i="468"/>
  <c r="N22" i="468"/>
  <c r="M22" i="468"/>
  <c r="M23" i="468" s="1"/>
  <c r="G22" i="468"/>
  <c r="C22" i="468"/>
  <c r="O21" i="468"/>
  <c r="J21" i="468"/>
  <c r="J20" i="468"/>
  <c r="J19" i="468"/>
  <c r="Q17" i="468"/>
  <c r="O17" i="468"/>
  <c r="J17" i="468"/>
  <c r="I17" i="468"/>
  <c r="M16" i="468"/>
  <c r="K15" i="468"/>
  <c r="J15" i="468"/>
  <c r="P14" i="468"/>
  <c r="N14" i="468"/>
  <c r="N16" i="468" s="1"/>
  <c r="K14" i="468"/>
  <c r="N13" i="468"/>
  <c r="K13" i="468"/>
  <c r="J13" i="468"/>
  <c r="K12" i="468"/>
  <c r="J12" i="468"/>
  <c r="M11" i="468"/>
  <c r="K11" i="468"/>
  <c r="M10" i="468"/>
  <c r="J10" i="468"/>
  <c r="K8" i="468"/>
  <c r="N6" i="468"/>
  <c r="K5" i="468"/>
  <c r="C25" i="468" l="1"/>
  <c r="N39" i="467"/>
  <c r="C37" i="467"/>
  <c r="N35" i="467"/>
  <c r="N37" i="467" s="1"/>
  <c r="N30" i="467"/>
  <c r="K30" i="467"/>
  <c r="O27" i="467"/>
  <c r="M27" i="467"/>
  <c r="J27" i="467"/>
  <c r="Q26" i="467"/>
  <c r="J26" i="467"/>
  <c r="Q25" i="467"/>
  <c r="N25" i="467"/>
  <c r="J25" i="467"/>
  <c r="M24" i="467"/>
  <c r="L24" i="467"/>
  <c r="Q23" i="467"/>
  <c r="O23" i="467"/>
  <c r="M23" i="467"/>
  <c r="N22" i="467"/>
  <c r="M22" i="467"/>
  <c r="G22" i="467"/>
  <c r="C22" i="467"/>
  <c r="O21" i="467"/>
  <c r="J20" i="467"/>
  <c r="J19" i="467"/>
  <c r="Q17" i="467"/>
  <c r="O17" i="467"/>
  <c r="J17" i="467"/>
  <c r="I17" i="467"/>
  <c r="M16" i="467"/>
  <c r="K15" i="467"/>
  <c r="J15" i="467"/>
  <c r="P14" i="467"/>
  <c r="N14" i="467"/>
  <c r="K14" i="467"/>
  <c r="N13" i="467"/>
  <c r="N16" i="467" s="1"/>
  <c r="K13" i="467"/>
  <c r="J13" i="467"/>
  <c r="K12" i="467"/>
  <c r="J12" i="467"/>
  <c r="M11" i="467"/>
  <c r="K11" i="467"/>
  <c r="M10" i="467"/>
  <c r="J10" i="467"/>
  <c r="K8" i="467"/>
  <c r="N6" i="467"/>
  <c r="K5" i="467"/>
  <c r="C25" i="467" l="1"/>
  <c r="N39" i="466"/>
  <c r="C37" i="466"/>
  <c r="N35" i="466"/>
  <c r="N37" i="466" s="1"/>
  <c r="N30" i="466"/>
  <c r="K30" i="466"/>
  <c r="O27" i="466"/>
  <c r="M27" i="466"/>
  <c r="Q26" i="466"/>
  <c r="J26" i="466"/>
  <c r="J27" i="466" s="1"/>
  <c r="Q25" i="466"/>
  <c r="N25" i="466"/>
  <c r="J25" i="466"/>
  <c r="M24" i="466"/>
  <c r="L24" i="466"/>
  <c r="Q23" i="466"/>
  <c r="O23" i="466"/>
  <c r="M23" i="466"/>
  <c r="N22" i="466"/>
  <c r="M22" i="466"/>
  <c r="J22" i="466"/>
  <c r="G22" i="466"/>
  <c r="C22" i="466"/>
  <c r="O21" i="466"/>
  <c r="J21" i="466"/>
  <c r="J20" i="466"/>
  <c r="J19" i="466"/>
  <c r="Q17" i="466"/>
  <c r="O17" i="466"/>
  <c r="J17" i="466"/>
  <c r="I17" i="466"/>
  <c r="M16" i="466"/>
  <c r="K15" i="466"/>
  <c r="J15" i="466"/>
  <c r="P14" i="466"/>
  <c r="N14" i="466"/>
  <c r="N16" i="466" s="1"/>
  <c r="K14" i="466"/>
  <c r="N13" i="466"/>
  <c r="K13" i="466"/>
  <c r="J13" i="466"/>
  <c r="K12" i="466"/>
  <c r="J12" i="466"/>
  <c r="M11" i="466"/>
  <c r="K11" i="466"/>
  <c r="M10" i="466"/>
  <c r="J10" i="466"/>
  <c r="K8" i="466"/>
  <c r="N6" i="466"/>
  <c r="K5" i="466"/>
  <c r="C25" i="466" l="1"/>
  <c r="N39" i="465"/>
  <c r="C37" i="465"/>
  <c r="N35" i="465"/>
  <c r="N37" i="465" s="1"/>
  <c r="N30" i="465"/>
  <c r="K30" i="465"/>
  <c r="O27" i="465"/>
  <c r="M27" i="465"/>
  <c r="J27" i="465"/>
  <c r="Q26" i="465"/>
  <c r="J26" i="465"/>
  <c r="Q25" i="465"/>
  <c r="N25" i="465"/>
  <c r="J25" i="465"/>
  <c r="M24" i="465"/>
  <c r="L24" i="465"/>
  <c r="Q23" i="465"/>
  <c r="O23" i="465"/>
  <c r="M23" i="465"/>
  <c r="N22" i="465"/>
  <c r="M22" i="465"/>
  <c r="J22" i="465"/>
  <c r="G22" i="465"/>
  <c r="C22" i="465"/>
  <c r="O21" i="465"/>
  <c r="J21" i="465"/>
  <c r="J20" i="465"/>
  <c r="J19" i="465"/>
  <c r="Q17" i="465"/>
  <c r="O17" i="465"/>
  <c r="J17" i="465"/>
  <c r="I17" i="465"/>
  <c r="M16" i="465"/>
  <c r="K15" i="465"/>
  <c r="J15" i="465"/>
  <c r="P14" i="465"/>
  <c r="N14" i="465"/>
  <c r="K14" i="465"/>
  <c r="N13" i="465"/>
  <c r="N16" i="465" s="1"/>
  <c r="K13" i="465"/>
  <c r="J13" i="465"/>
  <c r="K12" i="465"/>
  <c r="J12" i="465"/>
  <c r="M11" i="465"/>
  <c r="K11" i="465"/>
  <c r="M10" i="465"/>
  <c r="J10" i="465"/>
  <c r="K8" i="465"/>
  <c r="N6" i="465"/>
  <c r="K5" i="465"/>
  <c r="C25" i="465" l="1"/>
  <c r="N39" i="464"/>
  <c r="N37" i="464"/>
  <c r="C37" i="464"/>
  <c r="N35" i="464"/>
  <c r="N30" i="464"/>
  <c r="K30" i="464"/>
  <c r="O27" i="464"/>
  <c r="M27" i="464"/>
  <c r="Q26" i="464"/>
  <c r="J26" i="464"/>
  <c r="J27" i="464" s="1"/>
  <c r="Q25" i="464"/>
  <c r="N25" i="464"/>
  <c r="J25" i="464"/>
  <c r="M24" i="464"/>
  <c r="L24" i="464"/>
  <c r="Q23" i="464"/>
  <c r="O23" i="464"/>
  <c r="N22" i="464"/>
  <c r="M22" i="464"/>
  <c r="M23" i="464" s="1"/>
  <c r="J22" i="464"/>
  <c r="G22" i="464"/>
  <c r="C22" i="464"/>
  <c r="O21" i="464"/>
  <c r="J21" i="464"/>
  <c r="J20" i="464"/>
  <c r="J19" i="464"/>
  <c r="Q17" i="464"/>
  <c r="O17" i="464"/>
  <c r="J17" i="464"/>
  <c r="I17" i="464"/>
  <c r="N16" i="464"/>
  <c r="M16" i="464"/>
  <c r="K15" i="464"/>
  <c r="J15" i="464"/>
  <c r="P14" i="464"/>
  <c r="N14" i="464"/>
  <c r="K14" i="464"/>
  <c r="N13" i="464"/>
  <c r="K13" i="464"/>
  <c r="J13" i="464"/>
  <c r="K12" i="464"/>
  <c r="J12" i="464"/>
  <c r="M11" i="464"/>
  <c r="K11" i="464"/>
  <c r="M10" i="464"/>
  <c r="J10" i="464"/>
  <c r="K8" i="464"/>
  <c r="N6" i="464"/>
  <c r="K5" i="464"/>
  <c r="C25" i="464" l="1"/>
  <c r="C37" i="462"/>
  <c r="N39" i="463" l="1"/>
  <c r="C37" i="463"/>
  <c r="N35" i="463"/>
  <c r="N37" i="463" s="1"/>
  <c r="N30" i="463"/>
  <c r="K30" i="463"/>
  <c r="O27" i="463"/>
  <c r="M27" i="463"/>
  <c r="Q26" i="463"/>
  <c r="J26" i="463"/>
  <c r="J27" i="463" s="1"/>
  <c r="Q25" i="463"/>
  <c r="N25" i="463"/>
  <c r="J25" i="463"/>
  <c r="M24" i="463"/>
  <c r="L24" i="463"/>
  <c r="Q23" i="463"/>
  <c r="O23" i="463"/>
  <c r="N22" i="463"/>
  <c r="M22" i="463"/>
  <c r="M23" i="463" s="1"/>
  <c r="J22" i="463"/>
  <c r="G22" i="463"/>
  <c r="C22" i="463"/>
  <c r="O21" i="463"/>
  <c r="J21" i="463"/>
  <c r="J20" i="463"/>
  <c r="J19" i="463"/>
  <c r="Q17" i="463"/>
  <c r="O17" i="463"/>
  <c r="J17" i="463"/>
  <c r="I17" i="463"/>
  <c r="M16" i="463"/>
  <c r="K15" i="463"/>
  <c r="J15" i="463"/>
  <c r="P14" i="463"/>
  <c r="N14" i="463"/>
  <c r="K14" i="463"/>
  <c r="N13" i="463"/>
  <c r="N16" i="463" s="1"/>
  <c r="K13" i="463"/>
  <c r="J13" i="463"/>
  <c r="K12" i="463"/>
  <c r="J12" i="463"/>
  <c r="M11" i="463"/>
  <c r="K11" i="463"/>
  <c r="M10" i="463"/>
  <c r="J10" i="463"/>
  <c r="K8" i="463"/>
  <c r="N6" i="463"/>
  <c r="K5" i="463"/>
  <c r="C25" i="463" l="1"/>
  <c r="N39" i="462"/>
  <c r="N37" i="462"/>
  <c r="N35" i="462"/>
  <c r="N30" i="462"/>
  <c r="K30" i="462"/>
  <c r="O27" i="462"/>
  <c r="M27" i="462"/>
  <c r="Q26" i="462"/>
  <c r="J26" i="462"/>
  <c r="J27" i="462" s="1"/>
  <c r="Q25" i="462"/>
  <c r="N25" i="462"/>
  <c r="J25" i="462"/>
  <c r="M24" i="462"/>
  <c r="L24" i="462"/>
  <c r="Q23" i="462"/>
  <c r="O23" i="462"/>
  <c r="N22" i="462"/>
  <c r="M22" i="462"/>
  <c r="M23" i="462" s="1"/>
  <c r="J22" i="462"/>
  <c r="G22" i="462"/>
  <c r="C22" i="462"/>
  <c r="O21" i="462"/>
  <c r="J21" i="462"/>
  <c r="J20" i="462"/>
  <c r="J19" i="462"/>
  <c r="Q17" i="462"/>
  <c r="O17" i="462"/>
  <c r="J17" i="462"/>
  <c r="I17" i="462"/>
  <c r="N16" i="462"/>
  <c r="M16" i="462"/>
  <c r="K15" i="462"/>
  <c r="J15" i="462"/>
  <c r="P14" i="462"/>
  <c r="N14" i="462"/>
  <c r="K14" i="462"/>
  <c r="N13" i="462"/>
  <c r="K13" i="462"/>
  <c r="J13" i="462"/>
  <c r="K12" i="462"/>
  <c r="J12" i="462"/>
  <c r="M11" i="462"/>
  <c r="K11" i="462"/>
  <c r="M10" i="462"/>
  <c r="J10" i="462"/>
  <c r="K8" i="462"/>
  <c r="N6" i="462"/>
  <c r="K5" i="462"/>
  <c r="C25" i="462" l="1"/>
  <c r="N39" i="461"/>
  <c r="N37" i="461"/>
  <c r="C37" i="461"/>
  <c r="N35" i="461"/>
  <c r="N30" i="461"/>
  <c r="K30" i="461"/>
  <c r="O27" i="461"/>
  <c r="M27" i="461"/>
  <c r="Q26" i="461"/>
  <c r="J26" i="461"/>
  <c r="J27" i="461" s="1"/>
  <c r="Q25" i="461"/>
  <c r="N25" i="461"/>
  <c r="J25" i="461"/>
  <c r="M24" i="461"/>
  <c r="L24" i="461"/>
  <c r="Q23" i="461"/>
  <c r="O23" i="461"/>
  <c r="N22" i="461"/>
  <c r="M22" i="461"/>
  <c r="M23" i="461" s="1"/>
  <c r="J22" i="461"/>
  <c r="G22" i="461"/>
  <c r="C22" i="461"/>
  <c r="O21" i="461"/>
  <c r="J21" i="461"/>
  <c r="J20" i="461"/>
  <c r="J19" i="461"/>
  <c r="Q17" i="461"/>
  <c r="O17" i="461"/>
  <c r="J17" i="461"/>
  <c r="I17" i="461"/>
  <c r="N16" i="461"/>
  <c r="M16" i="461"/>
  <c r="K15" i="461"/>
  <c r="J15" i="461"/>
  <c r="P14" i="461"/>
  <c r="N14" i="461"/>
  <c r="K14" i="461"/>
  <c r="N13" i="461"/>
  <c r="K13" i="461"/>
  <c r="J13" i="461"/>
  <c r="K12" i="461"/>
  <c r="J12" i="461"/>
  <c r="M11" i="461"/>
  <c r="K11" i="461"/>
  <c r="M10" i="461"/>
  <c r="J10" i="461"/>
  <c r="K8" i="461"/>
  <c r="N6" i="461"/>
  <c r="K5" i="461"/>
  <c r="C25" i="461" l="1"/>
  <c r="J12" i="460"/>
  <c r="N39" i="460" l="1"/>
  <c r="C37" i="460"/>
  <c r="N35" i="460"/>
  <c r="N37" i="460" s="1"/>
  <c r="N30" i="460"/>
  <c r="K30" i="460"/>
  <c r="O27" i="460"/>
  <c r="M27" i="460"/>
  <c r="J27" i="460"/>
  <c r="Q26" i="460"/>
  <c r="J26" i="460"/>
  <c r="Q25" i="460"/>
  <c r="N25" i="460"/>
  <c r="J25" i="460"/>
  <c r="M24" i="460"/>
  <c r="L24" i="460"/>
  <c r="Q23" i="460"/>
  <c r="O23" i="460"/>
  <c r="M23" i="460"/>
  <c r="N22" i="460"/>
  <c r="M22" i="460"/>
  <c r="J22" i="460"/>
  <c r="G22" i="460"/>
  <c r="C22" i="460"/>
  <c r="O21" i="460"/>
  <c r="J21" i="460"/>
  <c r="J20" i="460"/>
  <c r="J19" i="460"/>
  <c r="Q17" i="460"/>
  <c r="O17" i="460"/>
  <c r="J17" i="460"/>
  <c r="I17" i="460"/>
  <c r="M16" i="460"/>
  <c r="K15" i="460"/>
  <c r="J15" i="460"/>
  <c r="P14" i="460"/>
  <c r="N14" i="460"/>
  <c r="K14" i="460"/>
  <c r="N13" i="460"/>
  <c r="N16" i="460" s="1"/>
  <c r="K13" i="460"/>
  <c r="J13" i="460"/>
  <c r="K12" i="460"/>
  <c r="M11" i="460"/>
  <c r="K11" i="460"/>
  <c r="M10" i="460"/>
  <c r="J10" i="460"/>
  <c r="K8" i="460"/>
  <c r="N6" i="460"/>
  <c r="K5" i="460"/>
  <c r="C25" i="460" l="1"/>
  <c r="N39" i="459"/>
  <c r="N37" i="459"/>
  <c r="C37" i="459"/>
  <c r="N35" i="459"/>
  <c r="N30" i="459"/>
  <c r="K30" i="459"/>
  <c r="O27" i="459"/>
  <c r="M27" i="459"/>
  <c r="J27" i="459"/>
  <c r="Q26" i="459"/>
  <c r="J26" i="459"/>
  <c r="Q25" i="459"/>
  <c r="N25" i="459"/>
  <c r="J25" i="459"/>
  <c r="M24" i="459"/>
  <c r="L24" i="459"/>
  <c r="Q23" i="459"/>
  <c r="O23" i="459"/>
  <c r="M23" i="459"/>
  <c r="N22" i="459"/>
  <c r="M22" i="459"/>
  <c r="J22" i="459"/>
  <c r="G22" i="459"/>
  <c r="C22" i="459"/>
  <c r="O21" i="459"/>
  <c r="J21" i="459"/>
  <c r="J20" i="459"/>
  <c r="J19" i="459"/>
  <c r="Q17" i="459"/>
  <c r="O17" i="459"/>
  <c r="J17" i="459"/>
  <c r="I17" i="459"/>
  <c r="M16" i="459"/>
  <c r="K15" i="459"/>
  <c r="J15" i="459"/>
  <c r="P14" i="459"/>
  <c r="N14" i="459"/>
  <c r="K14" i="459"/>
  <c r="N13" i="459"/>
  <c r="N16" i="459" s="1"/>
  <c r="K13" i="459"/>
  <c r="J13" i="459"/>
  <c r="K12" i="459"/>
  <c r="M11" i="459"/>
  <c r="K11" i="459"/>
  <c r="M10" i="459"/>
  <c r="J10" i="459"/>
  <c r="K8" i="459"/>
  <c r="N6" i="459"/>
  <c r="K5" i="459"/>
  <c r="C25" i="459" l="1"/>
  <c r="N39" i="458"/>
  <c r="N37" i="458"/>
  <c r="C37" i="458"/>
  <c r="N35" i="458"/>
  <c r="N30" i="458"/>
  <c r="K30" i="458"/>
  <c r="O27" i="458"/>
  <c r="M27" i="458"/>
  <c r="J27" i="458"/>
  <c r="Q26" i="458"/>
  <c r="J26" i="458"/>
  <c r="Q25" i="458"/>
  <c r="N25" i="458"/>
  <c r="J25" i="458"/>
  <c r="M24" i="458"/>
  <c r="L24" i="458"/>
  <c r="Q23" i="458"/>
  <c r="O23" i="458"/>
  <c r="M23" i="458"/>
  <c r="N22" i="458"/>
  <c r="M22" i="458"/>
  <c r="J22" i="458"/>
  <c r="G22" i="458"/>
  <c r="C22" i="458"/>
  <c r="O21" i="458"/>
  <c r="J21" i="458"/>
  <c r="J20" i="458"/>
  <c r="J19" i="458"/>
  <c r="Q17" i="458"/>
  <c r="O17" i="458"/>
  <c r="J17" i="458"/>
  <c r="I17" i="458"/>
  <c r="M16" i="458"/>
  <c r="K15" i="458"/>
  <c r="J15" i="458"/>
  <c r="P14" i="458"/>
  <c r="N14" i="458"/>
  <c r="K14" i="458"/>
  <c r="N13" i="458"/>
  <c r="N16" i="458" s="1"/>
  <c r="K13" i="458"/>
  <c r="J13" i="458"/>
  <c r="K12" i="458"/>
  <c r="M11" i="458"/>
  <c r="K11" i="458"/>
  <c r="M10" i="458"/>
  <c r="J10" i="458"/>
  <c r="K8" i="458"/>
  <c r="N6" i="458"/>
  <c r="K5" i="458"/>
  <c r="C25" i="458" l="1"/>
  <c r="N39" i="457"/>
  <c r="C37" i="457"/>
  <c r="N35" i="457"/>
  <c r="N37" i="457" s="1"/>
  <c r="N30" i="457"/>
  <c r="K30" i="457"/>
  <c r="O27" i="457"/>
  <c r="M27" i="457"/>
  <c r="J27" i="457"/>
  <c r="Q26" i="457"/>
  <c r="J26" i="457"/>
  <c r="Q25" i="457"/>
  <c r="N25" i="457"/>
  <c r="J25" i="457"/>
  <c r="M24" i="457"/>
  <c r="L24" i="457"/>
  <c r="Q23" i="457"/>
  <c r="O23" i="457"/>
  <c r="M23" i="457"/>
  <c r="N22" i="457"/>
  <c r="M22" i="457"/>
  <c r="J22" i="457"/>
  <c r="G22" i="457"/>
  <c r="C22" i="457"/>
  <c r="O21" i="457"/>
  <c r="J21" i="457"/>
  <c r="J20" i="457"/>
  <c r="J19" i="457"/>
  <c r="Q17" i="457"/>
  <c r="O17" i="457"/>
  <c r="J17" i="457"/>
  <c r="I17" i="457"/>
  <c r="M16" i="457"/>
  <c r="K15" i="457"/>
  <c r="J15" i="457"/>
  <c r="P14" i="457"/>
  <c r="N14" i="457"/>
  <c r="K14" i="457"/>
  <c r="N13" i="457"/>
  <c r="N16" i="457" s="1"/>
  <c r="K13" i="457"/>
  <c r="J13" i="457"/>
  <c r="K12" i="457"/>
  <c r="M11" i="457"/>
  <c r="K11" i="457"/>
  <c r="M10" i="457"/>
  <c r="J10" i="457"/>
  <c r="K8" i="457"/>
  <c r="N6" i="457"/>
  <c r="K5" i="457"/>
  <c r="C25" i="457" l="1"/>
  <c r="N39" i="456"/>
  <c r="N37" i="456"/>
  <c r="C37" i="456"/>
  <c r="N35" i="456"/>
  <c r="N30" i="456"/>
  <c r="K30" i="456"/>
  <c r="O27" i="456"/>
  <c r="M27" i="456"/>
  <c r="Q26" i="456"/>
  <c r="J26" i="456"/>
  <c r="J27" i="456" s="1"/>
  <c r="Q25" i="456"/>
  <c r="N25" i="456"/>
  <c r="J25" i="456"/>
  <c r="M24" i="456"/>
  <c r="L24" i="456"/>
  <c r="Q23" i="456"/>
  <c r="O23" i="456"/>
  <c r="N22" i="456"/>
  <c r="M22" i="456"/>
  <c r="M23" i="456" s="1"/>
  <c r="J22" i="456"/>
  <c r="G22" i="456"/>
  <c r="C22" i="456"/>
  <c r="O21" i="456"/>
  <c r="J21" i="456"/>
  <c r="J20" i="456"/>
  <c r="J19" i="456"/>
  <c r="Q17" i="456"/>
  <c r="O17" i="456"/>
  <c r="J17" i="456"/>
  <c r="I17" i="456"/>
  <c r="M16" i="456"/>
  <c r="K15" i="456"/>
  <c r="J15" i="456"/>
  <c r="P14" i="456"/>
  <c r="N14" i="456"/>
  <c r="K14" i="456"/>
  <c r="N13" i="456"/>
  <c r="N16" i="456" s="1"/>
  <c r="K13" i="456"/>
  <c r="J13" i="456"/>
  <c r="K12" i="456"/>
  <c r="M11" i="456"/>
  <c r="K11" i="456"/>
  <c r="M10" i="456"/>
  <c r="J10" i="456"/>
  <c r="K8" i="456"/>
  <c r="N6" i="456"/>
  <c r="K5" i="456"/>
  <c r="C25" i="456" l="1"/>
  <c r="N39" i="455"/>
  <c r="N37" i="455"/>
  <c r="C37" i="455"/>
  <c r="N35" i="455"/>
  <c r="N30" i="455"/>
  <c r="K30" i="455"/>
  <c r="O27" i="455"/>
  <c r="M27" i="455"/>
  <c r="Q26" i="455"/>
  <c r="J26" i="455"/>
  <c r="J27" i="455" s="1"/>
  <c r="Q25" i="455"/>
  <c r="N25" i="455"/>
  <c r="J25" i="455"/>
  <c r="M24" i="455"/>
  <c r="L24" i="455"/>
  <c r="Q23" i="455"/>
  <c r="O23" i="455"/>
  <c r="N22" i="455"/>
  <c r="M22" i="455"/>
  <c r="M23" i="455" s="1"/>
  <c r="J22" i="455"/>
  <c r="G22" i="455"/>
  <c r="C22" i="455"/>
  <c r="O21" i="455"/>
  <c r="J21" i="455"/>
  <c r="J20" i="455"/>
  <c r="J19" i="455"/>
  <c r="Q17" i="455"/>
  <c r="O17" i="455"/>
  <c r="J17" i="455"/>
  <c r="I17" i="455"/>
  <c r="M16" i="455"/>
  <c r="K15" i="455"/>
  <c r="J15" i="455"/>
  <c r="P14" i="455"/>
  <c r="N14" i="455"/>
  <c r="K14" i="455"/>
  <c r="N13" i="455"/>
  <c r="N16" i="455" s="1"/>
  <c r="K13" i="455"/>
  <c r="J13" i="455"/>
  <c r="K12" i="455"/>
  <c r="M11" i="455"/>
  <c r="K11" i="455"/>
  <c r="M10" i="455"/>
  <c r="J10" i="455"/>
  <c r="K8" i="455"/>
  <c r="N6" i="455"/>
  <c r="K5" i="455"/>
  <c r="C25" i="455" l="1"/>
  <c r="N39" i="454"/>
  <c r="N37" i="454"/>
  <c r="C37" i="454"/>
  <c r="N35" i="454"/>
  <c r="N30" i="454"/>
  <c r="K30" i="454"/>
  <c r="O27" i="454"/>
  <c r="M27" i="454"/>
  <c r="J27" i="454"/>
  <c r="Q26" i="454"/>
  <c r="J26" i="454"/>
  <c r="Q25" i="454"/>
  <c r="N25" i="454"/>
  <c r="J25" i="454"/>
  <c r="M24" i="454"/>
  <c r="L24" i="454"/>
  <c r="Q23" i="454"/>
  <c r="O23" i="454"/>
  <c r="M23" i="454"/>
  <c r="N22" i="454"/>
  <c r="M22" i="454"/>
  <c r="J22" i="454"/>
  <c r="G22" i="454"/>
  <c r="C22" i="454"/>
  <c r="O21" i="454"/>
  <c r="J21" i="454"/>
  <c r="J20" i="454"/>
  <c r="J19" i="454"/>
  <c r="Q17" i="454"/>
  <c r="O17" i="454"/>
  <c r="J17" i="454"/>
  <c r="I17" i="454"/>
  <c r="M16" i="454"/>
  <c r="K15" i="454"/>
  <c r="J15" i="454"/>
  <c r="P14" i="454"/>
  <c r="N14" i="454"/>
  <c r="K14" i="454"/>
  <c r="N13" i="454"/>
  <c r="N16" i="454" s="1"/>
  <c r="K13" i="454"/>
  <c r="J13" i="454"/>
  <c r="K12" i="454"/>
  <c r="M11" i="454"/>
  <c r="K11" i="454"/>
  <c r="M10" i="454"/>
  <c r="J10" i="454"/>
  <c r="K8" i="454"/>
  <c r="N6" i="454"/>
  <c r="K5" i="454"/>
  <c r="C25" i="454" l="1"/>
  <c r="C22" i="453"/>
  <c r="I17" i="453"/>
  <c r="N39" i="453" l="1"/>
  <c r="N37" i="453"/>
  <c r="C37" i="453"/>
  <c r="N35" i="453"/>
  <c r="N30" i="453"/>
  <c r="K30" i="453"/>
  <c r="O27" i="453"/>
  <c r="M27" i="453"/>
  <c r="Q26" i="453"/>
  <c r="J26" i="453"/>
  <c r="J27" i="453" s="1"/>
  <c r="Q25" i="453"/>
  <c r="N25" i="453"/>
  <c r="J25" i="453"/>
  <c r="M24" i="453"/>
  <c r="L24" i="453"/>
  <c r="Q23" i="453"/>
  <c r="O23" i="453"/>
  <c r="N22" i="453"/>
  <c r="M22" i="453"/>
  <c r="M23" i="453" s="1"/>
  <c r="J22" i="453"/>
  <c r="G22" i="453"/>
  <c r="O21" i="453"/>
  <c r="J21" i="453"/>
  <c r="J20" i="453"/>
  <c r="J19" i="453"/>
  <c r="Q17" i="453"/>
  <c r="O17" i="453"/>
  <c r="J17" i="453"/>
  <c r="M16" i="453"/>
  <c r="K15" i="453"/>
  <c r="J15" i="453"/>
  <c r="P14" i="453"/>
  <c r="N14" i="453"/>
  <c r="K14" i="453"/>
  <c r="N13" i="453"/>
  <c r="N16" i="453" s="1"/>
  <c r="K13" i="453"/>
  <c r="J13" i="453"/>
  <c r="K12" i="453"/>
  <c r="M11" i="453"/>
  <c r="K11" i="453"/>
  <c r="M10" i="453"/>
  <c r="J10" i="453"/>
  <c r="K8" i="453"/>
  <c r="N6" i="453"/>
  <c r="K5" i="453"/>
  <c r="C25" i="453" l="1"/>
  <c r="N39" i="452"/>
  <c r="N37" i="452"/>
  <c r="C37" i="452"/>
  <c r="N35" i="452"/>
  <c r="N30" i="452"/>
  <c r="K30" i="452"/>
  <c r="O27" i="452"/>
  <c r="M27" i="452"/>
  <c r="Q26" i="452"/>
  <c r="J26" i="452"/>
  <c r="J27" i="452" s="1"/>
  <c r="Q25" i="452"/>
  <c r="N25" i="452"/>
  <c r="J25" i="452"/>
  <c r="M24" i="452"/>
  <c r="L24" i="452"/>
  <c r="Q23" i="452"/>
  <c r="O23" i="452"/>
  <c r="N22" i="452"/>
  <c r="M22" i="452"/>
  <c r="M23" i="452" s="1"/>
  <c r="J22" i="452"/>
  <c r="G22" i="452"/>
  <c r="C22" i="452"/>
  <c r="O21" i="452"/>
  <c r="J21" i="452"/>
  <c r="J20" i="452"/>
  <c r="J19" i="452"/>
  <c r="Q17" i="452"/>
  <c r="O17" i="452"/>
  <c r="J17" i="452"/>
  <c r="N16" i="452"/>
  <c r="M16" i="452"/>
  <c r="K15" i="452"/>
  <c r="J15" i="452"/>
  <c r="P14" i="452"/>
  <c r="N14" i="452"/>
  <c r="K14" i="452"/>
  <c r="N13" i="452"/>
  <c r="K13" i="452"/>
  <c r="J13" i="452"/>
  <c r="K12" i="452"/>
  <c r="M11" i="452"/>
  <c r="K11" i="452"/>
  <c r="M10" i="452"/>
  <c r="J10" i="452"/>
  <c r="K8" i="452"/>
  <c r="N6" i="452"/>
  <c r="K5" i="452"/>
  <c r="C25" i="452" l="1"/>
  <c r="N39" i="451"/>
  <c r="N37" i="451"/>
  <c r="C37" i="451"/>
  <c r="N35" i="451"/>
  <c r="N30" i="451"/>
  <c r="K30" i="451"/>
  <c r="O27" i="451"/>
  <c r="M27" i="451"/>
  <c r="Q26" i="451"/>
  <c r="J26" i="451"/>
  <c r="J27" i="451" s="1"/>
  <c r="Q25" i="451"/>
  <c r="N25" i="451"/>
  <c r="J25" i="451"/>
  <c r="M24" i="451"/>
  <c r="L24" i="451"/>
  <c r="Q23" i="451"/>
  <c r="O23" i="451"/>
  <c r="N22" i="451"/>
  <c r="M22" i="451"/>
  <c r="M23" i="451" s="1"/>
  <c r="J22" i="451"/>
  <c r="G22" i="451"/>
  <c r="C22" i="451"/>
  <c r="O21" i="451"/>
  <c r="J21" i="451"/>
  <c r="J20" i="451"/>
  <c r="J19" i="451"/>
  <c r="Q17" i="451"/>
  <c r="O17" i="451"/>
  <c r="J17" i="451"/>
  <c r="N16" i="451"/>
  <c r="M16" i="451"/>
  <c r="K15" i="451"/>
  <c r="J15" i="451"/>
  <c r="P14" i="451"/>
  <c r="N14" i="451"/>
  <c r="K14" i="451"/>
  <c r="N13" i="451"/>
  <c r="K13" i="451"/>
  <c r="J13" i="451"/>
  <c r="K12" i="451"/>
  <c r="M11" i="451"/>
  <c r="K11" i="451"/>
  <c r="M10" i="451"/>
  <c r="J10" i="451"/>
  <c r="K8" i="451"/>
  <c r="N6" i="451"/>
  <c r="K5" i="451"/>
  <c r="C25" i="451" l="1"/>
  <c r="N39" i="450"/>
  <c r="N37" i="450"/>
  <c r="C37" i="450"/>
  <c r="N35" i="450"/>
  <c r="N30" i="450"/>
  <c r="K30" i="450"/>
  <c r="O27" i="450"/>
  <c r="M27" i="450"/>
  <c r="Q26" i="450"/>
  <c r="J26" i="450"/>
  <c r="J27" i="450" s="1"/>
  <c r="Q25" i="450"/>
  <c r="N25" i="450"/>
  <c r="J25" i="450"/>
  <c r="M24" i="450"/>
  <c r="L24" i="450"/>
  <c r="Q23" i="450"/>
  <c r="O23" i="450"/>
  <c r="N22" i="450"/>
  <c r="M22" i="450"/>
  <c r="M23" i="450" s="1"/>
  <c r="J22" i="450"/>
  <c r="G22" i="450"/>
  <c r="C22" i="450"/>
  <c r="O21" i="450"/>
  <c r="J21" i="450"/>
  <c r="J20" i="450"/>
  <c r="J19" i="450"/>
  <c r="Q17" i="450"/>
  <c r="O17" i="450"/>
  <c r="J17" i="450"/>
  <c r="M16" i="450"/>
  <c r="K15" i="450"/>
  <c r="J15" i="450"/>
  <c r="P14" i="450"/>
  <c r="N14" i="450"/>
  <c r="N16" i="450" s="1"/>
  <c r="K14" i="450"/>
  <c r="N13" i="450"/>
  <c r="K13" i="450"/>
  <c r="J13" i="450"/>
  <c r="K12" i="450"/>
  <c r="M11" i="450"/>
  <c r="K11" i="450"/>
  <c r="M10" i="450"/>
  <c r="J10" i="450"/>
  <c r="K8" i="450"/>
  <c r="N6" i="450"/>
  <c r="K5" i="450"/>
  <c r="C25" i="450" l="1"/>
  <c r="N39" i="449"/>
  <c r="N37" i="449"/>
  <c r="C37" i="449"/>
  <c r="N35" i="449"/>
  <c r="N30" i="449"/>
  <c r="K30" i="449"/>
  <c r="O27" i="449"/>
  <c r="M27" i="449"/>
  <c r="J27" i="449"/>
  <c r="Q26" i="449"/>
  <c r="J26" i="449"/>
  <c r="Q25" i="449"/>
  <c r="N25" i="449"/>
  <c r="J25" i="449"/>
  <c r="M24" i="449"/>
  <c r="L24" i="449"/>
  <c r="Q23" i="449"/>
  <c r="O23" i="449"/>
  <c r="M23" i="449"/>
  <c r="N22" i="449"/>
  <c r="M22" i="449"/>
  <c r="J22" i="449"/>
  <c r="G22" i="449"/>
  <c r="C22" i="449"/>
  <c r="O21" i="449"/>
  <c r="J21" i="449"/>
  <c r="J20" i="449"/>
  <c r="J19" i="449"/>
  <c r="Q17" i="449"/>
  <c r="O17" i="449"/>
  <c r="J17" i="449"/>
  <c r="N16" i="449"/>
  <c r="M16" i="449"/>
  <c r="K15" i="449"/>
  <c r="J15" i="449"/>
  <c r="P14" i="449"/>
  <c r="N14" i="449"/>
  <c r="K14" i="449"/>
  <c r="N13" i="449"/>
  <c r="K13" i="449"/>
  <c r="J13" i="449"/>
  <c r="K12" i="449"/>
  <c r="M11" i="449"/>
  <c r="K11" i="449"/>
  <c r="M10" i="449"/>
  <c r="J10" i="449"/>
  <c r="K8" i="449"/>
  <c r="N6" i="449"/>
  <c r="K5" i="449"/>
  <c r="C25" i="449" l="1"/>
  <c r="C4" i="448"/>
  <c r="N39" i="448"/>
  <c r="N37" i="448"/>
  <c r="C37" i="448"/>
  <c r="N35" i="448"/>
  <c r="N30" i="448"/>
  <c r="K30" i="448"/>
  <c r="O27" i="448"/>
  <c r="M27" i="448"/>
  <c r="J27" i="448"/>
  <c r="Q26" i="448"/>
  <c r="J26" i="448"/>
  <c r="Q25" i="448"/>
  <c r="N25" i="448"/>
  <c r="J25" i="448"/>
  <c r="M24" i="448"/>
  <c r="L24" i="448"/>
  <c r="Q23" i="448"/>
  <c r="O23" i="448"/>
  <c r="M23" i="448"/>
  <c r="N22" i="448"/>
  <c r="M22" i="448"/>
  <c r="J22" i="448"/>
  <c r="G22" i="448"/>
  <c r="C22" i="448"/>
  <c r="O21" i="448"/>
  <c r="J21" i="448"/>
  <c r="J20" i="448"/>
  <c r="J19" i="448"/>
  <c r="Q17" i="448"/>
  <c r="O17" i="448"/>
  <c r="J17" i="448"/>
  <c r="N16" i="448"/>
  <c r="M16" i="448"/>
  <c r="K15" i="448"/>
  <c r="J15" i="448"/>
  <c r="P14" i="448"/>
  <c r="N14" i="448"/>
  <c r="K14" i="448"/>
  <c r="N13" i="448"/>
  <c r="K13" i="448"/>
  <c r="J13" i="448"/>
  <c r="K12" i="448"/>
  <c r="M11" i="448"/>
  <c r="K11" i="448"/>
  <c r="M10" i="448"/>
  <c r="J10" i="448"/>
  <c r="K8" i="448"/>
  <c r="N6" i="448"/>
  <c r="K5" i="448"/>
  <c r="C25" i="448" l="1"/>
  <c r="N39" i="447"/>
  <c r="N37" i="447"/>
  <c r="C37" i="447"/>
  <c r="N35" i="447"/>
  <c r="N30" i="447"/>
  <c r="K30" i="447"/>
  <c r="O27" i="447"/>
  <c r="M27" i="447"/>
  <c r="Q26" i="447"/>
  <c r="J26" i="447"/>
  <c r="J27" i="447" s="1"/>
  <c r="Q25" i="447"/>
  <c r="N25" i="447"/>
  <c r="J25" i="447"/>
  <c r="M24" i="447"/>
  <c r="L24" i="447"/>
  <c r="Q23" i="447"/>
  <c r="O23" i="447"/>
  <c r="N22" i="447"/>
  <c r="M22" i="447"/>
  <c r="M23" i="447" s="1"/>
  <c r="J22" i="447"/>
  <c r="G22" i="447"/>
  <c r="C22" i="447"/>
  <c r="O21" i="447"/>
  <c r="J21" i="447"/>
  <c r="J20" i="447"/>
  <c r="J19" i="447"/>
  <c r="Q17" i="447"/>
  <c r="O17" i="447"/>
  <c r="J17" i="447"/>
  <c r="M16" i="447"/>
  <c r="K15" i="447"/>
  <c r="J15" i="447"/>
  <c r="P14" i="447"/>
  <c r="N14" i="447"/>
  <c r="N16" i="447" s="1"/>
  <c r="K14" i="447"/>
  <c r="N13" i="447"/>
  <c r="K13" i="447"/>
  <c r="J13" i="447"/>
  <c r="K12" i="447"/>
  <c r="M11" i="447"/>
  <c r="K11" i="447"/>
  <c r="M10" i="447"/>
  <c r="J10" i="447"/>
  <c r="K8" i="447"/>
  <c r="N6" i="447"/>
  <c r="K5" i="447"/>
  <c r="C25" i="447" l="1"/>
  <c r="N39" i="446"/>
  <c r="N37" i="446"/>
  <c r="C37" i="446"/>
  <c r="N35" i="446"/>
  <c r="N30" i="446"/>
  <c r="K30" i="446"/>
  <c r="O27" i="446"/>
  <c r="M27" i="446"/>
  <c r="J27" i="446"/>
  <c r="Q26" i="446"/>
  <c r="J26" i="446"/>
  <c r="Q25" i="446"/>
  <c r="N25" i="446"/>
  <c r="J25" i="446"/>
  <c r="M24" i="446"/>
  <c r="L24" i="446"/>
  <c r="Q23" i="446"/>
  <c r="O23" i="446"/>
  <c r="M23" i="446"/>
  <c r="N22" i="446"/>
  <c r="M22" i="446"/>
  <c r="J22" i="446"/>
  <c r="G22" i="446"/>
  <c r="C22" i="446"/>
  <c r="O21" i="446"/>
  <c r="J21" i="446"/>
  <c r="J20" i="446"/>
  <c r="J19" i="446"/>
  <c r="Q17" i="446"/>
  <c r="O17" i="446"/>
  <c r="J17" i="446"/>
  <c r="N16" i="446"/>
  <c r="M16" i="446"/>
  <c r="K15" i="446"/>
  <c r="J15" i="446"/>
  <c r="P14" i="446"/>
  <c r="N14" i="446"/>
  <c r="K14" i="446"/>
  <c r="N13" i="446"/>
  <c r="K13" i="446"/>
  <c r="J13" i="446"/>
  <c r="K12" i="446"/>
  <c r="M11" i="446"/>
  <c r="K11" i="446"/>
  <c r="M10" i="446"/>
  <c r="J10" i="446"/>
  <c r="K8" i="446"/>
  <c r="N6" i="446"/>
  <c r="K5" i="446"/>
  <c r="C25" i="446" l="1"/>
  <c r="N39" i="445"/>
  <c r="N37" i="445"/>
  <c r="C37" i="445"/>
  <c r="N35" i="445"/>
  <c r="N30" i="445"/>
  <c r="K30" i="445"/>
  <c r="O27" i="445"/>
  <c r="M27" i="445"/>
  <c r="Q26" i="445"/>
  <c r="J26" i="445"/>
  <c r="J27" i="445" s="1"/>
  <c r="Q25" i="445"/>
  <c r="N25" i="445"/>
  <c r="J25" i="445"/>
  <c r="M24" i="445"/>
  <c r="L24" i="445"/>
  <c r="Q23" i="445"/>
  <c r="O23" i="445"/>
  <c r="N22" i="445"/>
  <c r="M22" i="445"/>
  <c r="M23" i="445" s="1"/>
  <c r="J22" i="445"/>
  <c r="G22" i="445"/>
  <c r="C22" i="445"/>
  <c r="O21" i="445"/>
  <c r="J21" i="445"/>
  <c r="J20" i="445"/>
  <c r="J19" i="445"/>
  <c r="Q17" i="445"/>
  <c r="O17" i="445"/>
  <c r="J17" i="445"/>
  <c r="N16" i="445"/>
  <c r="M16" i="445"/>
  <c r="K15" i="445"/>
  <c r="J15" i="445"/>
  <c r="P14" i="445"/>
  <c r="N14" i="445"/>
  <c r="K14" i="445"/>
  <c r="N13" i="445"/>
  <c r="K13" i="445"/>
  <c r="J13" i="445"/>
  <c r="K12" i="445"/>
  <c r="M11" i="445"/>
  <c r="K11" i="445"/>
  <c r="M10" i="445"/>
  <c r="J10" i="445"/>
  <c r="K8" i="445"/>
  <c r="N6" i="445"/>
  <c r="K5" i="445"/>
  <c r="C25" i="445" l="1"/>
  <c r="N39" i="444"/>
  <c r="N37" i="444"/>
  <c r="C37" i="444"/>
  <c r="N35" i="444"/>
  <c r="N30" i="444"/>
  <c r="K30" i="444"/>
  <c r="O27" i="444"/>
  <c r="M27" i="444"/>
  <c r="Q26" i="444"/>
  <c r="J26" i="444"/>
  <c r="J27" i="444" s="1"/>
  <c r="Q25" i="444"/>
  <c r="N25" i="444"/>
  <c r="J25" i="444"/>
  <c r="M24" i="444"/>
  <c r="L24" i="444"/>
  <c r="Q23" i="444"/>
  <c r="O23" i="444"/>
  <c r="N22" i="444"/>
  <c r="M22" i="444"/>
  <c r="M23" i="444" s="1"/>
  <c r="J22" i="444"/>
  <c r="G22" i="444"/>
  <c r="C22" i="444"/>
  <c r="O21" i="444"/>
  <c r="J21" i="444"/>
  <c r="J20" i="444"/>
  <c r="J19" i="444"/>
  <c r="Q17" i="444"/>
  <c r="O17" i="444"/>
  <c r="J17" i="444"/>
  <c r="N16" i="444"/>
  <c r="M16" i="444"/>
  <c r="K15" i="444"/>
  <c r="J15" i="444"/>
  <c r="P14" i="444"/>
  <c r="N14" i="444"/>
  <c r="K14" i="444"/>
  <c r="N13" i="444"/>
  <c r="K13" i="444"/>
  <c r="J13" i="444"/>
  <c r="K12" i="444"/>
  <c r="M11" i="444"/>
  <c r="K11" i="444"/>
  <c r="M10" i="444"/>
  <c r="J10" i="444"/>
  <c r="K8" i="444"/>
  <c r="N6" i="444"/>
  <c r="K5" i="444"/>
  <c r="C25" i="444" l="1"/>
  <c r="N39" i="443"/>
  <c r="N37" i="443"/>
  <c r="C37" i="443"/>
  <c r="N35" i="443"/>
  <c r="N30" i="443"/>
  <c r="K30" i="443"/>
  <c r="O27" i="443"/>
  <c r="M27" i="443"/>
  <c r="Q26" i="443"/>
  <c r="J26" i="443"/>
  <c r="J27" i="443" s="1"/>
  <c r="Q25" i="443"/>
  <c r="N25" i="443"/>
  <c r="J25" i="443"/>
  <c r="M24" i="443"/>
  <c r="L24" i="443"/>
  <c r="Q23" i="443"/>
  <c r="O23" i="443"/>
  <c r="N22" i="443"/>
  <c r="M22" i="443"/>
  <c r="M23" i="443" s="1"/>
  <c r="J22" i="443"/>
  <c r="G22" i="443"/>
  <c r="C22" i="443"/>
  <c r="O21" i="443"/>
  <c r="J21" i="443"/>
  <c r="J20" i="443"/>
  <c r="J19" i="443"/>
  <c r="Q17" i="443"/>
  <c r="O17" i="443"/>
  <c r="J17" i="443"/>
  <c r="M16" i="443"/>
  <c r="K15" i="443"/>
  <c r="J15" i="443"/>
  <c r="P14" i="443"/>
  <c r="N14" i="443"/>
  <c r="N16" i="443" s="1"/>
  <c r="K14" i="443"/>
  <c r="N13" i="443"/>
  <c r="K13" i="443"/>
  <c r="J13" i="443"/>
  <c r="K12" i="443"/>
  <c r="M11" i="443"/>
  <c r="K11" i="443"/>
  <c r="M10" i="443"/>
  <c r="J10" i="443"/>
  <c r="K8" i="443"/>
  <c r="N6" i="443"/>
  <c r="K5" i="443"/>
  <c r="C25" i="443" l="1"/>
  <c r="N39" i="442"/>
  <c r="N37" i="442"/>
  <c r="C37" i="442"/>
  <c r="N35" i="442"/>
  <c r="N30" i="442"/>
  <c r="K30" i="442"/>
  <c r="O27" i="442"/>
  <c r="M27" i="442"/>
  <c r="J27" i="442"/>
  <c r="Q26" i="442"/>
  <c r="J26" i="442"/>
  <c r="Q25" i="442"/>
  <c r="N25" i="442"/>
  <c r="J25" i="442"/>
  <c r="M24" i="442"/>
  <c r="L24" i="442"/>
  <c r="Q23" i="442"/>
  <c r="O23" i="442"/>
  <c r="M23" i="442"/>
  <c r="N22" i="442"/>
  <c r="M22" i="442"/>
  <c r="J22" i="442"/>
  <c r="G22" i="442"/>
  <c r="C22" i="442"/>
  <c r="O21" i="442"/>
  <c r="J21" i="442"/>
  <c r="J20" i="442"/>
  <c r="J19" i="442"/>
  <c r="Q17" i="442"/>
  <c r="O17" i="442"/>
  <c r="J17" i="442"/>
  <c r="N16" i="442"/>
  <c r="M16" i="442"/>
  <c r="K15" i="442"/>
  <c r="J15" i="442"/>
  <c r="P14" i="442"/>
  <c r="N14" i="442"/>
  <c r="K14" i="442"/>
  <c r="N13" i="442"/>
  <c r="K13" i="442"/>
  <c r="J13" i="442"/>
  <c r="K12" i="442"/>
  <c r="M11" i="442"/>
  <c r="K11" i="442"/>
  <c r="M10" i="442"/>
  <c r="J10" i="442"/>
  <c r="K8" i="442"/>
  <c r="N6" i="442"/>
  <c r="K5" i="442"/>
  <c r="C25" i="442" l="1"/>
  <c r="N39" i="441"/>
  <c r="N37" i="441"/>
  <c r="C37" i="441"/>
  <c r="N35" i="441"/>
  <c r="N30" i="441"/>
  <c r="K30" i="441"/>
  <c r="O27" i="441"/>
  <c r="M27" i="441"/>
  <c r="Q26" i="441"/>
  <c r="J26" i="441"/>
  <c r="J27" i="441" s="1"/>
  <c r="Q25" i="441"/>
  <c r="N25" i="441"/>
  <c r="J25" i="441"/>
  <c r="M24" i="441"/>
  <c r="L24" i="441"/>
  <c r="Q23" i="441"/>
  <c r="O23" i="441"/>
  <c r="N22" i="441"/>
  <c r="M22" i="441"/>
  <c r="M23" i="441" s="1"/>
  <c r="J22" i="441"/>
  <c r="G22" i="441"/>
  <c r="O21" i="441"/>
  <c r="J21" i="441"/>
  <c r="J20" i="441"/>
  <c r="J19" i="441"/>
  <c r="Q17" i="441"/>
  <c r="O17" i="441"/>
  <c r="J17" i="441"/>
  <c r="M16" i="441"/>
  <c r="K15" i="441"/>
  <c r="J15" i="441"/>
  <c r="P14" i="441"/>
  <c r="N14" i="441"/>
  <c r="N16" i="441" s="1"/>
  <c r="K14" i="441"/>
  <c r="N13" i="441"/>
  <c r="K13" i="441"/>
  <c r="J13" i="441"/>
  <c r="K12" i="441"/>
  <c r="M11" i="441"/>
  <c r="K11" i="441"/>
  <c r="M10" i="441"/>
  <c r="J10" i="441"/>
  <c r="K8" i="441"/>
  <c r="N6" i="441"/>
  <c r="K5" i="441"/>
  <c r="C22" i="441"/>
  <c r="C25" i="441" l="1"/>
  <c r="C4" i="440"/>
  <c r="N39" i="440"/>
  <c r="N37" i="440"/>
  <c r="C37" i="440"/>
  <c r="N35" i="440"/>
  <c r="N30" i="440"/>
  <c r="K30" i="440"/>
  <c r="O27" i="440"/>
  <c r="M27" i="440"/>
  <c r="Q26" i="440"/>
  <c r="J26" i="440"/>
  <c r="J27" i="440" s="1"/>
  <c r="Q25" i="440"/>
  <c r="N25" i="440"/>
  <c r="J25" i="440"/>
  <c r="M24" i="440"/>
  <c r="L24" i="440"/>
  <c r="Q23" i="440"/>
  <c r="O23" i="440"/>
  <c r="N22" i="440"/>
  <c r="M22" i="440"/>
  <c r="M23" i="440" s="1"/>
  <c r="J22" i="440"/>
  <c r="G22" i="440"/>
  <c r="C22" i="440"/>
  <c r="O21" i="440"/>
  <c r="J21" i="440"/>
  <c r="J20" i="440"/>
  <c r="J19" i="440"/>
  <c r="Q17" i="440"/>
  <c r="O17" i="440"/>
  <c r="J17" i="440"/>
  <c r="N16" i="440"/>
  <c r="M16" i="440"/>
  <c r="K15" i="440"/>
  <c r="J15" i="440"/>
  <c r="P14" i="440"/>
  <c r="N14" i="440"/>
  <c r="K14" i="440"/>
  <c r="N13" i="440"/>
  <c r="K13" i="440"/>
  <c r="J13" i="440"/>
  <c r="K12" i="440"/>
  <c r="M11" i="440"/>
  <c r="K11" i="440"/>
  <c r="M10" i="440"/>
  <c r="J10" i="440"/>
  <c r="K8" i="440"/>
  <c r="N6" i="440"/>
  <c r="K5" i="440"/>
  <c r="C25" i="440" l="1"/>
  <c r="N39" i="439"/>
  <c r="N37" i="439"/>
  <c r="C37" i="439"/>
  <c r="N35" i="439"/>
  <c r="N30" i="439"/>
  <c r="K30" i="439"/>
  <c r="O27" i="439"/>
  <c r="M27" i="439"/>
  <c r="Q26" i="439"/>
  <c r="J26" i="439"/>
  <c r="J27" i="439" s="1"/>
  <c r="Q25" i="439"/>
  <c r="N25" i="439"/>
  <c r="J25" i="439"/>
  <c r="M24" i="439"/>
  <c r="L24" i="439"/>
  <c r="Q23" i="439"/>
  <c r="O23" i="439"/>
  <c r="N22" i="439"/>
  <c r="M22" i="439"/>
  <c r="M23" i="439" s="1"/>
  <c r="J22" i="439"/>
  <c r="G22" i="439"/>
  <c r="C22" i="439"/>
  <c r="O21" i="439"/>
  <c r="J21" i="439"/>
  <c r="J20" i="439"/>
  <c r="J19" i="439"/>
  <c r="Q17" i="439"/>
  <c r="O17" i="439"/>
  <c r="J17" i="439"/>
  <c r="M16" i="439"/>
  <c r="K15" i="439"/>
  <c r="J15" i="439"/>
  <c r="P14" i="439"/>
  <c r="N14" i="439"/>
  <c r="N16" i="439" s="1"/>
  <c r="K14" i="439"/>
  <c r="N13" i="439"/>
  <c r="K13" i="439"/>
  <c r="J13" i="439"/>
  <c r="K12" i="439"/>
  <c r="M11" i="439"/>
  <c r="K11" i="439"/>
  <c r="M10" i="439"/>
  <c r="J10" i="439"/>
  <c r="K8" i="439"/>
  <c r="N6" i="439"/>
  <c r="K5" i="439"/>
  <c r="C25" i="439" l="1"/>
  <c r="N39" i="438"/>
  <c r="N37" i="438"/>
  <c r="C37" i="438"/>
  <c r="N35" i="438"/>
  <c r="N30" i="438"/>
  <c r="K30" i="438"/>
  <c r="O27" i="438"/>
  <c r="M27" i="438"/>
  <c r="Q26" i="438"/>
  <c r="J26" i="438"/>
  <c r="J27" i="438" s="1"/>
  <c r="Q25" i="438"/>
  <c r="N25" i="438"/>
  <c r="J25" i="438"/>
  <c r="M24" i="438"/>
  <c r="L24" i="438"/>
  <c r="Q23" i="438"/>
  <c r="O23" i="438"/>
  <c r="N22" i="438"/>
  <c r="M22" i="438"/>
  <c r="M23" i="438" s="1"/>
  <c r="J22" i="438"/>
  <c r="G22" i="438"/>
  <c r="C22" i="438"/>
  <c r="O21" i="438"/>
  <c r="J21" i="438"/>
  <c r="J20" i="438"/>
  <c r="J19" i="438"/>
  <c r="Q17" i="438"/>
  <c r="O17" i="438"/>
  <c r="J17" i="438"/>
  <c r="N16" i="438"/>
  <c r="M16" i="438"/>
  <c r="K15" i="438"/>
  <c r="J15" i="438"/>
  <c r="P14" i="438"/>
  <c r="N14" i="438"/>
  <c r="K14" i="438"/>
  <c r="N13" i="438"/>
  <c r="K13" i="438"/>
  <c r="J13" i="438"/>
  <c r="K12" i="438"/>
  <c r="M11" i="438"/>
  <c r="K11" i="438"/>
  <c r="M10" i="438"/>
  <c r="J10" i="438"/>
  <c r="K8" i="438"/>
  <c r="N6" i="438"/>
  <c r="K5" i="438"/>
  <c r="C25" i="438" l="1"/>
  <c r="N39" i="437"/>
  <c r="N37" i="437"/>
  <c r="C37" i="437"/>
  <c r="N35" i="437"/>
  <c r="N30" i="437"/>
  <c r="K30" i="437"/>
  <c r="O27" i="437"/>
  <c r="M27" i="437"/>
  <c r="Q26" i="437"/>
  <c r="J26" i="437"/>
  <c r="J27" i="437" s="1"/>
  <c r="Q25" i="437"/>
  <c r="N25" i="437"/>
  <c r="J25" i="437"/>
  <c r="M24" i="437"/>
  <c r="L24" i="437"/>
  <c r="Q23" i="437"/>
  <c r="O23" i="437"/>
  <c r="N22" i="437"/>
  <c r="M22" i="437"/>
  <c r="M23" i="437" s="1"/>
  <c r="J22" i="437"/>
  <c r="G22" i="437"/>
  <c r="C22" i="437"/>
  <c r="O21" i="437"/>
  <c r="J21" i="437"/>
  <c r="J20" i="437"/>
  <c r="J19" i="437"/>
  <c r="Q17" i="437"/>
  <c r="O17" i="437"/>
  <c r="J17" i="437"/>
  <c r="N16" i="437"/>
  <c r="M16" i="437"/>
  <c r="K15" i="437"/>
  <c r="J15" i="437"/>
  <c r="P14" i="437"/>
  <c r="N14" i="437"/>
  <c r="K14" i="437"/>
  <c r="N13" i="437"/>
  <c r="K13" i="437"/>
  <c r="J13" i="437"/>
  <c r="K12" i="437"/>
  <c r="M11" i="437"/>
  <c r="K11" i="437"/>
  <c r="M10" i="437"/>
  <c r="J10" i="437"/>
  <c r="K8" i="437"/>
  <c r="N6" i="437"/>
  <c r="K5" i="437"/>
  <c r="C25" i="437" l="1"/>
  <c r="N39" i="436"/>
  <c r="N37" i="436"/>
  <c r="C37" i="436"/>
  <c r="N35" i="436"/>
  <c r="N30" i="436"/>
  <c r="K30" i="436"/>
  <c r="O27" i="436"/>
  <c r="M27" i="436"/>
  <c r="J27" i="436"/>
  <c r="Q26" i="436"/>
  <c r="J26" i="436"/>
  <c r="Q25" i="436"/>
  <c r="N25" i="436"/>
  <c r="J25" i="436"/>
  <c r="M24" i="436"/>
  <c r="L24" i="436"/>
  <c r="Q23" i="436"/>
  <c r="O23" i="436"/>
  <c r="M23" i="436"/>
  <c r="N22" i="436"/>
  <c r="M22" i="436"/>
  <c r="J22" i="436"/>
  <c r="G22" i="436"/>
  <c r="C22" i="436"/>
  <c r="O21" i="436"/>
  <c r="J21" i="436"/>
  <c r="J20" i="436"/>
  <c r="J19" i="436"/>
  <c r="Q17" i="436"/>
  <c r="O17" i="436"/>
  <c r="J17" i="436"/>
  <c r="N16" i="436"/>
  <c r="M16" i="436"/>
  <c r="K15" i="436"/>
  <c r="J15" i="436"/>
  <c r="P14" i="436"/>
  <c r="N14" i="436"/>
  <c r="K14" i="436"/>
  <c r="N13" i="436"/>
  <c r="K13" i="436"/>
  <c r="J13" i="436"/>
  <c r="K12" i="436"/>
  <c r="M11" i="436"/>
  <c r="K11" i="436"/>
  <c r="M10" i="436"/>
  <c r="J10" i="436"/>
  <c r="K8" i="436"/>
  <c r="N6" i="436"/>
  <c r="K5" i="436"/>
  <c r="C25" i="436" l="1"/>
  <c r="N39" i="435"/>
  <c r="N37" i="435"/>
  <c r="C37" i="435"/>
  <c r="N35" i="435"/>
  <c r="N30" i="435"/>
  <c r="K30" i="435"/>
  <c r="O27" i="435"/>
  <c r="M27" i="435"/>
  <c r="J27" i="435"/>
  <c r="Q26" i="435"/>
  <c r="J26" i="435"/>
  <c r="Q25" i="435"/>
  <c r="N25" i="435"/>
  <c r="J25" i="435"/>
  <c r="M24" i="435"/>
  <c r="L24" i="435"/>
  <c r="Q23" i="435"/>
  <c r="O23" i="435"/>
  <c r="M23" i="435"/>
  <c r="N22" i="435"/>
  <c r="M22" i="435"/>
  <c r="J22" i="435"/>
  <c r="G22" i="435"/>
  <c r="O21" i="435"/>
  <c r="J21" i="435"/>
  <c r="J20" i="435"/>
  <c r="J19" i="435"/>
  <c r="Q17" i="435"/>
  <c r="O17" i="435"/>
  <c r="J17" i="435"/>
  <c r="M16" i="435"/>
  <c r="K15" i="435"/>
  <c r="J15" i="435"/>
  <c r="P14" i="435"/>
  <c r="N14" i="435"/>
  <c r="K14" i="435"/>
  <c r="N13" i="435"/>
  <c r="N16" i="435" s="1"/>
  <c r="K13" i="435"/>
  <c r="J13" i="435"/>
  <c r="K12" i="435"/>
  <c r="M11" i="435"/>
  <c r="K11" i="435"/>
  <c r="M10" i="435"/>
  <c r="J10" i="435"/>
  <c r="K8" i="435"/>
  <c r="N6" i="435"/>
  <c r="K5" i="435"/>
  <c r="C22" i="435"/>
  <c r="C25" i="435" l="1"/>
  <c r="C4" i="434"/>
  <c r="N39" i="434" l="1"/>
  <c r="N37" i="434"/>
  <c r="C37" i="434"/>
  <c r="N35" i="434"/>
  <c r="N30" i="434"/>
  <c r="K30" i="434"/>
  <c r="O27" i="434"/>
  <c r="M27" i="434"/>
  <c r="Q26" i="434"/>
  <c r="J26" i="434"/>
  <c r="J27" i="434" s="1"/>
  <c r="Q25" i="434"/>
  <c r="N25" i="434"/>
  <c r="J25" i="434"/>
  <c r="M24" i="434"/>
  <c r="L24" i="434"/>
  <c r="Q23" i="434"/>
  <c r="O23" i="434"/>
  <c r="N22" i="434"/>
  <c r="M22" i="434"/>
  <c r="M23" i="434" s="1"/>
  <c r="J22" i="434"/>
  <c r="G22" i="434"/>
  <c r="C22" i="434"/>
  <c r="O21" i="434"/>
  <c r="J21" i="434"/>
  <c r="J20" i="434"/>
  <c r="J19" i="434"/>
  <c r="Q17" i="434"/>
  <c r="O17" i="434"/>
  <c r="J17" i="434"/>
  <c r="N16" i="434"/>
  <c r="M16" i="434"/>
  <c r="K15" i="434"/>
  <c r="J15" i="434"/>
  <c r="P14" i="434"/>
  <c r="N14" i="434"/>
  <c r="K14" i="434"/>
  <c r="N13" i="434"/>
  <c r="K13" i="434"/>
  <c r="J13" i="434"/>
  <c r="K12" i="434"/>
  <c r="M11" i="434"/>
  <c r="K11" i="434"/>
  <c r="M10" i="434"/>
  <c r="J10" i="434"/>
  <c r="K8" i="434"/>
  <c r="N6" i="434"/>
  <c r="K5" i="434"/>
  <c r="C25" i="434" l="1"/>
  <c r="N39" i="433"/>
  <c r="N37" i="433"/>
  <c r="C37" i="433"/>
  <c r="N35" i="433"/>
  <c r="N30" i="433"/>
  <c r="K30" i="433"/>
  <c r="O27" i="433"/>
  <c r="M27" i="433"/>
  <c r="Q26" i="433"/>
  <c r="J26" i="433"/>
  <c r="J27" i="433" s="1"/>
  <c r="Q25" i="433"/>
  <c r="N25" i="433"/>
  <c r="J25" i="433"/>
  <c r="M24" i="433"/>
  <c r="L24" i="433"/>
  <c r="Q23" i="433"/>
  <c r="O23" i="433"/>
  <c r="N22" i="433"/>
  <c r="M22" i="433"/>
  <c r="M23" i="433" s="1"/>
  <c r="J22" i="433"/>
  <c r="G22" i="433"/>
  <c r="C22" i="433"/>
  <c r="O21" i="433"/>
  <c r="J21" i="433"/>
  <c r="J20" i="433"/>
  <c r="J19" i="433"/>
  <c r="Q17" i="433"/>
  <c r="O17" i="433"/>
  <c r="J17" i="433"/>
  <c r="M16" i="433"/>
  <c r="K15" i="433"/>
  <c r="J15" i="433"/>
  <c r="P14" i="433"/>
  <c r="N14" i="433"/>
  <c r="N16" i="433" s="1"/>
  <c r="K14" i="433"/>
  <c r="N13" i="433"/>
  <c r="K13" i="433"/>
  <c r="J13" i="433"/>
  <c r="K12" i="433"/>
  <c r="M11" i="433"/>
  <c r="K11" i="433"/>
  <c r="M10" i="433"/>
  <c r="J10" i="433"/>
  <c r="K8" i="433"/>
  <c r="N6" i="433"/>
  <c r="K5" i="433"/>
  <c r="C25" i="433" l="1"/>
  <c r="N39" i="432"/>
  <c r="N37" i="432"/>
  <c r="C37" i="432"/>
  <c r="N35" i="432"/>
  <c r="N30" i="432"/>
  <c r="K30" i="432"/>
  <c r="O27" i="432"/>
  <c r="M27" i="432"/>
  <c r="Q26" i="432"/>
  <c r="J26" i="432"/>
  <c r="J27" i="432" s="1"/>
  <c r="Q25" i="432"/>
  <c r="N25" i="432"/>
  <c r="J25" i="432"/>
  <c r="M24" i="432"/>
  <c r="L24" i="432"/>
  <c r="Q23" i="432"/>
  <c r="O23" i="432"/>
  <c r="N22" i="432"/>
  <c r="M22" i="432"/>
  <c r="M23" i="432" s="1"/>
  <c r="J22" i="432"/>
  <c r="G22" i="432"/>
  <c r="C22" i="432"/>
  <c r="O21" i="432"/>
  <c r="J21" i="432"/>
  <c r="J20" i="432"/>
  <c r="J19" i="432"/>
  <c r="Q17" i="432"/>
  <c r="O17" i="432"/>
  <c r="J17" i="432"/>
  <c r="M16" i="432"/>
  <c r="K15" i="432"/>
  <c r="J15" i="432"/>
  <c r="P14" i="432"/>
  <c r="N14" i="432"/>
  <c r="N16" i="432" s="1"/>
  <c r="K14" i="432"/>
  <c r="N13" i="432"/>
  <c r="K13" i="432"/>
  <c r="J13" i="432"/>
  <c r="K12" i="432"/>
  <c r="M11" i="432"/>
  <c r="K11" i="432"/>
  <c r="M10" i="432"/>
  <c r="J10" i="432"/>
  <c r="K8" i="432"/>
  <c r="N6" i="432"/>
  <c r="K5" i="432"/>
  <c r="C25" i="432" l="1"/>
  <c r="N39" i="431"/>
  <c r="N37" i="431"/>
  <c r="C37" i="431"/>
  <c r="N35" i="431"/>
  <c r="N30" i="431"/>
  <c r="K30" i="431"/>
  <c r="O27" i="431"/>
  <c r="M27" i="431"/>
  <c r="Q26" i="431"/>
  <c r="J26" i="431"/>
  <c r="J27" i="431" s="1"/>
  <c r="Q25" i="431"/>
  <c r="N25" i="431"/>
  <c r="J25" i="431"/>
  <c r="M24" i="431"/>
  <c r="L24" i="431"/>
  <c r="Q23" i="431"/>
  <c r="O23" i="431"/>
  <c r="N22" i="431"/>
  <c r="M22" i="431"/>
  <c r="M23" i="431" s="1"/>
  <c r="J22" i="431"/>
  <c r="G22" i="431"/>
  <c r="C22" i="431"/>
  <c r="O21" i="431"/>
  <c r="J21" i="431"/>
  <c r="J20" i="431"/>
  <c r="J19" i="431"/>
  <c r="Q17" i="431"/>
  <c r="O17" i="431"/>
  <c r="J17" i="431"/>
  <c r="M16" i="431"/>
  <c r="K15" i="431"/>
  <c r="J15" i="431"/>
  <c r="P14" i="431"/>
  <c r="N14" i="431"/>
  <c r="N16" i="431" s="1"/>
  <c r="K14" i="431"/>
  <c r="N13" i="431"/>
  <c r="K13" i="431"/>
  <c r="J13" i="431"/>
  <c r="K12" i="431"/>
  <c r="M11" i="431"/>
  <c r="K11" i="431"/>
  <c r="M10" i="431"/>
  <c r="J10" i="431"/>
  <c r="K8" i="431"/>
  <c r="N6" i="431"/>
  <c r="K5" i="431"/>
  <c r="C25" i="431" l="1"/>
  <c r="N39" i="430"/>
  <c r="N37" i="430"/>
  <c r="C37" i="430"/>
  <c r="N35" i="430"/>
  <c r="N30" i="430"/>
  <c r="K30" i="430"/>
  <c r="O27" i="430"/>
  <c r="M27" i="430"/>
  <c r="Q26" i="430"/>
  <c r="J26" i="430"/>
  <c r="J27" i="430" s="1"/>
  <c r="Q25" i="430"/>
  <c r="N25" i="430"/>
  <c r="J25" i="430"/>
  <c r="M24" i="430"/>
  <c r="L24" i="430"/>
  <c r="Q23" i="430"/>
  <c r="O23" i="430"/>
  <c r="N22" i="430"/>
  <c r="M22" i="430"/>
  <c r="M23" i="430" s="1"/>
  <c r="J22" i="430"/>
  <c r="G22" i="430"/>
  <c r="C22" i="430"/>
  <c r="O21" i="430"/>
  <c r="J21" i="430"/>
  <c r="J20" i="430"/>
  <c r="J19" i="430"/>
  <c r="Q17" i="430"/>
  <c r="O17" i="430"/>
  <c r="J17" i="430"/>
  <c r="N16" i="430"/>
  <c r="M16" i="430"/>
  <c r="K15" i="430"/>
  <c r="J15" i="430"/>
  <c r="P14" i="430"/>
  <c r="N14" i="430"/>
  <c r="K14" i="430"/>
  <c r="N13" i="430"/>
  <c r="K13" i="430"/>
  <c r="J13" i="430"/>
  <c r="K12" i="430"/>
  <c r="M11" i="430"/>
  <c r="K11" i="430"/>
  <c r="M10" i="430"/>
  <c r="J10" i="430"/>
  <c r="K8" i="430"/>
  <c r="N6" i="430"/>
  <c r="K5" i="430"/>
  <c r="C25" i="430" l="1"/>
  <c r="N39" i="429"/>
  <c r="N37" i="429"/>
  <c r="C37" i="429"/>
  <c r="N35" i="429"/>
  <c r="N30" i="429"/>
  <c r="K30" i="429"/>
  <c r="O27" i="429"/>
  <c r="M27" i="429"/>
  <c r="Q26" i="429"/>
  <c r="J26" i="429"/>
  <c r="J27" i="429" s="1"/>
  <c r="Q25" i="429"/>
  <c r="N25" i="429"/>
  <c r="J25" i="429"/>
  <c r="M24" i="429"/>
  <c r="L24" i="429"/>
  <c r="Q23" i="429"/>
  <c r="O23" i="429"/>
  <c r="N22" i="429"/>
  <c r="M22" i="429"/>
  <c r="M23" i="429" s="1"/>
  <c r="J22" i="429"/>
  <c r="G22" i="429"/>
  <c r="C22" i="429"/>
  <c r="O21" i="429"/>
  <c r="J21" i="429"/>
  <c r="J20" i="429"/>
  <c r="J19" i="429"/>
  <c r="Q17" i="429"/>
  <c r="O17" i="429"/>
  <c r="J17" i="429"/>
  <c r="N16" i="429"/>
  <c r="M16" i="429"/>
  <c r="K15" i="429"/>
  <c r="J15" i="429"/>
  <c r="P14" i="429"/>
  <c r="N14" i="429"/>
  <c r="K14" i="429"/>
  <c r="N13" i="429"/>
  <c r="K13" i="429"/>
  <c r="J13" i="429"/>
  <c r="K12" i="429"/>
  <c r="M11" i="429"/>
  <c r="K11" i="429"/>
  <c r="M10" i="429"/>
  <c r="J10" i="429"/>
  <c r="K8" i="429"/>
  <c r="N6" i="429"/>
  <c r="K5" i="429"/>
  <c r="C25" i="429" l="1"/>
  <c r="N39" i="428"/>
  <c r="N37" i="428"/>
  <c r="C37" i="428"/>
  <c r="N35" i="428"/>
  <c r="N30" i="428"/>
  <c r="K30" i="428"/>
  <c r="O27" i="428"/>
  <c r="M27" i="428"/>
  <c r="Q26" i="428"/>
  <c r="J26" i="428"/>
  <c r="J27" i="428" s="1"/>
  <c r="Q25" i="428"/>
  <c r="N25" i="428"/>
  <c r="J25" i="428"/>
  <c r="M24" i="428"/>
  <c r="L24" i="428"/>
  <c r="Q23" i="428"/>
  <c r="O23" i="428"/>
  <c r="N22" i="428"/>
  <c r="M22" i="428"/>
  <c r="M23" i="428" s="1"/>
  <c r="J22" i="428"/>
  <c r="G22" i="428"/>
  <c r="C22" i="428"/>
  <c r="O21" i="428"/>
  <c r="J21" i="428"/>
  <c r="J20" i="428"/>
  <c r="J19" i="428"/>
  <c r="Q17" i="428"/>
  <c r="O17" i="428"/>
  <c r="J17" i="428"/>
  <c r="N16" i="428"/>
  <c r="M16" i="428"/>
  <c r="K15" i="428"/>
  <c r="J15" i="428"/>
  <c r="P14" i="428"/>
  <c r="N14" i="428"/>
  <c r="K14" i="428"/>
  <c r="N13" i="428"/>
  <c r="K13" i="428"/>
  <c r="J13" i="428"/>
  <c r="K12" i="428"/>
  <c r="M11" i="428"/>
  <c r="K11" i="428"/>
  <c r="M10" i="428"/>
  <c r="J10" i="428"/>
  <c r="K8" i="428"/>
  <c r="N6" i="428"/>
  <c r="K5" i="428"/>
  <c r="C25" i="428" l="1"/>
  <c r="N39" i="427"/>
  <c r="N37" i="427"/>
  <c r="C37" i="427"/>
  <c r="N35" i="427"/>
  <c r="N30" i="427"/>
  <c r="K30" i="427"/>
  <c r="O27" i="427"/>
  <c r="M27" i="427"/>
  <c r="Q26" i="427"/>
  <c r="J26" i="427"/>
  <c r="J27" i="427" s="1"/>
  <c r="Q25" i="427"/>
  <c r="N25" i="427"/>
  <c r="J25" i="427"/>
  <c r="M24" i="427"/>
  <c r="L24" i="427"/>
  <c r="Q23" i="427"/>
  <c r="O23" i="427"/>
  <c r="N22" i="427"/>
  <c r="M22" i="427"/>
  <c r="M23" i="427" s="1"/>
  <c r="J22" i="427"/>
  <c r="G22" i="427"/>
  <c r="C22" i="427"/>
  <c r="O21" i="427"/>
  <c r="J21" i="427"/>
  <c r="J20" i="427"/>
  <c r="J19" i="427"/>
  <c r="Q17" i="427"/>
  <c r="O17" i="427"/>
  <c r="J17" i="427"/>
  <c r="M16" i="427"/>
  <c r="K15" i="427"/>
  <c r="J15" i="427"/>
  <c r="P14" i="427"/>
  <c r="N14" i="427"/>
  <c r="N16" i="427" s="1"/>
  <c r="K14" i="427"/>
  <c r="N13" i="427"/>
  <c r="K13" i="427"/>
  <c r="J13" i="427"/>
  <c r="K12" i="427"/>
  <c r="M11" i="427"/>
  <c r="K11" i="427"/>
  <c r="M10" i="427"/>
  <c r="J10" i="427"/>
  <c r="K8" i="427"/>
  <c r="N6" i="427"/>
  <c r="K5" i="427"/>
  <c r="C25" i="427" l="1"/>
  <c r="N39" i="426"/>
  <c r="N37" i="426"/>
  <c r="C37" i="426"/>
  <c r="N35" i="426"/>
  <c r="N30" i="426"/>
  <c r="K30" i="426"/>
  <c r="O27" i="426"/>
  <c r="M27" i="426"/>
  <c r="Q26" i="426"/>
  <c r="J26" i="426"/>
  <c r="J27" i="426" s="1"/>
  <c r="Q25" i="426"/>
  <c r="N25" i="426"/>
  <c r="J25" i="426"/>
  <c r="M24" i="426"/>
  <c r="L24" i="426"/>
  <c r="Q23" i="426"/>
  <c r="O23" i="426"/>
  <c r="N22" i="426"/>
  <c r="M22" i="426"/>
  <c r="M23" i="426" s="1"/>
  <c r="J22" i="426"/>
  <c r="G22" i="426"/>
  <c r="C22" i="426"/>
  <c r="O21" i="426"/>
  <c r="J21" i="426"/>
  <c r="J20" i="426"/>
  <c r="J19" i="426"/>
  <c r="Q17" i="426"/>
  <c r="O17" i="426"/>
  <c r="J17" i="426"/>
  <c r="N16" i="426"/>
  <c r="M16" i="426"/>
  <c r="K15" i="426"/>
  <c r="J15" i="426"/>
  <c r="P14" i="426"/>
  <c r="N14" i="426"/>
  <c r="K14" i="426"/>
  <c r="N13" i="426"/>
  <c r="K13" i="426"/>
  <c r="J13" i="426"/>
  <c r="K12" i="426"/>
  <c r="M11" i="426"/>
  <c r="K11" i="426"/>
  <c r="M10" i="426"/>
  <c r="J10" i="426"/>
  <c r="K8" i="426"/>
  <c r="N6" i="426"/>
  <c r="K5" i="426"/>
  <c r="C25" i="426" l="1"/>
  <c r="G22" i="425"/>
  <c r="N39" i="425"/>
  <c r="N37" i="425"/>
  <c r="C37" i="425"/>
  <c r="N35" i="425"/>
  <c r="N30" i="425"/>
  <c r="K30" i="425"/>
  <c r="O27" i="425"/>
  <c r="M27" i="425"/>
  <c r="Q26" i="425"/>
  <c r="J26" i="425"/>
  <c r="J27" i="425" s="1"/>
  <c r="Q25" i="425"/>
  <c r="N25" i="425"/>
  <c r="J25" i="425"/>
  <c r="M24" i="425"/>
  <c r="L24" i="425"/>
  <c r="Q23" i="425"/>
  <c r="O23" i="425"/>
  <c r="N22" i="425"/>
  <c r="M22" i="425"/>
  <c r="M23" i="425" s="1"/>
  <c r="J22" i="425"/>
  <c r="C22" i="425"/>
  <c r="O21" i="425"/>
  <c r="J21" i="425"/>
  <c r="J20" i="425"/>
  <c r="J19" i="425"/>
  <c r="Q17" i="425"/>
  <c r="O17" i="425"/>
  <c r="J17" i="425"/>
  <c r="M16" i="425"/>
  <c r="K15" i="425"/>
  <c r="J15" i="425"/>
  <c r="P14" i="425"/>
  <c r="N14" i="425"/>
  <c r="K14" i="425"/>
  <c r="N13" i="425"/>
  <c r="N16" i="425" s="1"/>
  <c r="K13" i="425"/>
  <c r="J13" i="425"/>
  <c r="K12" i="425"/>
  <c r="M11" i="425"/>
  <c r="K11" i="425"/>
  <c r="M10" i="425"/>
  <c r="J10" i="425"/>
  <c r="K8" i="425"/>
  <c r="N6" i="425"/>
  <c r="K5" i="425"/>
  <c r="C25" i="425" l="1"/>
  <c r="N39" i="424"/>
  <c r="N37" i="424"/>
  <c r="C37" i="424"/>
  <c r="N35" i="424"/>
  <c r="N30" i="424"/>
  <c r="K30" i="424"/>
  <c r="O27" i="424"/>
  <c r="M27" i="424"/>
  <c r="Q26" i="424"/>
  <c r="J26" i="424"/>
  <c r="J27" i="424" s="1"/>
  <c r="Q25" i="424"/>
  <c r="N25" i="424"/>
  <c r="J25" i="424"/>
  <c r="M24" i="424"/>
  <c r="L24" i="424"/>
  <c r="Q23" i="424"/>
  <c r="O23" i="424"/>
  <c r="N22" i="424"/>
  <c r="M22" i="424"/>
  <c r="M23" i="424" s="1"/>
  <c r="J22" i="424"/>
  <c r="G22" i="424"/>
  <c r="C22" i="424"/>
  <c r="O21" i="424"/>
  <c r="J21" i="424"/>
  <c r="J20" i="424"/>
  <c r="J19" i="424"/>
  <c r="Q17" i="424"/>
  <c r="O17" i="424"/>
  <c r="J17" i="424"/>
  <c r="M16" i="424"/>
  <c r="K15" i="424"/>
  <c r="J15" i="424"/>
  <c r="P14" i="424"/>
  <c r="N14" i="424"/>
  <c r="K14" i="424"/>
  <c r="N13" i="424"/>
  <c r="N16" i="424" s="1"/>
  <c r="K13" i="424"/>
  <c r="J13" i="424"/>
  <c r="K12" i="424"/>
  <c r="M11" i="424"/>
  <c r="K11" i="424"/>
  <c r="M10" i="424"/>
  <c r="J10" i="424"/>
  <c r="K8" i="424"/>
  <c r="N6" i="424"/>
  <c r="K5" i="424"/>
  <c r="N39" i="423"/>
  <c r="N37" i="423"/>
  <c r="C37" i="423"/>
  <c r="N35" i="423"/>
  <c r="N30" i="423"/>
  <c r="K30" i="423"/>
  <c r="O27" i="423"/>
  <c r="M27" i="423"/>
  <c r="Q26" i="423"/>
  <c r="J26" i="423"/>
  <c r="J27" i="423" s="1"/>
  <c r="Q25" i="423"/>
  <c r="N25" i="423"/>
  <c r="J25" i="423"/>
  <c r="M24" i="423"/>
  <c r="L24" i="423"/>
  <c r="Q23" i="423"/>
  <c r="O23" i="423"/>
  <c r="N22" i="423"/>
  <c r="M22" i="423"/>
  <c r="M23" i="423" s="1"/>
  <c r="J22" i="423"/>
  <c r="G22" i="423"/>
  <c r="C22" i="423"/>
  <c r="O21" i="423"/>
  <c r="J21" i="423"/>
  <c r="J20" i="423"/>
  <c r="J19" i="423"/>
  <c r="Q17" i="423"/>
  <c r="O17" i="423"/>
  <c r="J17" i="423"/>
  <c r="N16" i="423"/>
  <c r="M16" i="423"/>
  <c r="K15" i="423"/>
  <c r="J15" i="423"/>
  <c r="P14" i="423"/>
  <c r="N14" i="423"/>
  <c r="K14" i="423"/>
  <c r="N13" i="423"/>
  <c r="K13" i="423"/>
  <c r="J13" i="423"/>
  <c r="K12" i="423"/>
  <c r="M11" i="423"/>
  <c r="K11" i="423"/>
  <c r="M10" i="423"/>
  <c r="J10" i="423"/>
  <c r="K8" i="423"/>
  <c r="N6" i="423"/>
  <c r="K5" i="423"/>
  <c r="C25" i="424" l="1"/>
  <c r="C25" i="423"/>
  <c r="N39" i="422"/>
  <c r="N37" i="422"/>
  <c r="C37" i="422"/>
  <c r="N35" i="422"/>
  <c r="N30" i="422"/>
  <c r="K30" i="422"/>
  <c r="O27" i="422"/>
  <c r="M27" i="422"/>
  <c r="Q26" i="422"/>
  <c r="J26" i="422"/>
  <c r="J27" i="422" s="1"/>
  <c r="Q25" i="422"/>
  <c r="N25" i="422"/>
  <c r="J25" i="422"/>
  <c r="M24" i="422"/>
  <c r="L24" i="422"/>
  <c r="Q23" i="422"/>
  <c r="O23" i="422"/>
  <c r="N22" i="422"/>
  <c r="M22" i="422"/>
  <c r="M23" i="422" s="1"/>
  <c r="J22" i="422"/>
  <c r="G22" i="422"/>
  <c r="C22" i="422"/>
  <c r="O21" i="422"/>
  <c r="J21" i="422"/>
  <c r="J20" i="422"/>
  <c r="J19" i="422"/>
  <c r="Q17" i="422"/>
  <c r="O17" i="422"/>
  <c r="J17" i="422"/>
  <c r="N16" i="422"/>
  <c r="M16" i="422"/>
  <c r="K15" i="422"/>
  <c r="J15" i="422"/>
  <c r="P14" i="422"/>
  <c r="N14" i="422"/>
  <c r="K14" i="422"/>
  <c r="N13" i="422"/>
  <c r="K13" i="422"/>
  <c r="J13" i="422"/>
  <c r="K12" i="422"/>
  <c r="M11" i="422"/>
  <c r="K11" i="422"/>
  <c r="M10" i="422"/>
  <c r="J10" i="422"/>
  <c r="K8" i="422"/>
  <c r="N6" i="422"/>
  <c r="K5" i="422"/>
  <c r="C25" i="422" l="1"/>
  <c r="N39" i="421"/>
  <c r="N37" i="421"/>
  <c r="C37" i="421"/>
  <c r="N35" i="421"/>
  <c r="N30" i="421"/>
  <c r="K30" i="421"/>
  <c r="O27" i="421"/>
  <c r="M27" i="421"/>
  <c r="J27" i="421"/>
  <c r="Q26" i="421"/>
  <c r="J26" i="421"/>
  <c r="Q25" i="421"/>
  <c r="N25" i="421"/>
  <c r="J25" i="421"/>
  <c r="M24" i="421"/>
  <c r="L24" i="421"/>
  <c r="Q23" i="421"/>
  <c r="O23" i="421"/>
  <c r="N22" i="421"/>
  <c r="M22" i="421"/>
  <c r="M23" i="421" s="1"/>
  <c r="J22" i="421"/>
  <c r="G22" i="421"/>
  <c r="C22" i="421"/>
  <c r="O21" i="421"/>
  <c r="J21" i="421"/>
  <c r="J20" i="421"/>
  <c r="J19" i="421"/>
  <c r="Q17" i="421"/>
  <c r="O17" i="421"/>
  <c r="J17" i="421"/>
  <c r="M16" i="421"/>
  <c r="K15" i="421"/>
  <c r="J15" i="421"/>
  <c r="P14" i="421"/>
  <c r="N14" i="421"/>
  <c r="N16" i="421" s="1"/>
  <c r="K14" i="421"/>
  <c r="N13" i="421"/>
  <c r="K13" i="421"/>
  <c r="J13" i="421"/>
  <c r="K12" i="421"/>
  <c r="M11" i="421"/>
  <c r="K11" i="421"/>
  <c r="M10" i="421"/>
  <c r="J10" i="421"/>
  <c r="K8" i="421"/>
  <c r="N6" i="421"/>
  <c r="K5" i="421"/>
  <c r="C25" i="421" l="1"/>
  <c r="N39" i="420"/>
  <c r="C37" i="420"/>
  <c r="N35" i="420"/>
  <c r="N37" i="420" s="1"/>
  <c r="N30" i="420"/>
  <c r="K30" i="420"/>
  <c r="I29" i="420"/>
  <c r="O27" i="420"/>
  <c r="M27" i="420"/>
  <c r="J27" i="420"/>
  <c r="Q26" i="420"/>
  <c r="J26" i="420"/>
  <c r="Q25" i="420"/>
  <c r="N25" i="420"/>
  <c r="J25" i="420"/>
  <c r="M24" i="420"/>
  <c r="L24" i="420"/>
  <c r="Q23" i="420"/>
  <c r="O23" i="420"/>
  <c r="N22" i="420"/>
  <c r="M22" i="420"/>
  <c r="M23" i="420" s="1"/>
  <c r="J22" i="420"/>
  <c r="O21" i="420"/>
  <c r="J21" i="420"/>
  <c r="J20" i="420"/>
  <c r="J19" i="420"/>
  <c r="Q17" i="420"/>
  <c r="O17" i="420"/>
  <c r="J17" i="420"/>
  <c r="M16" i="420"/>
  <c r="G22" i="420"/>
  <c r="K15" i="420"/>
  <c r="J15" i="420"/>
  <c r="P14" i="420"/>
  <c r="N14" i="420"/>
  <c r="K14" i="420"/>
  <c r="N13" i="420"/>
  <c r="N16" i="420" s="1"/>
  <c r="K13" i="420"/>
  <c r="J13" i="420"/>
  <c r="K12" i="420"/>
  <c r="M11" i="420"/>
  <c r="K11" i="420"/>
  <c r="M10" i="420"/>
  <c r="J10" i="420"/>
  <c r="K8" i="420"/>
  <c r="N6" i="420"/>
  <c r="K5" i="420"/>
  <c r="C22" i="420"/>
  <c r="C25" i="420" l="1"/>
  <c r="G16" i="419"/>
  <c r="C5" i="419"/>
  <c r="C22" i="419" s="1"/>
  <c r="N39" i="419"/>
  <c r="N37" i="419"/>
  <c r="C37" i="419"/>
  <c r="N35" i="419"/>
  <c r="N30" i="419"/>
  <c r="K30" i="419"/>
  <c r="I29" i="419"/>
  <c r="O27" i="419"/>
  <c r="M27" i="419"/>
  <c r="J27" i="419"/>
  <c r="Q26" i="419"/>
  <c r="J26" i="419"/>
  <c r="Q25" i="419"/>
  <c r="N25" i="419"/>
  <c r="J25" i="419"/>
  <c r="M24" i="419"/>
  <c r="L24" i="419"/>
  <c r="Q23" i="419"/>
  <c r="O23" i="419"/>
  <c r="M23" i="419"/>
  <c r="N22" i="419"/>
  <c r="M22" i="419"/>
  <c r="J22" i="419"/>
  <c r="G22" i="419"/>
  <c r="O21" i="419"/>
  <c r="J21" i="419"/>
  <c r="J20" i="419"/>
  <c r="J19" i="419"/>
  <c r="Q17" i="419"/>
  <c r="O17" i="419"/>
  <c r="J17" i="419"/>
  <c r="M16" i="419"/>
  <c r="K15" i="419"/>
  <c r="J15" i="419"/>
  <c r="P14" i="419"/>
  <c r="N14" i="419"/>
  <c r="N16" i="419" s="1"/>
  <c r="K14" i="419"/>
  <c r="N13" i="419"/>
  <c r="K13" i="419"/>
  <c r="J13" i="419"/>
  <c r="K12" i="419"/>
  <c r="M11" i="419"/>
  <c r="K11" i="419"/>
  <c r="M10" i="419"/>
  <c r="J10" i="419"/>
  <c r="K8" i="419"/>
  <c r="N6" i="419"/>
  <c r="K5" i="419"/>
  <c r="C25" i="419" l="1"/>
  <c r="N39" i="418"/>
  <c r="N37" i="418"/>
  <c r="C37" i="418"/>
  <c r="N35" i="418"/>
  <c r="N30" i="418"/>
  <c r="K30" i="418"/>
  <c r="I29" i="418"/>
  <c r="I28" i="418"/>
  <c r="O27" i="418"/>
  <c r="M27" i="418"/>
  <c r="J27" i="418"/>
  <c r="Q26" i="418"/>
  <c r="J26" i="418"/>
  <c r="I26" i="418"/>
  <c r="Q25" i="418"/>
  <c r="N25" i="418"/>
  <c r="J25" i="418"/>
  <c r="M24" i="418"/>
  <c r="L24" i="418"/>
  <c r="Q23" i="418"/>
  <c r="O23" i="418"/>
  <c r="M23" i="418"/>
  <c r="I23" i="418"/>
  <c r="N22" i="418"/>
  <c r="M22" i="418"/>
  <c r="J22" i="418"/>
  <c r="G22" i="418"/>
  <c r="C22" i="418"/>
  <c r="O21" i="418"/>
  <c r="J21" i="418"/>
  <c r="J20" i="418"/>
  <c r="J19" i="418"/>
  <c r="Q17" i="418"/>
  <c r="O17" i="418"/>
  <c r="J17" i="418"/>
  <c r="M16" i="418"/>
  <c r="K15" i="418"/>
  <c r="J15" i="418"/>
  <c r="P14" i="418"/>
  <c r="N14" i="418"/>
  <c r="K14" i="418"/>
  <c r="N13" i="418"/>
  <c r="N16" i="418" s="1"/>
  <c r="K13" i="418"/>
  <c r="J13" i="418"/>
  <c r="K12" i="418"/>
  <c r="M11" i="418"/>
  <c r="K11" i="418"/>
  <c r="M10" i="418"/>
  <c r="J10" i="418"/>
  <c r="K8" i="418"/>
  <c r="N6" i="418"/>
  <c r="K5" i="418"/>
  <c r="C25" i="418" l="1"/>
  <c r="N39" i="417"/>
  <c r="N37" i="417"/>
  <c r="C37" i="417"/>
  <c r="N35" i="417"/>
  <c r="N30" i="417"/>
  <c r="K30" i="417"/>
  <c r="I29" i="417"/>
  <c r="I28" i="417"/>
  <c r="O27" i="417"/>
  <c r="M27" i="417"/>
  <c r="J27" i="417"/>
  <c r="Q26" i="417"/>
  <c r="J26" i="417"/>
  <c r="I26" i="417"/>
  <c r="Q25" i="417"/>
  <c r="N25" i="417"/>
  <c r="J25" i="417"/>
  <c r="M24" i="417"/>
  <c r="L24" i="417"/>
  <c r="Q23" i="417"/>
  <c r="O23" i="417"/>
  <c r="M23" i="417"/>
  <c r="I23" i="417"/>
  <c r="N22" i="417"/>
  <c r="M22" i="417"/>
  <c r="J22" i="417"/>
  <c r="G22" i="417"/>
  <c r="C22" i="417"/>
  <c r="O21" i="417"/>
  <c r="J21" i="417"/>
  <c r="J20" i="417"/>
  <c r="J19" i="417"/>
  <c r="Q17" i="417"/>
  <c r="O17" i="417"/>
  <c r="J17" i="417"/>
  <c r="M16" i="417"/>
  <c r="K15" i="417"/>
  <c r="J15" i="417"/>
  <c r="P14" i="417"/>
  <c r="N14" i="417"/>
  <c r="K14" i="417"/>
  <c r="N13" i="417"/>
  <c r="N16" i="417" s="1"/>
  <c r="K13" i="417"/>
  <c r="J13" i="417"/>
  <c r="K12" i="417"/>
  <c r="M11" i="417"/>
  <c r="K11" i="417"/>
  <c r="M10" i="417"/>
  <c r="J10" i="417"/>
  <c r="K8" i="417"/>
  <c r="N6" i="417"/>
  <c r="K5" i="417"/>
  <c r="C25" i="417" l="1"/>
  <c r="N39" i="416"/>
  <c r="N37" i="416"/>
  <c r="C37" i="416"/>
  <c r="N35" i="416"/>
  <c r="N30" i="416"/>
  <c r="K30" i="416"/>
  <c r="I29" i="416"/>
  <c r="I28" i="416"/>
  <c r="O27" i="416"/>
  <c r="M27" i="416"/>
  <c r="J27" i="416"/>
  <c r="Q26" i="416"/>
  <c r="J26" i="416"/>
  <c r="I26" i="416"/>
  <c r="Q25" i="416"/>
  <c r="N25" i="416"/>
  <c r="J25" i="416"/>
  <c r="M24" i="416"/>
  <c r="L24" i="416"/>
  <c r="Q23" i="416"/>
  <c r="O23" i="416"/>
  <c r="M23" i="416"/>
  <c r="I23" i="416"/>
  <c r="N22" i="416"/>
  <c r="M22" i="416"/>
  <c r="J22" i="416"/>
  <c r="G22" i="416"/>
  <c r="C22" i="416"/>
  <c r="O21" i="416"/>
  <c r="J21" i="416"/>
  <c r="J20" i="416"/>
  <c r="J19" i="416"/>
  <c r="Q17" i="416"/>
  <c r="O17" i="416"/>
  <c r="J17" i="416"/>
  <c r="M16" i="416"/>
  <c r="K15" i="416"/>
  <c r="J15" i="416"/>
  <c r="P14" i="416"/>
  <c r="N14" i="416"/>
  <c r="K14" i="416"/>
  <c r="N13" i="416"/>
  <c r="N16" i="416" s="1"/>
  <c r="K13" i="416"/>
  <c r="J13" i="416"/>
  <c r="K12" i="416"/>
  <c r="M11" i="416"/>
  <c r="K11" i="416"/>
  <c r="M10" i="416"/>
  <c r="J10" i="416"/>
  <c r="K8" i="416"/>
  <c r="N6" i="416"/>
  <c r="K5" i="416"/>
  <c r="C25" i="416" l="1"/>
  <c r="N39" i="415"/>
  <c r="N37" i="415"/>
  <c r="C37" i="415"/>
  <c r="N35" i="415"/>
  <c r="N30" i="415"/>
  <c r="K30" i="415"/>
  <c r="I29" i="415"/>
  <c r="I28" i="415"/>
  <c r="O27" i="415"/>
  <c r="M27" i="415"/>
  <c r="J27" i="415"/>
  <c r="Q26" i="415"/>
  <c r="J26" i="415"/>
  <c r="I26" i="415"/>
  <c r="Q25" i="415"/>
  <c r="N25" i="415"/>
  <c r="J25" i="415"/>
  <c r="M24" i="415"/>
  <c r="L24" i="415"/>
  <c r="Q23" i="415"/>
  <c r="O23" i="415"/>
  <c r="M23" i="415"/>
  <c r="I23" i="415"/>
  <c r="N22" i="415"/>
  <c r="M22" i="415"/>
  <c r="J22" i="415"/>
  <c r="G22" i="415"/>
  <c r="C22" i="415"/>
  <c r="O21" i="415"/>
  <c r="J21" i="415"/>
  <c r="J20" i="415"/>
  <c r="J19" i="415"/>
  <c r="Q17" i="415"/>
  <c r="O17" i="415"/>
  <c r="J17" i="415"/>
  <c r="M16" i="415"/>
  <c r="K15" i="415"/>
  <c r="J15" i="415"/>
  <c r="P14" i="415"/>
  <c r="N14" i="415"/>
  <c r="K14" i="415"/>
  <c r="N13" i="415"/>
  <c r="N16" i="415" s="1"/>
  <c r="K13" i="415"/>
  <c r="J13" i="415"/>
  <c r="K12" i="415"/>
  <c r="M11" i="415"/>
  <c r="K11" i="415"/>
  <c r="M10" i="415"/>
  <c r="J10" i="415"/>
  <c r="K8" i="415"/>
  <c r="N6" i="415"/>
  <c r="K5" i="415"/>
  <c r="C25" i="415" l="1"/>
  <c r="G22" i="414"/>
  <c r="N39" i="414"/>
  <c r="N37" i="414"/>
  <c r="C37" i="414"/>
  <c r="N35" i="414"/>
  <c r="N30" i="414"/>
  <c r="K30" i="414"/>
  <c r="I29" i="414"/>
  <c r="I28" i="414"/>
  <c r="O27" i="414"/>
  <c r="M27" i="414"/>
  <c r="J27" i="414"/>
  <c r="Q26" i="414"/>
  <c r="J26" i="414"/>
  <c r="I26" i="414"/>
  <c r="Q25" i="414"/>
  <c r="N25" i="414"/>
  <c r="J25" i="414"/>
  <c r="M24" i="414"/>
  <c r="L24" i="414"/>
  <c r="Q23" i="414"/>
  <c r="O23" i="414"/>
  <c r="I23" i="414"/>
  <c r="N22" i="414"/>
  <c r="M22" i="414"/>
  <c r="M23" i="414" s="1"/>
  <c r="J22" i="414"/>
  <c r="C22" i="414"/>
  <c r="O21" i="414"/>
  <c r="J21" i="414"/>
  <c r="J20" i="414"/>
  <c r="J19" i="414"/>
  <c r="Q17" i="414"/>
  <c r="O17" i="414"/>
  <c r="J17" i="414"/>
  <c r="M16" i="414"/>
  <c r="K15" i="414"/>
  <c r="J15" i="414"/>
  <c r="P14" i="414"/>
  <c r="N14" i="414"/>
  <c r="N16" i="414" s="1"/>
  <c r="K14" i="414"/>
  <c r="N13" i="414"/>
  <c r="K13" i="414"/>
  <c r="J13" i="414"/>
  <c r="K12" i="414"/>
  <c r="M11" i="414"/>
  <c r="K11" i="414"/>
  <c r="M10" i="414"/>
  <c r="J10" i="414"/>
  <c r="K8" i="414"/>
  <c r="N6" i="414"/>
  <c r="K5" i="414"/>
  <c r="C25" i="414" l="1"/>
  <c r="N39" i="413"/>
  <c r="N37" i="413"/>
  <c r="C37" i="413"/>
  <c r="N35" i="413"/>
  <c r="N30" i="413"/>
  <c r="K30" i="413"/>
  <c r="I29" i="413"/>
  <c r="I28" i="413"/>
  <c r="O27" i="413"/>
  <c r="M27" i="413"/>
  <c r="J27" i="413"/>
  <c r="Q26" i="413"/>
  <c r="J26" i="413"/>
  <c r="I26" i="413"/>
  <c r="Q25" i="413"/>
  <c r="N25" i="413"/>
  <c r="J25" i="413"/>
  <c r="M24" i="413"/>
  <c r="L24" i="413"/>
  <c r="Q23" i="413"/>
  <c r="O23" i="413"/>
  <c r="M23" i="413"/>
  <c r="I23" i="413"/>
  <c r="N22" i="413"/>
  <c r="M22" i="413"/>
  <c r="J22" i="413"/>
  <c r="G22" i="413"/>
  <c r="C22" i="413"/>
  <c r="O21" i="413"/>
  <c r="J21" i="413"/>
  <c r="J20" i="413"/>
  <c r="J19" i="413"/>
  <c r="Q17" i="413"/>
  <c r="O17" i="413"/>
  <c r="J17" i="413"/>
  <c r="M16" i="413"/>
  <c r="K15" i="413"/>
  <c r="J15" i="413"/>
  <c r="P14" i="413"/>
  <c r="N14" i="413"/>
  <c r="N16" i="413" s="1"/>
  <c r="K14" i="413"/>
  <c r="N13" i="413"/>
  <c r="K13" i="413"/>
  <c r="J13" i="413"/>
  <c r="K12" i="413"/>
  <c r="M11" i="413"/>
  <c r="K11" i="413"/>
  <c r="M10" i="413"/>
  <c r="J10" i="413"/>
  <c r="K8" i="413"/>
  <c r="N6" i="413"/>
  <c r="K5" i="413"/>
  <c r="C25" i="413" l="1"/>
  <c r="N39" i="412"/>
  <c r="N37" i="412"/>
  <c r="C37" i="412"/>
  <c r="N35" i="412"/>
  <c r="N30" i="412"/>
  <c r="K30" i="412"/>
  <c r="I29" i="412"/>
  <c r="I28" i="412"/>
  <c r="O27" i="412"/>
  <c r="M27" i="412"/>
  <c r="J27" i="412"/>
  <c r="Q26" i="412"/>
  <c r="J26" i="412"/>
  <c r="I26" i="412"/>
  <c r="Q25" i="412"/>
  <c r="N25" i="412"/>
  <c r="J25" i="412"/>
  <c r="M24" i="412"/>
  <c r="L24" i="412"/>
  <c r="Q23" i="412"/>
  <c r="O23" i="412"/>
  <c r="M23" i="412"/>
  <c r="I23" i="412"/>
  <c r="N22" i="412"/>
  <c r="M22" i="412"/>
  <c r="J22" i="412"/>
  <c r="G22" i="412"/>
  <c r="O21" i="412"/>
  <c r="J21" i="412"/>
  <c r="J20" i="412"/>
  <c r="J19" i="412"/>
  <c r="Q17" i="412"/>
  <c r="O17" i="412"/>
  <c r="J17" i="412"/>
  <c r="M16" i="412"/>
  <c r="K15" i="412"/>
  <c r="J15" i="412"/>
  <c r="P14" i="412"/>
  <c r="N14" i="412"/>
  <c r="N16" i="412" s="1"/>
  <c r="K14" i="412"/>
  <c r="N13" i="412"/>
  <c r="K13" i="412"/>
  <c r="J13" i="412"/>
  <c r="K12" i="412"/>
  <c r="M11" i="412"/>
  <c r="K11" i="412"/>
  <c r="M10" i="412"/>
  <c r="J10" i="412"/>
  <c r="K8" i="412"/>
  <c r="N6" i="412"/>
  <c r="K5" i="412"/>
  <c r="C22" i="412"/>
  <c r="C25" i="412" l="1"/>
  <c r="C4" i="411"/>
  <c r="N39" i="411"/>
  <c r="N37" i="411"/>
  <c r="C37" i="411"/>
  <c r="N35" i="411"/>
  <c r="N30" i="411"/>
  <c r="K30" i="411"/>
  <c r="I29" i="411"/>
  <c r="I28" i="411"/>
  <c r="O27" i="411"/>
  <c r="M27" i="411"/>
  <c r="J27" i="411"/>
  <c r="Q26" i="411"/>
  <c r="J26" i="411"/>
  <c r="I26" i="411"/>
  <c r="Q25" i="411"/>
  <c r="N25" i="411"/>
  <c r="J25" i="411"/>
  <c r="M24" i="411"/>
  <c r="L24" i="411"/>
  <c r="Q23" i="411"/>
  <c r="O23" i="411"/>
  <c r="M23" i="411"/>
  <c r="I23" i="411"/>
  <c r="N22" i="411"/>
  <c r="M22" i="411"/>
  <c r="J22" i="411"/>
  <c r="G22" i="411"/>
  <c r="C22" i="411"/>
  <c r="O21" i="411"/>
  <c r="J21" i="411"/>
  <c r="J20" i="411"/>
  <c r="J19" i="411"/>
  <c r="Q17" i="411"/>
  <c r="O17" i="411"/>
  <c r="J17" i="411"/>
  <c r="M16" i="411"/>
  <c r="K15" i="411"/>
  <c r="J15" i="411"/>
  <c r="P14" i="411"/>
  <c r="N14" i="411"/>
  <c r="N16" i="411" s="1"/>
  <c r="K14" i="411"/>
  <c r="N13" i="411"/>
  <c r="K13" i="411"/>
  <c r="J13" i="411"/>
  <c r="K12" i="411"/>
  <c r="M11" i="411"/>
  <c r="K11" i="411"/>
  <c r="M10" i="411"/>
  <c r="J10" i="411"/>
  <c r="K8" i="411"/>
  <c r="N6" i="411"/>
  <c r="K5" i="411"/>
  <c r="C25" i="411" l="1"/>
  <c r="N39" i="410"/>
  <c r="N37" i="410"/>
  <c r="C37" i="410"/>
  <c r="N35" i="410"/>
  <c r="N30" i="410"/>
  <c r="K30" i="410"/>
  <c r="I29" i="410"/>
  <c r="I28" i="410"/>
  <c r="O27" i="410"/>
  <c r="M27" i="410"/>
  <c r="J27" i="410"/>
  <c r="Q26" i="410"/>
  <c r="J26" i="410"/>
  <c r="I26" i="410"/>
  <c r="Q25" i="410"/>
  <c r="N25" i="410"/>
  <c r="J25" i="410"/>
  <c r="M24" i="410"/>
  <c r="L24" i="410"/>
  <c r="Q23" i="410"/>
  <c r="O23" i="410"/>
  <c r="M23" i="410"/>
  <c r="I23" i="410"/>
  <c r="N22" i="410"/>
  <c r="M22" i="410"/>
  <c r="J22" i="410"/>
  <c r="G22" i="410"/>
  <c r="C22" i="410"/>
  <c r="O21" i="410"/>
  <c r="J21" i="410"/>
  <c r="J20" i="410"/>
  <c r="J19" i="410"/>
  <c r="Q17" i="410"/>
  <c r="O17" i="410"/>
  <c r="J17" i="410"/>
  <c r="M16" i="410"/>
  <c r="K15" i="410"/>
  <c r="J15" i="410"/>
  <c r="P14" i="410"/>
  <c r="N14" i="410"/>
  <c r="K14" i="410"/>
  <c r="N13" i="410"/>
  <c r="N16" i="410" s="1"/>
  <c r="K13" i="410"/>
  <c r="J13" i="410"/>
  <c r="K12" i="410"/>
  <c r="M11" i="410"/>
  <c r="K11" i="410"/>
  <c r="M10" i="410"/>
  <c r="J10" i="410"/>
  <c r="K8" i="410"/>
  <c r="N6" i="410"/>
  <c r="K5" i="410"/>
  <c r="C25" i="410" l="1"/>
  <c r="I23" i="409"/>
  <c r="N39" i="409"/>
  <c r="N37" i="409"/>
  <c r="C37" i="409"/>
  <c r="N35" i="409"/>
  <c r="N30" i="409"/>
  <c r="K30" i="409"/>
  <c r="I29" i="409"/>
  <c r="I28" i="409"/>
  <c r="O27" i="409"/>
  <c r="M27" i="409"/>
  <c r="J27" i="409"/>
  <c r="Q26" i="409"/>
  <c r="J26" i="409"/>
  <c r="I26" i="409"/>
  <c r="Q25" i="409"/>
  <c r="N25" i="409"/>
  <c r="J25" i="409"/>
  <c r="M24" i="409"/>
  <c r="L24" i="409"/>
  <c r="Q23" i="409"/>
  <c r="O23" i="409"/>
  <c r="M23" i="409"/>
  <c r="N22" i="409"/>
  <c r="M22" i="409"/>
  <c r="J22" i="409"/>
  <c r="G22" i="409"/>
  <c r="C22" i="409"/>
  <c r="O21" i="409"/>
  <c r="J21" i="409"/>
  <c r="J20" i="409"/>
  <c r="J19" i="409"/>
  <c r="Q17" i="409"/>
  <c r="O17" i="409"/>
  <c r="J17" i="409"/>
  <c r="M16" i="409"/>
  <c r="K15" i="409"/>
  <c r="J15" i="409"/>
  <c r="P14" i="409"/>
  <c r="N14" i="409"/>
  <c r="K14" i="409"/>
  <c r="N13" i="409"/>
  <c r="N16" i="409" s="1"/>
  <c r="K13" i="409"/>
  <c r="J13" i="409"/>
  <c r="K12" i="409"/>
  <c r="M11" i="409"/>
  <c r="K11" i="409"/>
  <c r="M10" i="409"/>
  <c r="J10" i="409"/>
  <c r="K8" i="409"/>
  <c r="N6" i="409"/>
  <c r="K5" i="409"/>
  <c r="C25" i="409" l="1"/>
  <c r="C37" i="408"/>
  <c r="N39" i="408"/>
  <c r="N37" i="408"/>
  <c r="N35" i="408"/>
  <c r="N30" i="408"/>
  <c r="K30" i="408"/>
  <c r="I29" i="408"/>
  <c r="I28" i="408"/>
  <c r="O27" i="408"/>
  <c r="M27" i="408"/>
  <c r="J27" i="408"/>
  <c r="Q26" i="408"/>
  <c r="J26" i="408"/>
  <c r="I26" i="408"/>
  <c r="Q25" i="408"/>
  <c r="N25" i="408"/>
  <c r="J25" i="408"/>
  <c r="M24" i="408"/>
  <c r="L24" i="408"/>
  <c r="Q23" i="408"/>
  <c r="O23" i="408"/>
  <c r="M23" i="408"/>
  <c r="N22" i="408"/>
  <c r="M22" i="408"/>
  <c r="J22" i="408"/>
  <c r="G22" i="408"/>
  <c r="C22" i="408"/>
  <c r="O21" i="408"/>
  <c r="J21" i="408"/>
  <c r="J20" i="408"/>
  <c r="J19" i="408"/>
  <c r="Q17" i="408"/>
  <c r="O17" i="408"/>
  <c r="J17" i="408"/>
  <c r="N16" i="408"/>
  <c r="M16" i="408"/>
  <c r="K15" i="408"/>
  <c r="J15" i="408"/>
  <c r="P14" i="408"/>
  <c r="N14" i="408"/>
  <c r="K14" i="408"/>
  <c r="N13" i="408"/>
  <c r="K13" i="408"/>
  <c r="J13" i="408"/>
  <c r="K12" i="408"/>
  <c r="M11" i="408"/>
  <c r="K11" i="408"/>
  <c r="M10" i="408"/>
  <c r="J10" i="408"/>
  <c r="K8" i="408"/>
  <c r="N6" i="408"/>
  <c r="K5" i="408"/>
  <c r="C25" i="408" l="1"/>
  <c r="C4" i="407"/>
  <c r="C22" i="407" s="1"/>
  <c r="N38" i="407"/>
  <c r="N36" i="407"/>
  <c r="C36" i="407"/>
  <c r="N35" i="407"/>
  <c r="N30" i="407"/>
  <c r="K30" i="407"/>
  <c r="I29" i="407"/>
  <c r="I28" i="407"/>
  <c r="O27" i="407"/>
  <c r="M27" i="407"/>
  <c r="J27" i="407"/>
  <c r="Q26" i="407"/>
  <c r="J26" i="407"/>
  <c r="I26" i="407"/>
  <c r="Q25" i="407"/>
  <c r="N25" i="407"/>
  <c r="J25" i="407"/>
  <c r="M24" i="407"/>
  <c r="L24" i="407"/>
  <c r="Q23" i="407"/>
  <c r="O23" i="407"/>
  <c r="M23" i="407"/>
  <c r="N22" i="407"/>
  <c r="M22" i="407"/>
  <c r="J22" i="407"/>
  <c r="G22" i="407"/>
  <c r="O21" i="407"/>
  <c r="J21" i="407"/>
  <c r="J20" i="407"/>
  <c r="J19" i="407"/>
  <c r="Q17" i="407"/>
  <c r="O17" i="407"/>
  <c r="J17" i="407"/>
  <c r="N16" i="407"/>
  <c r="M16" i="407"/>
  <c r="K15" i="407"/>
  <c r="J15" i="407"/>
  <c r="P14" i="407"/>
  <c r="N14" i="407"/>
  <c r="K14" i="407"/>
  <c r="N13" i="407"/>
  <c r="K13" i="407"/>
  <c r="J13" i="407"/>
  <c r="K12" i="407"/>
  <c r="M11" i="407"/>
  <c r="K11" i="407"/>
  <c r="M10" i="407"/>
  <c r="J10" i="407"/>
  <c r="K8" i="407"/>
  <c r="N6" i="407"/>
  <c r="K5" i="407"/>
  <c r="C25" i="407" l="1"/>
  <c r="C19" i="406"/>
  <c r="C22" i="406" s="1"/>
  <c r="C4" i="406"/>
  <c r="N38" i="406"/>
  <c r="N36" i="406"/>
  <c r="C36" i="406"/>
  <c r="N35" i="406"/>
  <c r="N30" i="406"/>
  <c r="K30" i="406"/>
  <c r="I29" i="406"/>
  <c r="I28" i="406"/>
  <c r="O27" i="406"/>
  <c r="M27" i="406"/>
  <c r="J27" i="406"/>
  <c r="Q26" i="406"/>
  <c r="J26" i="406"/>
  <c r="I26" i="406"/>
  <c r="Q25" i="406"/>
  <c r="N25" i="406"/>
  <c r="J25" i="406"/>
  <c r="M24" i="406"/>
  <c r="L24" i="406"/>
  <c r="Q23" i="406"/>
  <c r="O23" i="406"/>
  <c r="M23" i="406"/>
  <c r="N22" i="406"/>
  <c r="M22" i="406"/>
  <c r="J22" i="406"/>
  <c r="G22" i="406"/>
  <c r="O21" i="406"/>
  <c r="J21" i="406"/>
  <c r="J20" i="406"/>
  <c r="J19" i="406"/>
  <c r="Q17" i="406"/>
  <c r="O17" i="406"/>
  <c r="J17" i="406"/>
  <c r="M16" i="406"/>
  <c r="K15" i="406"/>
  <c r="J15" i="406"/>
  <c r="P14" i="406"/>
  <c r="N14" i="406"/>
  <c r="K14" i="406"/>
  <c r="N13" i="406"/>
  <c r="N16" i="406" s="1"/>
  <c r="K13" i="406"/>
  <c r="J13" i="406"/>
  <c r="K12" i="406"/>
  <c r="M11" i="406"/>
  <c r="K11" i="406"/>
  <c r="M10" i="406"/>
  <c r="J10" i="406"/>
  <c r="K8" i="406"/>
  <c r="N6" i="406"/>
  <c r="K5" i="406"/>
  <c r="C25" i="406" l="1"/>
  <c r="C4" i="405"/>
  <c r="N38" i="405"/>
  <c r="C36" i="405"/>
  <c r="N35" i="405"/>
  <c r="N36" i="405" s="1"/>
  <c r="N30" i="405"/>
  <c r="K30" i="405"/>
  <c r="I29" i="405"/>
  <c r="I28" i="405"/>
  <c r="O27" i="405"/>
  <c r="M27" i="405"/>
  <c r="J27" i="405"/>
  <c r="Q26" i="405"/>
  <c r="J26" i="405"/>
  <c r="I26" i="405"/>
  <c r="Q25" i="405"/>
  <c r="N25" i="405"/>
  <c r="J25" i="405"/>
  <c r="M24" i="405"/>
  <c r="L24" i="405"/>
  <c r="Q23" i="405"/>
  <c r="O23" i="405"/>
  <c r="M23" i="405"/>
  <c r="N22" i="405"/>
  <c r="M22" i="405"/>
  <c r="J22" i="405"/>
  <c r="C22" i="405"/>
  <c r="O21" i="405"/>
  <c r="J21" i="405"/>
  <c r="J20" i="405"/>
  <c r="J19" i="405"/>
  <c r="Q17" i="405"/>
  <c r="O17" i="405"/>
  <c r="J17" i="405"/>
  <c r="N16" i="405"/>
  <c r="M16" i="405"/>
  <c r="K15" i="405"/>
  <c r="J15" i="405"/>
  <c r="P14" i="405"/>
  <c r="N14" i="405"/>
  <c r="K14" i="405"/>
  <c r="N13" i="405"/>
  <c r="K13" i="405"/>
  <c r="J13" i="405"/>
  <c r="K12" i="405"/>
  <c r="M11" i="405"/>
  <c r="K11" i="405"/>
  <c r="M10" i="405"/>
  <c r="J10" i="405"/>
  <c r="G22" i="405"/>
  <c r="K8" i="405"/>
  <c r="N6" i="405"/>
  <c r="K5" i="405"/>
  <c r="C25" i="405" l="1"/>
  <c r="G10" i="404"/>
  <c r="N37" i="404"/>
  <c r="C35" i="404"/>
  <c r="N34" i="404"/>
  <c r="N35" i="404" s="1"/>
  <c r="N30" i="404"/>
  <c r="K30" i="404"/>
  <c r="I29" i="404"/>
  <c r="I28" i="404"/>
  <c r="O27" i="404"/>
  <c r="M27" i="404"/>
  <c r="J27" i="404"/>
  <c r="Q26" i="404"/>
  <c r="J26" i="404"/>
  <c r="I26" i="404"/>
  <c r="Q25" i="404"/>
  <c r="N25" i="404"/>
  <c r="J25" i="404"/>
  <c r="M24" i="404"/>
  <c r="L24" i="404"/>
  <c r="Q23" i="404"/>
  <c r="O23" i="404"/>
  <c r="M23" i="404"/>
  <c r="N22" i="404"/>
  <c r="M22" i="404"/>
  <c r="J22" i="404"/>
  <c r="G22" i="404"/>
  <c r="C22" i="404"/>
  <c r="O21" i="404"/>
  <c r="J21" i="404"/>
  <c r="J20" i="404"/>
  <c r="J19" i="404"/>
  <c r="Q17" i="404"/>
  <c r="O17" i="404"/>
  <c r="J17" i="404"/>
  <c r="N16" i="404"/>
  <c r="M16" i="404"/>
  <c r="K15" i="404"/>
  <c r="J15" i="404"/>
  <c r="P14" i="404"/>
  <c r="N14" i="404"/>
  <c r="K14" i="404"/>
  <c r="N13" i="404"/>
  <c r="K13" i="404"/>
  <c r="J13" i="404"/>
  <c r="K12" i="404"/>
  <c r="M11" i="404"/>
  <c r="K11" i="404"/>
  <c r="M10" i="404"/>
  <c r="J10" i="404"/>
  <c r="K8" i="404"/>
  <c r="N6" i="404"/>
  <c r="K5" i="404"/>
  <c r="C25" i="404" l="1"/>
  <c r="N37" i="403"/>
  <c r="N35" i="403"/>
  <c r="C35" i="403"/>
  <c r="N34" i="403"/>
  <c r="N30" i="403"/>
  <c r="K30" i="403"/>
  <c r="I29" i="403"/>
  <c r="I28" i="403"/>
  <c r="O27" i="403"/>
  <c r="M27" i="403"/>
  <c r="J27" i="403"/>
  <c r="Q26" i="403"/>
  <c r="J26" i="403"/>
  <c r="I26" i="403"/>
  <c r="Q25" i="403"/>
  <c r="N25" i="403"/>
  <c r="J25" i="403"/>
  <c r="M24" i="403"/>
  <c r="L24" i="403"/>
  <c r="Q23" i="403"/>
  <c r="O23" i="403"/>
  <c r="M23" i="403"/>
  <c r="N22" i="403"/>
  <c r="M22" i="403"/>
  <c r="J22" i="403"/>
  <c r="G22" i="403"/>
  <c r="C22" i="403"/>
  <c r="O21" i="403"/>
  <c r="J21" i="403"/>
  <c r="J20" i="403"/>
  <c r="J19" i="403"/>
  <c r="Q17" i="403"/>
  <c r="O17" i="403"/>
  <c r="J17" i="403"/>
  <c r="M16" i="403"/>
  <c r="K15" i="403"/>
  <c r="J15" i="403"/>
  <c r="P14" i="403"/>
  <c r="N14" i="403"/>
  <c r="K14" i="403"/>
  <c r="N13" i="403"/>
  <c r="N16" i="403" s="1"/>
  <c r="K13" i="403"/>
  <c r="J13" i="403"/>
  <c r="K12" i="403"/>
  <c r="M11" i="403"/>
  <c r="K11" i="403"/>
  <c r="M10" i="403"/>
  <c r="J10" i="403"/>
  <c r="K8" i="403"/>
  <c r="N6" i="403"/>
  <c r="K5" i="403"/>
  <c r="C25" i="403" l="1"/>
  <c r="C35" i="402"/>
  <c r="N37" i="402" l="1"/>
  <c r="N35" i="402"/>
  <c r="N34" i="402"/>
  <c r="N30" i="402"/>
  <c r="K30" i="402"/>
  <c r="I29" i="402"/>
  <c r="I28" i="402"/>
  <c r="O27" i="402"/>
  <c r="M27" i="402"/>
  <c r="J27" i="402"/>
  <c r="Q26" i="402"/>
  <c r="J26" i="402"/>
  <c r="I26" i="402"/>
  <c r="Q25" i="402"/>
  <c r="N25" i="402"/>
  <c r="J25" i="402"/>
  <c r="M24" i="402"/>
  <c r="L24" i="402"/>
  <c r="Q23" i="402"/>
  <c r="O23" i="402"/>
  <c r="M23" i="402"/>
  <c r="N22" i="402"/>
  <c r="M22" i="402"/>
  <c r="J22" i="402"/>
  <c r="G22" i="402"/>
  <c r="C22" i="402"/>
  <c r="O21" i="402"/>
  <c r="J21" i="402"/>
  <c r="J20" i="402"/>
  <c r="J19" i="402"/>
  <c r="Q17" i="402"/>
  <c r="O17" i="402"/>
  <c r="J17" i="402"/>
  <c r="N16" i="402"/>
  <c r="M16" i="402"/>
  <c r="K15" i="402"/>
  <c r="J15" i="402"/>
  <c r="P14" i="402"/>
  <c r="N14" i="402"/>
  <c r="K14" i="402"/>
  <c r="N13" i="402"/>
  <c r="K13" i="402"/>
  <c r="J13" i="402"/>
  <c r="K12" i="402"/>
  <c r="M11" i="402"/>
  <c r="K11" i="402"/>
  <c r="M10" i="402"/>
  <c r="J10" i="402"/>
  <c r="K8" i="402"/>
  <c r="N6" i="402"/>
  <c r="K5" i="402"/>
  <c r="C25" i="402" l="1"/>
  <c r="N37" i="401"/>
  <c r="N35" i="401"/>
  <c r="N34" i="401"/>
  <c r="N30" i="401"/>
  <c r="K30" i="401"/>
  <c r="I29" i="401"/>
  <c r="I28" i="401"/>
  <c r="O27" i="401"/>
  <c r="M27" i="401"/>
  <c r="Q26" i="401"/>
  <c r="J26" i="401"/>
  <c r="J27" i="401" s="1"/>
  <c r="I26" i="401"/>
  <c r="Q25" i="401"/>
  <c r="N25" i="401"/>
  <c r="J25" i="401"/>
  <c r="M24" i="401"/>
  <c r="L24" i="401"/>
  <c r="Q23" i="401"/>
  <c r="O23" i="401"/>
  <c r="N22" i="401"/>
  <c r="M22" i="401"/>
  <c r="M23" i="401" s="1"/>
  <c r="J22" i="401"/>
  <c r="G22" i="401"/>
  <c r="C22" i="401"/>
  <c r="O21" i="401"/>
  <c r="J21" i="401"/>
  <c r="J20" i="401"/>
  <c r="J19" i="401"/>
  <c r="Q17" i="401"/>
  <c r="O17" i="401"/>
  <c r="J17" i="401"/>
  <c r="M16" i="401"/>
  <c r="K15" i="401"/>
  <c r="J15" i="401"/>
  <c r="P14" i="401"/>
  <c r="N14" i="401"/>
  <c r="K14" i="401"/>
  <c r="N13" i="401"/>
  <c r="N16" i="401" s="1"/>
  <c r="K13" i="401"/>
  <c r="J13" i="401"/>
  <c r="K12" i="401"/>
  <c r="M11" i="401"/>
  <c r="K11" i="401"/>
  <c r="M10" i="401"/>
  <c r="J10" i="401"/>
  <c r="K8" i="401"/>
  <c r="N6" i="401"/>
  <c r="K5" i="401"/>
  <c r="C25" i="401" l="1"/>
  <c r="N37" i="400"/>
  <c r="N34" i="400"/>
  <c r="N35" i="400" s="1"/>
  <c r="N30" i="400"/>
  <c r="K30" i="400"/>
  <c r="I29" i="400"/>
  <c r="I28" i="400"/>
  <c r="O27" i="400"/>
  <c r="M27" i="400"/>
  <c r="Q26" i="400"/>
  <c r="J26" i="400"/>
  <c r="J27" i="400" s="1"/>
  <c r="I26" i="400"/>
  <c r="Q25" i="400"/>
  <c r="N25" i="400"/>
  <c r="J25" i="400"/>
  <c r="M24" i="400"/>
  <c r="L24" i="400"/>
  <c r="Q23" i="400"/>
  <c r="O23" i="400"/>
  <c r="N22" i="400"/>
  <c r="M22" i="400"/>
  <c r="M23" i="400" s="1"/>
  <c r="J22" i="400"/>
  <c r="G22" i="400"/>
  <c r="C22" i="400"/>
  <c r="O21" i="400"/>
  <c r="J21" i="400"/>
  <c r="J20" i="400"/>
  <c r="J19" i="400"/>
  <c r="Q17" i="400"/>
  <c r="O17" i="400"/>
  <c r="J17" i="400"/>
  <c r="M16" i="400"/>
  <c r="K15" i="400"/>
  <c r="J15" i="400"/>
  <c r="P14" i="400"/>
  <c r="N14" i="400"/>
  <c r="N16" i="400" s="1"/>
  <c r="K14" i="400"/>
  <c r="N13" i="400"/>
  <c r="K13" i="400"/>
  <c r="J13" i="400"/>
  <c r="K12" i="400"/>
  <c r="M11" i="400"/>
  <c r="K11" i="400"/>
  <c r="M10" i="400"/>
  <c r="J10" i="400"/>
  <c r="K8" i="400"/>
  <c r="N6" i="400"/>
  <c r="K5" i="400"/>
  <c r="C25" i="400" l="1"/>
  <c r="N37" i="399"/>
  <c r="N34" i="399"/>
  <c r="N35" i="399" s="1"/>
  <c r="N30" i="399"/>
  <c r="K30" i="399"/>
  <c r="I29" i="399"/>
  <c r="I28" i="399"/>
  <c r="O27" i="399"/>
  <c r="M27" i="399"/>
  <c r="J27" i="399"/>
  <c r="Q26" i="399"/>
  <c r="J26" i="399"/>
  <c r="I26" i="399"/>
  <c r="Q25" i="399"/>
  <c r="N25" i="399"/>
  <c r="J25" i="399"/>
  <c r="M24" i="399"/>
  <c r="L24" i="399"/>
  <c r="Q23" i="399"/>
  <c r="O23" i="399"/>
  <c r="M23" i="399"/>
  <c r="N22" i="399"/>
  <c r="M22" i="399"/>
  <c r="J22" i="399"/>
  <c r="G22" i="399"/>
  <c r="C22" i="399"/>
  <c r="O21" i="399"/>
  <c r="J21" i="399"/>
  <c r="J20" i="399"/>
  <c r="J19" i="399"/>
  <c r="Q17" i="399"/>
  <c r="O17" i="399"/>
  <c r="J17" i="399"/>
  <c r="M16" i="399"/>
  <c r="K15" i="399"/>
  <c r="J15" i="399"/>
  <c r="P14" i="399"/>
  <c r="N14" i="399"/>
  <c r="K14" i="399"/>
  <c r="N13" i="399"/>
  <c r="N16" i="399" s="1"/>
  <c r="K13" i="399"/>
  <c r="J13" i="399"/>
  <c r="K12" i="399"/>
  <c r="M11" i="399"/>
  <c r="K11" i="399"/>
  <c r="M10" i="399"/>
  <c r="J10" i="399"/>
  <c r="K8" i="399"/>
  <c r="N6" i="399"/>
  <c r="K5" i="399"/>
  <c r="C25" i="399" l="1"/>
  <c r="D32" i="147"/>
  <c r="I32" i="147"/>
  <c r="N32" i="147"/>
  <c r="H35" i="147" l="1"/>
  <c r="N19" i="147"/>
  <c r="N37" i="398" l="1"/>
  <c r="N34" i="398"/>
  <c r="N35" i="398" s="1"/>
  <c r="N30" i="398"/>
  <c r="K30" i="398"/>
  <c r="I29" i="398"/>
  <c r="I28" i="398"/>
  <c r="O27" i="398"/>
  <c r="M27" i="398"/>
  <c r="J27" i="398"/>
  <c r="Q26" i="398"/>
  <c r="J26" i="398"/>
  <c r="I26" i="398"/>
  <c r="Q25" i="398"/>
  <c r="N25" i="398"/>
  <c r="J25" i="398"/>
  <c r="I25" i="398"/>
  <c r="M24" i="398"/>
  <c r="L24" i="398"/>
  <c r="Q23" i="398"/>
  <c r="O23" i="398"/>
  <c r="N22" i="398"/>
  <c r="M22" i="398"/>
  <c r="M23" i="398" s="1"/>
  <c r="J22" i="398"/>
  <c r="I22" i="398"/>
  <c r="G22" i="398"/>
  <c r="C22" i="398"/>
  <c r="O21" i="398"/>
  <c r="J21" i="398"/>
  <c r="I21" i="398"/>
  <c r="J20" i="398"/>
  <c r="J19" i="398"/>
  <c r="Q17" i="398"/>
  <c r="O17" i="398"/>
  <c r="J17" i="398"/>
  <c r="M16" i="398"/>
  <c r="K15" i="398"/>
  <c r="J15" i="398"/>
  <c r="P14" i="398"/>
  <c r="N14" i="398"/>
  <c r="K14" i="398"/>
  <c r="I14" i="398"/>
  <c r="N13" i="398"/>
  <c r="N16" i="398" s="1"/>
  <c r="K13" i="398"/>
  <c r="J13" i="398"/>
  <c r="K12" i="398"/>
  <c r="M11" i="398"/>
  <c r="K11" i="398"/>
  <c r="I11" i="398"/>
  <c r="M10" i="398"/>
  <c r="J10" i="398"/>
  <c r="K8" i="398"/>
  <c r="N6" i="398"/>
  <c r="K5" i="398"/>
  <c r="C25" i="398" l="1"/>
  <c r="N37" i="397"/>
  <c r="N35" i="397"/>
  <c r="N34" i="397"/>
  <c r="N30" i="397"/>
  <c r="K30" i="397"/>
  <c r="I29" i="397"/>
  <c r="I28" i="397"/>
  <c r="O27" i="397"/>
  <c r="M27" i="397"/>
  <c r="Q26" i="397"/>
  <c r="J26" i="397"/>
  <c r="J27" i="397" s="1"/>
  <c r="I26" i="397"/>
  <c r="Q25" i="397"/>
  <c r="N25" i="397"/>
  <c r="J25" i="397"/>
  <c r="I25" i="397"/>
  <c r="M24" i="397"/>
  <c r="L24" i="397"/>
  <c r="Q23" i="397"/>
  <c r="O23" i="397"/>
  <c r="N22" i="397"/>
  <c r="M22" i="397"/>
  <c r="M23" i="397" s="1"/>
  <c r="J22" i="397"/>
  <c r="I22" i="397"/>
  <c r="G22" i="397"/>
  <c r="C22" i="397"/>
  <c r="O21" i="397"/>
  <c r="J21" i="397"/>
  <c r="I21" i="397"/>
  <c r="J20" i="397"/>
  <c r="J19" i="397"/>
  <c r="Q17" i="397"/>
  <c r="O17" i="397"/>
  <c r="J17" i="397"/>
  <c r="M16" i="397"/>
  <c r="K15" i="397"/>
  <c r="J15" i="397"/>
  <c r="P14" i="397"/>
  <c r="N14" i="397"/>
  <c r="K14" i="397"/>
  <c r="I14" i="397"/>
  <c r="N13" i="397"/>
  <c r="K13" i="397"/>
  <c r="J13" i="397"/>
  <c r="K12" i="397"/>
  <c r="M11" i="397"/>
  <c r="K11" i="397"/>
  <c r="I11" i="397"/>
  <c r="M10" i="397"/>
  <c r="J10" i="397"/>
  <c r="K8" i="397"/>
  <c r="N6" i="397"/>
  <c r="K5" i="397"/>
  <c r="N16" i="397" l="1"/>
  <c r="C25" i="397"/>
  <c r="N37" i="396"/>
  <c r="N34" i="396"/>
  <c r="N35" i="396" s="1"/>
  <c r="N30" i="396"/>
  <c r="K30" i="396"/>
  <c r="I29" i="396"/>
  <c r="I28" i="396"/>
  <c r="O27" i="396"/>
  <c r="M27" i="396"/>
  <c r="Q26" i="396"/>
  <c r="J26" i="396"/>
  <c r="J27" i="396" s="1"/>
  <c r="I26" i="396"/>
  <c r="Q25" i="396"/>
  <c r="N25" i="396"/>
  <c r="J25" i="396"/>
  <c r="I25" i="396"/>
  <c r="M24" i="396"/>
  <c r="L24" i="396"/>
  <c r="Q23" i="396"/>
  <c r="O23" i="396"/>
  <c r="N22" i="396"/>
  <c r="M22" i="396"/>
  <c r="M23" i="396" s="1"/>
  <c r="J22" i="396"/>
  <c r="I22" i="396"/>
  <c r="G22" i="396"/>
  <c r="C22" i="396"/>
  <c r="O21" i="396"/>
  <c r="J21" i="396"/>
  <c r="I21" i="396"/>
  <c r="J20" i="396"/>
  <c r="J19" i="396"/>
  <c r="Q17" i="396"/>
  <c r="O17" i="396"/>
  <c r="J17" i="396"/>
  <c r="M16" i="396"/>
  <c r="K15" i="396"/>
  <c r="J15" i="396"/>
  <c r="P14" i="396"/>
  <c r="N14" i="396"/>
  <c r="K14" i="396"/>
  <c r="I14" i="396"/>
  <c r="N13" i="396"/>
  <c r="N16" i="396" s="1"/>
  <c r="K13" i="396"/>
  <c r="J13" i="396"/>
  <c r="K12" i="396"/>
  <c r="M11" i="396"/>
  <c r="K11" i="396"/>
  <c r="I11" i="396"/>
  <c r="M10" i="396"/>
  <c r="J10" i="396"/>
  <c r="K8" i="396"/>
  <c r="N6" i="396"/>
  <c r="K5" i="396"/>
  <c r="C25" i="396" l="1"/>
  <c r="N37" i="395"/>
  <c r="N35" i="395"/>
  <c r="N34" i="395"/>
  <c r="N30" i="395"/>
  <c r="K30" i="395"/>
  <c r="I29" i="395"/>
  <c r="I28" i="395"/>
  <c r="O27" i="395"/>
  <c r="M27" i="395"/>
  <c r="J27" i="395"/>
  <c r="Q26" i="395"/>
  <c r="J26" i="395"/>
  <c r="I26" i="395"/>
  <c r="Q25" i="395"/>
  <c r="N25" i="395"/>
  <c r="J25" i="395"/>
  <c r="I25" i="395"/>
  <c r="M24" i="395"/>
  <c r="L24" i="395"/>
  <c r="Q23" i="395"/>
  <c r="O23" i="395"/>
  <c r="M23" i="395"/>
  <c r="N22" i="395"/>
  <c r="M22" i="395"/>
  <c r="J22" i="395"/>
  <c r="I22" i="395"/>
  <c r="G22" i="395"/>
  <c r="C22" i="395"/>
  <c r="O21" i="395"/>
  <c r="J21" i="395"/>
  <c r="I21" i="395"/>
  <c r="J20" i="395"/>
  <c r="J19" i="395"/>
  <c r="Q17" i="395"/>
  <c r="O17" i="395"/>
  <c r="J17" i="395"/>
  <c r="M16" i="395"/>
  <c r="K15" i="395"/>
  <c r="J15" i="395"/>
  <c r="P14" i="395"/>
  <c r="N14" i="395"/>
  <c r="K14" i="395"/>
  <c r="I14" i="395"/>
  <c r="N13" i="395"/>
  <c r="N16" i="395" s="1"/>
  <c r="K13" i="395"/>
  <c r="J13" i="395"/>
  <c r="K12" i="395"/>
  <c r="M11" i="395"/>
  <c r="K11" i="395"/>
  <c r="I11" i="395"/>
  <c r="M10" i="395"/>
  <c r="J10" i="395"/>
  <c r="K8" i="395"/>
  <c r="N6" i="395"/>
  <c r="K5" i="395"/>
  <c r="C25" i="395" l="1"/>
  <c r="N37" i="394"/>
  <c r="N35" i="394"/>
  <c r="N34" i="394"/>
  <c r="N30" i="394"/>
  <c r="K30" i="394"/>
  <c r="I29" i="394"/>
  <c r="I28" i="394"/>
  <c r="O27" i="394"/>
  <c r="M27" i="394"/>
  <c r="Q26" i="394"/>
  <c r="J26" i="394"/>
  <c r="J27" i="394" s="1"/>
  <c r="I26" i="394"/>
  <c r="Q25" i="394"/>
  <c r="N25" i="394"/>
  <c r="J25" i="394"/>
  <c r="I25" i="394"/>
  <c r="M24" i="394"/>
  <c r="L24" i="394"/>
  <c r="Q23" i="394"/>
  <c r="O23" i="394"/>
  <c r="N22" i="394"/>
  <c r="M22" i="394"/>
  <c r="M23" i="394" s="1"/>
  <c r="J22" i="394"/>
  <c r="I22" i="394"/>
  <c r="G22" i="394"/>
  <c r="C22" i="394"/>
  <c r="O21" i="394"/>
  <c r="J21" i="394"/>
  <c r="I21" i="394"/>
  <c r="J20" i="394"/>
  <c r="J19" i="394"/>
  <c r="Q17" i="394"/>
  <c r="O17" i="394"/>
  <c r="J17" i="394"/>
  <c r="M16" i="394"/>
  <c r="K15" i="394"/>
  <c r="J15" i="394"/>
  <c r="P14" i="394"/>
  <c r="N14" i="394"/>
  <c r="K14" i="394"/>
  <c r="I14" i="394"/>
  <c r="N13" i="394"/>
  <c r="N16" i="394" s="1"/>
  <c r="K13" i="394"/>
  <c r="J13" i="394"/>
  <c r="K12" i="394"/>
  <c r="M11" i="394"/>
  <c r="K11" i="394"/>
  <c r="I11" i="394"/>
  <c r="M10" i="394"/>
  <c r="J10" i="394"/>
  <c r="K8" i="394"/>
  <c r="N6" i="394"/>
  <c r="K5" i="394"/>
  <c r="C25" i="394" l="1"/>
  <c r="C4" i="393"/>
  <c r="N37" i="393" l="1"/>
  <c r="N34" i="393"/>
  <c r="N35" i="393" s="1"/>
  <c r="N30" i="393"/>
  <c r="K30" i="393"/>
  <c r="I29" i="393"/>
  <c r="I28" i="393"/>
  <c r="O27" i="393"/>
  <c r="M27" i="393"/>
  <c r="J27" i="393"/>
  <c r="Q26" i="393"/>
  <c r="J26" i="393"/>
  <c r="I26" i="393"/>
  <c r="Q25" i="393"/>
  <c r="N25" i="393"/>
  <c r="J25" i="393"/>
  <c r="I25" i="393"/>
  <c r="M24" i="393"/>
  <c r="L24" i="393"/>
  <c r="Q23" i="393"/>
  <c r="O23" i="393"/>
  <c r="N22" i="393"/>
  <c r="M22" i="393"/>
  <c r="M23" i="393" s="1"/>
  <c r="J22" i="393"/>
  <c r="I22" i="393"/>
  <c r="G22" i="393"/>
  <c r="C22" i="393"/>
  <c r="O21" i="393"/>
  <c r="J21" i="393"/>
  <c r="I21" i="393"/>
  <c r="J20" i="393"/>
  <c r="J19" i="393"/>
  <c r="Q17" i="393"/>
  <c r="O17" i="393"/>
  <c r="J17" i="393"/>
  <c r="M16" i="393"/>
  <c r="K15" i="393"/>
  <c r="J15" i="393"/>
  <c r="P14" i="393"/>
  <c r="N14" i="393"/>
  <c r="K14" i="393"/>
  <c r="I14" i="393"/>
  <c r="N13" i="393"/>
  <c r="N16" i="393" s="1"/>
  <c r="K13" i="393"/>
  <c r="J13" i="393"/>
  <c r="K12" i="393"/>
  <c r="M11" i="393"/>
  <c r="K11" i="393"/>
  <c r="I11" i="393"/>
  <c r="M10" i="393"/>
  <c r="J10" i="393"/>
  <c r="K8" i="393"/>
  <c r="N6" i="393"/>
  <c r="K5" i="393"/>
  <c r="C25" i="393" l="1"/>
  <c r="C4" i="392"/>
  <c r="N37" i="392"/>
  <c r="N34" i="392"/>
  <c r="N35" i="392" s="1"/>
  <c r="N30" i="392"/>
  <c r="K30" i="392"/>
  <c r="I29" i="392"/>
  <c r="I28" i="392"/>
  <c r="O27" i="392"/>
  <c r="M27" i="392"/>
  <c r="Q26" i="392"/>
  <c r="J26" i="392"/>
  <c r="J27" i="392" s="1"/>
  <c r="I26" i="392"/>
  <c r="Q25" i="392"/>
  <c r="N25" i="392"/>
  <c r="J25" i="392"/>
  <c r="I25" i="392"/>
  <c r="M24" i="392"/>
  <c r="L24" i="392"/>
  <c r="Q23" i="392"/>
  <c r="O23" i="392"/>
  <c r="N22" i="392"/>
  <c r="M22" i="392"/>
  <c r="M23" i="392" s="1"/>
  <c r="J22" i="392"/>
  <c r="I22" i="392"/>
  <c r="G22" i="392"/>
  <c r="C22" i="392"/>
  <c r="O21" i="392"/>
  <c r="J21" i="392"/>
  <c r="I21" i="392"/>
  <c r="J20" i="392"/>
  <c r="J19" i="392"/>
  <c r="Q17" i="392"/>
  <c r="O17" i="392"/>
  <c r="J17" i="392"/>
  <c r="M16" i="392"/>
  <c r="K15" i="392"/>
  <c r="J15" i="392"/>
  <c r="P14" i="392"/>
  <c r="N14" i="392"/>
  <c r="K14" i="392"/>
  <c r="I14" i="392"/>
  <c r="N13" i="392"/>
  <c r="N16" i="392" s="1"/>
  <c r="K13" i="392"/>
  <c r="J13" i="392"/>
  <c r="K12" i="392"/>
  <c r="M11" i="392"/>
  <c r="K11" i="392"/>
  <c r="I11" i="392"/>
  <c r="M10" i="392"/>
  <c r="J10" i="392"/>
  <c r="K8" i="392"/>
  <c r="N6" i="392"/>
  <c r="K5" i="392"/>
  <c r="C25" i="392" l="1"/>
  <c r="N37" i="391"/>
  <c r="N34" i="391"/>
  <c r="N35" i="391" s="1"/>
  <c r="N30" i="391"/>
  <c r="K30" i="391"/>
  <c r="I29" i="391"/>
  <c r="I28" i="391"/>
  <c r="O27" i="391"/>
  <c r="M27" i="391"/>
  <c r="Q26" i="391"/>
  <c r="J26" i="391"/>
  <c r="J27" i="391" s="1"/>
  <c r="I26" i="391"/>
  <c r="Q25" i="391"/>
  <c r="N25" i="391"/>
  <c r="J25" i="391"/>
  <c r="I25" i="391"/>
  <c r="M24" i="391"/>
  <c r="L24" i="391"/>
  <c r="Q23" i="391"/>
  <c r="O23" i="391"/>
  <c r="N22" i="391"/>
  <c r="M22" i="391"/>
  <c r="M23" i="391" s="1"/>
  <c r="J22" i="391"/>
  <c r="I22" i="391"/>
  <c r="G22" i="391"/>
  <c r="O21" i="391"/>
  <c r="J21" i="391"/>
  <c r="I21" i="391"/>
  <c r="J20" i="391"/>
  <c r="J19" i="391"/>
  <c r="Q17" i="391"/>
  <c r="O17" i="391"/>
  <c r="J17" i="391"/>
  <c r="M16" i="391"/>
  <c r="K15" i="391"/>
  <c r="J15" i="391"/>
  <c r="P14" i="391"/>
  <c r="N14" i="391"/>
  <c r="K14" i="391"/>
  <c r="I14" i="391"/>
  <c r="N13" i="391"/>
  <c r="K13" i="391"/>
  <c r="J13" i="391"/>
  <c r="K12" i="391"/>
  <c r="M11" i="391"/>
  <c r="K11" i="391"/>
  <c r="I11" i="391"/>
  <c r="M10" i="391"/>
  <c r="J10" i="391"/>
  <c r="K8" i="391"/>
  <c r="N6" i="391"/>
  <c r="K5" i="391"/>
  <c r="C22" i="391"/>
  <c r="N16" i="391" l="1"/>
  <c r="C25" i="391"/>
  <c r="C4" i="390"/>
  <c r="C22" i="390" s="1"/>
  <c r="N37" i="390"/>
  <c r="N34" i="390"/>
  <c r="N35" i="390" s="1"/>
  <c r="N30" i="390"/>
  <c r="K30" i="390"/>
  <c r="I29" i="390"/>
  <c r="I28" i="390"/>
  <c r="O27" i="390"/>
  <c r="M27" i="390"/>
  <c r="Q26" i="390"/>
  <c r="J26" i="390"/>
  <c r="J27" i="390" s="1"/>
  <c r="I26" i="390"/>
  <c r="Q25" i="390"/>
  <c r="N25" i="390"/>
  <c r="J25" i="390"/>
  <c r="I25" i="390"/>
  <c r="M24" i="390"/>
  <c r="L24" i="390"/>
  <c r="Q23" i="390"/>
  <c r="O23" i="390"/>
  <c r="N22" i="390"/>
  <c r="M22" i="390"/>
  <c r="M23" i="390" s="1"/>
  <c r="J22" i="390"/>
  <c r="I22" i="390"/>
  <c r="G22" i="390"/>
  <c r="O21" i="390"/>
  <c r="J21" i="390"/>
  <c r="I21" i="390"/>
  <c r="J20" i="390"/>
  <c r="J19" i="390"/>
  <c r="Q17" i="390"/>
  <c r="O17" i="390"/>
  <c r="J17" i="390"/>
  <c r="M16" i="390"/>
  <c r="K15" i="390"/>
  <c r="J15" i="390"/>
  <c r="P14" i="390"/>
  <c r="N14" i="390"/>
  <c r="K14" i="390"/>
  <c r="I14" i="390"/>
  <c r="N13" i="390"/>
  <c r="K13" i="390"/>
  <c r="J13" i="390"/>
  <c r="K12" i="390"/>
  <c r="M11" i="390"/>
  <c r="K11" i="390"/>
  <c r="I11" i="390"/>
  <c r="M10" i="390"/>
  <c r="J10" i="390"/>
  <c r="K8" i="390"/>
  <c r="N6" i="390"/>
  <c r="K5" i="390"/>
  <c r="N16" i="390" l="1"/>
  <c r="C25" i="390"/>
  <c r="N37" i="389"/>
  <c r="N34" i="389"/>
  <c r="N35" i="389" s="1"/>
  <c r="N30" i="389"/>
  <c r="K30" i="389"/>
  <c r="I29" i="389"/>
  <c r="I28" i="389"/>
  <c r="O27" i="389"/>
  <c r="M27" i="389"/>
  <c r="Q26" i="389"/>
  <c r="J26" i="389"/>
  <c r="J27" i="389" s="1"/>
  <c r="I26" i="389"/>
  <c r="Q25" i="389"/>
  <c r="N25" i="389"/>
  <c r="J25" i="389"/>
  <c r="I25" i="389"/>
  <c r="M24" i="389"/>
  <c r="L24" i="389"/>
  <c r="Q23" i="389"/>
  <c r="O23" i="389"/>
  <c r="N22" i="389"/>
  <c r="M22" i="389"/>
  <c r="M23" i="389" s="1"/>
  <c r="J22" i="389"/>
  <c r="I22" i="389"/>
  <c r="G22" i="389"/>
  <c r="C22" i="389"/>
  <c r="O21" i="389"/>
  <c r="J21" i="389"/>
  <c r="I21" i="389"/>
  <c r="J20" i="389"/>
  <c r="J19" i="389"/>
  <c r="Q17" i="389"/>
  <c r="O17" i="389"/>
  <c r="J17" i="389"/>
  <c r="M16" i="389"/>
  <c r="K15" i="389"/>
  <c r="J15" i="389"/>
  <c r="P14" i="389"/>
  <c r="N14" i="389"/>
  <c r="K14" i="389"/>
  <c r="I14" i="389"/>
  <c r="N13" i="389"/>
  <c r="N16" i="389" s="1"/>
  <c r="K13" i="389"/>
  <c r="J13" i="389"/>
  <c r="K12" i="389"/>
  <c r="M11" i="389"/>
  <c r="K11" i="389"/>
  <c r="I11" i="389"/>
  <c r="M10" i="389"/>
  <c r="J10" i="389"/>
  <c r="K8" i="389"/>
  <c r="N6" i="389"/>
  <c r="K5" i="389"/>
  <c r="C25" i="389" l="1"/>
  <c r="N37" i="388"/>
  <c r="N34" i="388"/>
  <c r="N35" i="388" s="1"/>
  <c r="N30" i="388"/>
  <c r="K30" i="388"/>
  <c r="I29" i="388"/>
  <c r="I28" i="388"/>
  <c r="O27" i="388"/>
  <c r="M27" i="388"/>
  <c r="Q26" i="388"/>
  <c r="J26" i="388"/>
  <c r="J27" i="388" s="1"/>
  <c r="I26" i="388"/>
  <c r="Q25" i="388"/>
  <c r="N25" i="388"/>
  <c r="J25" i="388"/>
  <c r="I25" i="388"/>
  <c r="M24" i="388"/>
  <c r="L24" i="388"/>
  <c r="Q23" i="388"/>
  <c r="O23" i="388"/>
  <c r="N22" i="388"/>
  <c r="M22" i="388"/>
  <c r="M23" i="388" s="1"/>
  <c r="J22" i="388"/>
  <c r="I22" i="388"/>
  <c r="G22" i="388"/>
  <c r="C22" i="388"/>
  <c r="O21" i="388"/>
  <c r="J21" i="388"/>
  <c r="I21" i="388"/>
  <c r="J20" i="388"/>
  <c r="J19" i="388"/>
  <c r="Q17" i="388"/>
  <c r="O17" i="388"/>
  <c r="J17" i="388"/>
  <c r="M16" i="388"/>
  <c r="K15" i="388"/>
  <c r="J15" i="388"/>
  <c r="P14" i="388"/>
  <c r="N14" i="388"/>
  <c r="K14" i="388"/>
  <c r="I14" i="388"/>
  <c r="N13" i="388"/>
  <c r="K13" i="388"/>
  <c r="J13" i="388"/>
  <c r="K12" i="388"/>
  <c r="M11" i="388"/>
  <c r="K11" i="388"/>
  <c r="I11" i="388"/>
  <c r="M10" i="388"/>
  <c r="J10" i="388"/>
  <c r="K8" i="388"/>
  <c r="N6" i="388"/>
  <c r="K5" i="388"/>
  <c r="N16" i="388" l="1"/>
  <c r="C25" i="388"/>
  <c r="N37" i="387"/>
  <c r="N34" i="387"/>
  <c r="N35" i="387" s="1"/>
  <c r="N30" i="387"/>
  <c r="K30" i="387"/>
  <c r="I29" i="387"/>
  <c r="I28" i="387"/>
  <c r="O27" i="387"/>
  <c r="M27" i="387"/>
  <c r="Q26" i="387"/>
  <c r="J26" i="387"/>
  <c r="J27" i="387" s="1"/>
  <c r="I26" i="387"/>
  <c r="Q25" i="387"/>
  <c r="N25" i="387"/>
  <c r="J25" i="387"/>
  <c r="I25" i="387"/>
  <c r="M24" i="387"/>
  <c r="L24" i="387"/>
  <c r="Q23" i="387"/>
  <c r="O23" i="387"/>
  <c r="N22" i="387"/>
  <c r="M22" i="387"/>
  <c r="M23" i="387" s="1"/>
  <c r="J22" i="387"/>
  <c r="I22" i="387"/>
  <c r="G22" i="387"/>
  <c r="C22" i="387"/>
  <c r="O21" i="387"/>
  <c r="J21" i="387"/>
  <c r="I21" i="387"/>
  <c r="J20" i="387"/>
  <c r="J19" i="387"/>
  <c r="Q17" i="387"/>
  <c r="O17" i="387"/>
  <c r="J17" i="387"/>
  <c r="M16" i="387"/>
  <c r="K15" i="387"/>
  <c r="J15" i="387"/>
  <c r="P14" i="387"/>
  <c r="N14" i="387"/>
  <c r="K14" i="387"/>
  <c r="I14" i="387"/>
  <c r="N13" i="387"/>
  <c r="K13" i="387"/>
  <c r="J13" i="387"/>
  <c r="K12" i="387"/>
  <c r="M11" i="387"/>
  <c r="K11" i="387"/>
  <c r="I11" i="387"/>
  <c r="M10" i="387"/>
  <c r="J10" i="387"/>
  <c r="K8" i="387"/>
  <c r="N6" i="387"/>
  <c r="K5" i="387"/>
  <c r="N16" i="387" l="1"/>
  <c r="C25" i="387"/>
  <c r="N37" i="386"/>
  <c r="N34" i="386"/>
  <c r="N35" i="386" s="1"/>
  <c r="N30" i="386"/>
  <c r="K30" i="386"/>
  <c r="I29" i="386"/>
  <c r="I28" i="386"/>
  <c r="O27" i="386"/>
  <c r="M27" i="386"/>
  <c r="Q26" i="386"/>
  <c r="J26" i="386"/>
  <c r="J27" i="386" s="1"/>
  <c r="I26" i="386"/>
  <c r="Q25" i="386"/>
  <c r="N25" i="386"/>
  <c r="J25" i="386"/>
  <c r="I25" i="386"/>
  <c r="M24" i="386"/>
  <c r="L24" i="386"/>
  <c r="Q23" i="386"/>
  <c r="O23" i="386"/>
  <c r="N22" i="386"/>
  <c r="M22" i="386"/>
  <c r="M23" i="386" s="1"/>
  <c r="J22" i="386"/>
  <c r="I22" i="386"/>
  <c r="G22" i="386"/>
  <c r="C22" i="386"/>
  <c r="O21" i="386"/>
  <c r="J21" i="386"/>
  <c r="I21" i="386"/>
  <c r="J20" i="386"/>
  <c r="J19" i="386"/>
  <c r="Q17" i="386"/>
  <c r="O17" i="386"/>
  <c r="J17" i="386"/>
  <c r="M16" i="386"/>
  <c r="K15" i="386"/>
  <c r="J15" i="386"/>
  <c r="P14" i="386"/>
  <c r="N14" i="386"/>
  <c r="K14" i="386"/>
  <c r="I14" i="386"/>
  <c r="N13" i="386"/>
  <c r="K13" i="386"/>
  <c r="J13" i="386"/>
  <c r="K12" i="386"/>
  <c r="M11" i="386"/>
  <c r="K11" i="386"/>
  <c r="I11" i="386"/>
  <c r="M10" i="386"/>
  <c r="J10" i="386"/>
  <c r="K8" i="386"/>
  <c r="N6" i="386"/>
  <c r="K5" i="386"/>
  <c r="N16" i="386" l="1"/>
  <c r="C25" i="386"/>
  <c r="N37" i="385"/>
  <c r="N34" i="385"/>
  <c r="N35" i="385" s="1"/>
  <c r="N30" i="385"/>
  <c r="K30" i="385"/>
  <c r="I29" i="385"/>
  <c r="I28" i="385"/>
  <c r="O27" i="385"/>
  <c r="M27" i="385"/>
  <c r="Q26" i="385"/>
  <c r="J26" i="385"/>
  <c r="J27" i="385" s="1"/>
  <c r="I26" i="385"/>
  <c r="Q25" i="385"/>
  <c r="N25" i="385"/>
  <c r="J25" i="385"/>
  <c r="I25" i="385"/>
  <c r="M24" i="385"/>
  <c r="L24" i="385"/>
  <c r="Q23" i="385"/>
  <c r="O23" i="385"/>
  <c r="N22" i="385"/>
  <c r="M22" i="385"/>
  <c r="M23" i="385" s="1"/>
  <c r="J22" i="385"/>
  <c r="I22" i="385"/>
  <c r="G22" i="385"/>
  <c r="C22" i="385"/>
  <c r="O21" i="385"/>
  <c r="J21" i="385"/>
  <c r="I21" i="385"/>
  <c r="J20" i="385"/>
  <c r="J19" i="385"/>
  <c r="Q17" i="385"/>
  <c r="O17" i="385"/>
  <c r="J17" i="385"/>
  <c r="M16" i="385"/>
  <c r="K15" i="385"/>
  <c r="J15" i="385"/>
  <c r="P14" i="385"/>
  <c r="N14" i="385"/>
  <c r="K14" i="385"/>
  <c r="I14" i="385"/>
  <c r="N13" i="385"/>
  <c r="N16" i="385" s="1"/>
  <c r="K13" i="385"/>
  <c r="J13" i="385"/>
  <c r="K12" i="385"/>
  <c r="M11" i="385"/>
  <c r="K11" i="385"/>
  <c r="I11" i="385"/>
  <c r="M10" i="385"/>
  <c r="J10" i="385"/>
  <c r="K8" i="385"/>
  <c r="N6" i="385"/>
  <c r="K5" i="385"/>
  <c r="C25" i="385" l="1"/>
  <c r="J15" i="384"/>
  <c r="N37" i="384" l="1"/>
  <c r="N34" i="384"/>
  <c r="N35" i="384" s="1"/>
  <c r="N30" i="384"/>
  <c r="K30" i="384"/>
  <c r="I29" i="384"/>
  <c r="I28" i="384"/>
  <c r="O27" i="384"/>
  <c r="M27" i="384"/>
  <c r="Q26" i="384"/>
  <c r="J26" i="384"/>
  <c r="J27" i="384" s="1"/>
  <c r="I26" i="384"/>
  <c r="Q25" i="384"/>
  <c r="N25" i="384"/>
  <c r="J25" i="384"/>
  <c r="I25" i="384"/>
  <c r="M24" i="384"/>
  <c r="L24" i="384"/>
  <c r="Q23" i="384"/>
  <c r="O23" i="384"/>
  <c r="N22" i="384"/>
  <c r="M22" i="384"/>
  <c r="M23" i="384" s="1"/>
  <c r="J22" i="384"/>
  <c r="I22" i="384"/>
  <c r="G22" i="384"/>
  <c r="C22" i="384"/>
  <c r="O21" i="384"/>
  <c r="J21" i="384"/>
  <c r="I21" i="384"/>
  <c r="J20" i="384"/>
  <c r="J19" i="384"/>
  <c r="Q17" i="384"/>
  <c r="O17" i="384"/>
  <c r="J17" i="384"/>
  <c r="M16" i="384"/>
  <c r="K15" i="384"/>
  <c r="P14" i="384"/>
  <c r="N14" i="384"/>
  <c r="K14" i="384"/>
  <c r="I14" i="384"/>
  <c r="N13" i="384"/>
  <c r="K13" i="384"/>
  <c r="J13" i="384"/>
  <c r="K12" i="384"/>
  <c r="M11" i="384"/>
  <c r="K11" i="384"/>
  <c r="I11" i="384"/>
  <c r="M10" i="384"/>
  <c r="J10" i="384"/>
  <c r="K8" i="384"/>
  <c r="N6" i="384"/>
  <c r="K5" i="384"/>
  <c r="N16" i="384" l="1"/>
  <c r="C25" i="384"/>
  <c r="N37" i="383"/>
  <c r="N34" i="383"/>
  <c r="N35" i="383" s="1"/>
  <c r="N30" i="383"/>
  <c r="K30" i="383"/>
  <c r="I29" i="383"/>
  <c r="I28" i="383"/>
  <c r="O27" i="383"/>
  <c r="M27" i="383"/>
  <c r="Q26" i="383"/>
  <c r="J26" i="383"/>
  <c r="J27" i="383" s="1"/>
  <c r="I26" i="383"/>
  <c r="Q25" i="383"/>
  <c r="N25" i="383"/>
  <c r="J25" i="383"/>
  <c r="I25" i="383"/>
  <c r="M24" i="383"/>
  <c r="L24" i="383"/>
  <c r="Q23" i="383"/>
  <c r="O23" i="383"/>
  <c r="N22" i="383"/>
  <c r="M22" i="383"/>
  <c r="M23" i="383" s="1"/>
  <c r="J22" i="383"/>
  <c r="I22" i="383"/>
  <c r="G22" i="383"/>
  <c r="C22" i="383"/>
  <c r="O21" i="383"/>
  <c r="J21" i="383"/>
  <c r="I21" i="383"/>
  <c r="J20" i="383"/>
  <c r="J19" i="383"/>
  <c r="Q17" i="383"/>
  <c r="O17" i="383"/>
  <c r="J17" i="383"/>
  <c r="M16" i="383"/>
  <c r="K15" i="383"/>
  <c r="P14" i="383"/>
  <c r="N14" i="383"/>
  <c r="K14" i="383"/>
  <c r="I14" i="383"/>
  <c r="N13" i="383"/>
  <c r="K13" i="383"/>
  <c r="J13" i="383"/>
  <c r="J15" i="383" s="1"/>
  <c r="K12" i="383"/>
  <c r="M11" i="383"/>
  <c r="K11" i="383"/>
  <c r="I11" i="383"/>
  <c r="M10" i="383"/>
  <c r="J10" i="383"/>
  <c r="K8" i="383"/>
  <c r="N6" i="383"/>
  <c r="K5" i="383"/>
  <c r="N16" i="383" l="1"/>
  <c r="C25" i="383"/>
  <c r="J20" i="382"/>
  <c r="J19" i="382"/>
  <c r="C4" i="382"/>
  <c r="C22" i="382" s="1"/>
  <c r="N37" i="382"/>
  <c r="N35" i="382"/>
  <c r="N34" i="382"/>
  <c r="N30" i="382"/>
  <c r="K30" i="382"/>
  <c r="I29" i="382"/>
  <c r="I28" i="382"/>
  <c r="O27" i="382"/>
  <c r="M27" i="382"/>
  <c r="Q26" i="382"/>
  <c r="J26" i="382"/>
  <c r="J27" i="382" s="1"/>
  <c r="I26" i="382"/>
  <c r="Q25" i="382"/>
  <c r="N25" i="382"/>
  <c r="J25" i="382"/>
  <c r="I25" i="382"/>
  <c r="M24" i="382"/>
  <c r="L24" i="382"/>
  <c r="Q23" i="382"/>
  <c r="O23" i="382"/>
  <c r="N22" i="382"/>
  <c r="M22" i="382"/>
  <c r="M23" i="382" s="1"/>
  <c r="J22" i="382"/>
  <c r="I22" i="382"/>
  <c r="G22" i="382"/>
  <c r="O21" i="382"/>
  <c r="J21" i="382"/>
  <c r="I21" i="382"/>
  <c r="Q17" i="382"/>
  <c r="O17" i="382"/>
  <c r="J17" i="382"/>
  <c r="M16" i="382"/>
  <c r="K15" i="382"/>
  <c r="P14" i="382"/>
  <c r="N14" i="382"/>
  <c r="K14" i="382"/>
  <c r="I14" i="382"/>
  <c r="N13" i="382"/>
  <c r="K13" i="382"/>
  <c r="J13" i="382"/>
  <c r="J15" i="382" s="1"/>
  <c r="K12" i="382"/>
  <c r="M11" i="382"/>
  <c r="K11" i="382"/>
  <c r="I11" i="382"/>
  <c r="M10" i="382"/>
  <c r="J10" i="382"/>
  <c r="K8" i="382"/>
  <c r="N6" i="382"/>
  <c r="K5" i="382"/>
  <c r="N16" i="382" l="1"/>
  <c r="C25" i="382"/>
  <c r="N37" i="381"/>
  <c r="N34" i="381"/>
  <c r="N35" i="381" s="1"/>
  <c r="N30" i="381"/>
  <c r="K30" i="381"/>
  <c r="I29" i="381"/>
  <c r="I28" i="381"/>
  <c r="O27" i="381"/>
  <c r="M27" i="381"/>
  <c r="Q26" i="381"/>
  <c r="J26" i="381"/>
  <c r="J27" i="381" s="1"/>
  <c r="I26" i="381"/>
  <c r="Q25" i="381"/>
  <c r="N25" i="381"/>
  <c r="J25" i="381"/>
  <c r="I25" i="381"/>
  <c r="M24" i="381"/>
  <c r="L24" i="381"/>
  <c r="Q23" i="381"/>
  <c r="O23" i="381"/>
  <c r="N22" i="381"/>
  <c r="M22" i="381"/>
  <c r="M23" i="381" s="1"/>
  <c r="J22" i="381"/>
  <c r="I22" i="381"/>
  <c r="G22" i="381"/>
  <c r="C22" i="381"/>
  <c r="O21" i="381"/>
  <c r="J21" i="381"/>
  <c r="I21" i="381"/>
  <c r="J19" i="381"/>
  <c r="Q17" i="381"/>
  <c r="O17" i="381"/>
  <c r="J17" i="381"/>
  <c r="M16" i="381"/>
  <c r="K15" i="381"/>
  <c r="P14" i="381"/>
  <c r="N14" i="381"/>
  <c r="K14" i="381"/>
  <c r="I14" i="381"/>
  <c r="N13" i="381"/>
  <c r="K13" i="381"/>
  <c r="J13" i="381"/>
  <c r="J15" i="381" s="1"/>
  <c r="K12" i="381"/>
  <c r="M11" i="381"/>
  <c r="K11" i="381"/>
  <c r="I11" i="381"/>
  <c r="M10" i="381"/>
  <c r="J10" i="381"/>
  <c r="K8" i="381"/>
  <c r="N6" i="381"/>
  <c r="K5" i="381"/>
  <c r="N16" i="381" l="1"/>
  <c r="C25" i="381"/>
  <c r="N37" i="380"/>
  <c r="N34" i="380"/>
  <c r="N35" i="380" s="1"/>
  <c r="N30" i="380"/>
  <c r="K30" i="380"/>
  <c r="I29" i="380"/>
  <c r="I28" i="380"/>
  <c r="O27" i="380"/>
  <c r="M27" i="380"/>
  <c r="Q26" i="380"/>
  <c r="J26" i="380"/>
  <c r="J27" i="380" s="1"/>
  <c r="I26" i="380"/>
  <c r="Q25" i="380"/>
  <c r="N25" i="380"/>
  <c r="J25" i="380"/>
  <c r="I25" i="380"/>
  <c r="M24" i="380"/>
  <c r="L24" i="380"/>
  <c r="Q23" i="380"/>
  <c r="O23" i="380"/>
  <c r="N22" i="380"/>
  <c r="M22" i="380"/>
  <c r="M23" i="380" s="1"/>
  <c r="J22" i="380"/>
  <c r="I22" i="380"/>
  <c r="G22" i="380"/>
  <c r="C22" i="380"/>
  <c r="O21" i="380"/>
  <c r="J21" i="380"/>
  <c r="I21" i="380"/>
  <c r="J19" i="380"/>
  <c r="Q17" i="380"/>
  <c r="O17" i="380"/>
  <c r="J17" i="380"/>
  <c r="M16" i="380"/>
  <c r="K15" i="380"/>
  <c r="P14" i="380"/>
  <c r="N14" i="380"/>
  <c r="K14" i="380"/>
  <c r="I14" i="380"/>
  <c r="N13" i="380"/>
  <c r="N16" i="380" s="1"/>
  <c r="K13" i="380"/>
  <c r="J13" i="380"/>
  <c r="J15" i="380" s="1"/>
  <c r="K12" i="380"/>
  <c r="M11" i="380"/>
  <c r="K11" i="380"/>
  <c r="I11" i="380"/>
  <c r="M10" i="380"/>
  <c r="J10" i="380"/>
  <c r="K8" i="380"/>
  <c r="N6" i="380"/>
  <c r="K5" i="380"/>
  <c r="C25" i="380" l="1"/>
  <c r="N37" i="379"/>
  <c r="N35" i="379"/>
  <c r="N34" i="379"/>
  <c r="N30" i="379"/>
  <c r="K30" i="379"/>
  <c r="I29" i="379"/>
  <c r="I28" i="379"/>
  <c r="O27" i="379"/>
  <c r="M27" i="379"/>
  <c r="Q26" i="379"/>
  <c r="J26" i="379"/>
  <c r="J27" i="379" s="1"/>
  <c r="I26" i="379"/>
  <c r="Q25" i="379"/>
  <c r="N25" i="379"/>
  <c r="J25" i="379"/>
  <c r="I25" i="379"/>
  <c r="M24" i="379"/>
  <c r="L24" i="379"/>
  <c r="Q23" i="379"/>
  <c r="O23" i="379"/>
  <c r="N22" i="379"/>
  <c r="M22" i="379"/>
  <c r="M23" i="379" s="1"/>
  <c r="J22" i="379"/>
  <c r="I22" i="379"/>
  <c r="G22" i="379"/>
  <c r="C22" i="379"/>
  <c r="O21" i="379"/>
  <c r="J21" i="379"/>
  <c r="I21" i="379"/>
  <c r="J19" i="379"/>
  <c r="Q17" i="379"/>
  <c r="O17" i="379"/>
  <c r="J17" i="379"/>
  <c r="M16" i="379"/>
  <c r="K15" i="379"/>
  <c r="P14" i="379"/>
  <c r="N14" i="379"/>
  <c r="K14" i="379"/>
  <c r="I14" i="379"/>
  <c r="N13" i="379"/>
  <c r="K13" i="379"/>
  <c r="J13" i="379"/>
  <c r="J15" i="379" s="1"/>
  <c r="K12" i="379"/>
  <c r="M11" i="379"/>
  <c r="K11" i="379"/>
  <c r="I11" i="379"/>
  <c r="M10" i="379"/>
  <c r="J10" i="379"/>
  <c r="K8" i="379"/>
  <c r="N6" i="379"/>
  <c r="K5" i="379"/>
  <c r="N16" i="379" l="1"/>
  <c r="C25" i="379"/>
  <c r="N37" i="378"/>
  <c r="N34" i="378"/>
  <c r="N35" i="378" s="1"/>
  <c r="N30" i="378"/>
  <c r="K30" i="378"/>
  <c r="I29" i="378"/>
  <c r="I28" i="378"/>
  <c r="O27" i="378"/>
  <c r="M27" i="378"/>
  <c r="Q26" i="378"/>
  <c r="J26" i="378"/>
  <c r="J27" i="378" s="1"/>
  <c r="I26" i="378"/>
  <c r="Q25" i="378"/>
  <c r="N25" i="378"/>
  <c r="J25" i="378"/>
  <c r="I25" i="378"/>
  <c r="M24" i="378"/>
  <c r="L24" i="378"/>
  <c r="Q23" i="378"/>
  <c r="O23" i="378"/>
  <c r="N22" i="378"/>
  <c r="M22" i="378"/>
  <c r="M23" i="378" s="1"/>
  <c r="J22" i="378"/>
  <c r="I22" i="378"/>
  <c r="G22" i="378"/>
  <c r="O21" i="378"/>
  <c r="J21" i="378"/>
  <c r="I21" i="378"/>
  <c r="J19" i="378"/>
  <c r="Q17" i="378"/>
  <c r="O17" i="378"/>
  <c r="J17" i="378"/>
  <c r="M16" i="378"/>
  <c r="K15" i="378"/>
  <c r="P14" i="378"/>
  <c r="N14" i="378"/>
  <c r="K14" i="378"/>
  <c r="I14" i="378"/>
  <c r="N13" i="378"/>
  <c r="N16" i="378" s="1"/>
  <c r="K13" i="378"/>
  <c r="J13" i="378"/>
  <c r="J15" i="378" s="1"/>
  <c r="K12" i="378"/>
  <c r="M11" i="378"/>
  <c r="K11" i="378"/>
  <c r="I11" i="378"/>
  <c r="M10" i="378"/>
  <c r="J10" i="378"/>
  <c r="K8" i="378"/>
  <c r="N6" i="378"/>
  <c r="K5" i="378"/>
  <c r="C22" i="378"/>
  <c r="C4" i="377"/>
  <c r="C25" i="378" l="1"/>
  <c r="N37" i="377"/>
  <c r="N35" i="377"/>
  <c r="N34" i="377"/>
  <c r="N30" i="377"/>
  <c r="K30" i="377"/>
  <c r="I29" i="377"/>
  <c r="I28" i="377"/>
  <c r="O27" i="377"/>
  <c r="M27" i="377"/>
  <c r="Q26" i="377"/>
  <c r="J26" i="377"/>
  <c r="J27" i="377" s="1"/>
  <c r="I26" i="377"/>
  <c r="Q25" i="377"/>
  <c r="N25" i="377"/>
  <c r="J25" i="377"/>
  <c r="I25" i="377"/>
  <c r="M24" i="377"/>
  <c r="L24" i="377"/>
  <c r="Q23" i="377"/>
  <c r="O23" i="377"/>
  <c r="N22" i="377"/>
  <c r="M22" i="377"/>
  <c r="M23" i="377" s="1"/>
  <c r="J22" i="377"/>
  <c r="I22" i="377"/>
  <c r="G22" i="377"/>
  <c r="O21" i="377"/>
  <c r="J21" i="377"/>
  <c r="I21" i="377"/>
  <c r="J19" i="377"/>
  <c r="Q17" i="377"/>
  <c r="O17" i="377"/>
  <c r="J17" i="377"/>
  <c r="M16" i="377"/>
  <c r="K15" i="377"/>
  <c r="P14" i="377"/>
  <c r="N14" i="377"/>
  <c r="K14" i="377"/>
  <c r="I14" i="377"/>
  <c r="N13" i="377"/>
  <c r="K13" i="377"/>
  <c r="J13" i="377"/>
  <c r="J15" i="377" s="1"/>
  <c r="K12" i="377"/>
  <c r="M11" i="377"/>
  <c r="K11" i="377"/>
  <c r="I11" i="377"/>
  <c r="M10" i="377"/>
  <c r="J10" i="377"/>
  <c r="K8" i="377"/>
  <c r="N6" i="377"/>
  <c r="K5" i="377"/>
  <c r="C22" i="377"/>
  <c r="N16" i="377" l="1"/>
  <c r="C25" i="377"/>
  <c r="J19" i="376"/>
  <c r="C4" i="376"/>
  <c r="C22" i="376" s="1"/>
  <c r="N37" i="376"/>
  <c r="N34" i="376"/>
  <c r="N35" i="376" s="1"/>
  <c r="N30" i="376"/>
  <c r="K30" i="376"/>
  <c r="I29" i="376"/>
  <c r="I28" i="376"/>
  <c r="O27" i="376"/>
  <c r="M27" i="376"/>
  <c r="Q26" i="376"/>
  <c r="J26" i="376"/>
  <c r="J27" i="376" s="1"/>
  <c r="I26" i="376"/>
  <c r="Q25" i="376"/>
  <c r="N25" i="376"/>
  <c r="J25" i="376"/>
  <c r="I25" i="376"/>
  <c r="M24" i="376"/>
  <c r="L24" i="376"/>
  <c r="Q23" i="376"/>
  <c r="O23" i="376"/>
  <c r="N22" i="376"/>
  <c r="M22" i="376"/>
  <c r="M23" i="376" s="1"/>
  <c r="J22" i="376"/>
  <c r="I22" i="376"/>
  <c r="G22" i="376"/>
  <c r="O21" i="376"/>
  <c r="J21" i="376"/>
  <c r="I21" i="376"/>
  <c r="Q17" i="376"/>
  <c r="O17" i="376"/>
  <c r="J17" i="376"/>
  <c r="M16" i="376"/>
  <c r="K15" i="376"/>
  <c r="P14" i="376"/>
  <c r="N14" i="376"/>
  <c r="K14" i="376"/>
  <c r="I14" i="376"/>
  <c r="N13" i="376"/>
  <c r="N16" i="376" s="1"/>
  <c r="K13" i="376"/>
  <c r="J13" i="376"/>
  <c r="J15" i="376" s="1"/>
  <c r="K12" i="376"/>
  <c r="M11" i="376"/>
  <c r="K11" i="376"/>
  <c r="I11" i="376"/>
  <c r="M10" i="376"/>
  <c r="J10" i="376"/>
  <c r="K8" i="376"/>
  <c r="N6" i="376"/>
  <c r="K5" i="376"/>
  <c r="C25" i="376" l="1"/>
  <c r="N37" i="375"/>
  <c r="N35" i="375"/>
  <c r="N34" i="375"/>
  <c r="N30" i="375"/>
  <c r="K30" i="375"/>
  <c r="I29" i="375"/>
  <c r="I28" i="375"/>
  <c r="O27" i="375"/>
  <c r="M27" i="375"/>
  <c r="J27" i="375"/>
  <c r="Q26" i="375"/>
  <c r="J26" i="375"/>
  <c r="I26" i="375"/>
  <c r="Q25" i="375"/>
  <c r="N25" i="375"/>
  <c r="J25" i="375"/>
  <c r="I25" i="375"/>
  <c r="M24" i="375"/>
  <c r="L24" i="375"/>
  <c r="Q23" i="375"/>
  <c r="O23" i="375"/>
  <c r="M23" i="375"/>
  <c r="N22" i="375"/>
  <c r="M22" i="375"/>
  <c r="J22" i="375"/>
  <c r="I22" i="375"/>
  <c r="G22" i="375"/>
  <c r="C22" i="375"/>
  <c r="O21" i="375"/>
  <c r="J21" i="375"/>
  <c r="I21" i="375"/>
  <c r="J19" i="375"/>
  <c r="Q17" i="375"/>
  <c r="O17" i="375"/>
  <c r="J17" i="375"/>
  <c r="M16" i="375"/>
  <c r="K15" i="375"/>
  <c r="J15" i="375"/>
  <c r="P14" i="375"/>
  <c r="N14" i="375"/>
  <c r="K14" i="375"/>
  <c r="I14" i="375"/>
  <c r="N13" i="375"/>
  <c r="K13" i="375"/>
  <c r="J13" i="375"/>
  <c r="K12" i="375"/>
  <c r="M11" i="375"/>
  <c r="K11" i="375"/>
  <c r="I11" i="375"/>
  <c r="M10" i="375"/>
  <c r="J10" i="375"/>
  <c r="K8" i="375"/>
  <c r="N6" i="375"/>
  <c r="K5" i="375"/>
  <c r="N16" i="375" l="1"/>
  <c r="C25" i="375"/>
  <c r="N37" i="374"/>
  <c r="N34" i="374"/>
  <c r="N35" i="374" s="1"/>
  <c r="N30" i="374"/>
  <c r="K30" i="374"/>
  <c r="I29" i="374"/>
  <c r="I28" i="374"/>
  <c r="O27" i="374"/>
  <c r="M27" i="374"/>
  <c r="Q26" i="374"/>
  <c r="J26" i="374"/>
  <c r="J27" i="374" s="1"/>
  <c r="I26" i="374"/>
  <c r="Q25" i="374"/>
  <c r="N25" i="374"/>
  <c r="J25" i="374"/>
  <c r="I25" i="374"/>
  <c r="M24" i="374"/>
  <c r="L24" i="374"/>
  <c r="Q23" i="374"/>
  <c r="O23" i="374"/>
  <c r="N22" i="374"/>
  <c r="M22" i="374"/>
  <c r="M23" i="374" s="1"/>
  <c r="J22" i="374"/>
  <c r="I22" i="374"/>
  <c r="G22" i="374"/>
  <c r="C22" i="374"/>
  <c r="O21" i="374"/>
  <c r="J21" i="374"/>
  <c r="I21" i="374"/>
  <c r="J19" i="374"/>
  <c r="Q17" i="374"/>
  <c r="O17" i="374"/>
  <c r="J17" i="374"/>
  <c r="M16" i="374"/>
  <c r="K15" i="374"/>
  <c r="P14" i="374"/>
  <c r="N14" i="374"/>
  <c r="K14" i="374"/>
  <c r="I14" i="374"/>
  <c r="N13" i="374"/>
  <c r="K13" i="374"/>
  <c r="J13" i="374"/>
  <c r="J15" i="374" s="1"/>
  <c r="K12" i="374"/>
  <c r="M11" i="374"/>
  <c r="K11" i="374"/>
  <c r="I11" i="374"/>
  <c r="M10" i="374"/>
  <c r="J10" i="374"/>
  <c r="K8" i="374"/>
  <c r="N6" i="374"/>
  <c r="K5" i="374"/>
  <c r="N16" i="374" l="1"/>
  <c r="C25" i="374"/>
  <c r="N37" i="373"/>
  <c r="N34" i="373"/>
  <c r="N35" i="373" s="1"/>
  <c r="N30" i="373"/>
  <c r="K30" i="373"/>
  <c r="I29" i="373"/>
  <c r="I28" i="373"/>
  <c r="O27" i="373"/>
  <c r="M27" i="373"/>
  <c r="Q26" i="373"/>
  <c r="J26" i="373"/>
  <c r="J27" i="373" s="1"/>
  <c r="I26" i="373"/>
  <c r="Q25" i="373"/>
  <c r="N25" i="373"/>
  <c r="J25" i="373"/>
  <c r="I25" i="373"/>
  <c r="M24" i="373"/>
  <c r="L24" i="373"/>
  <c r="Q23" i="373"/>
  <c r="O23" i="373"/>
  <c r="N22" i="373"/>
  <c r="M22" i="373"/>
  <c r="M23" i="373" s="1"/>
  <c r="J22" i="373"/>
  <c r="I22" i="373"/>
  <c r="G22" i="373"/>
  <c r="C22" i="373"/>
  <c r="O21" i="373"/>
  <c r="J21" i="373"/>
  <c r="I21" i="373"/>
  <c r="J19" i="373"/>
  <c r="Q17" i="373"/>
  <c r="O17" i="373"/>
  <c r="J17" i="373"/>
  <c r="M16" i="373"/>
  <c r="K15" i="373"/>
  <c r="P14" i="373"/>
  <c r="N14" i="373"/>
  <c r="K14" i="373"/>
  <c r="I14" i="373"/>
  <c r="N13" i="373"/>
  <c r="K13" i="373"/>
  <c r="J13" i="373"/>
  <c r="J15" i="373" s="1"/>
  <c r="K12" i="373"/>
  <c r="M11" i="373"/>
  <c r="K11" i="373"/>
  <c r="I11" i="373"/>
  <c r="M10" i="373"/>
  <c r="J10" i="373"/>
  <c r="K8" i="373"/>
  <c r="N6" i="373"/>
  <c r="K5" i="373"/>
  <c r="N16" i="373" l="1"/>
  <c r="C25" i="373"/>
  <c r="N37" i="372"/>
  <c r="N34" i="372"/>
  <c r="N35" i="372" s="1"/>
  <c r="N30" i="372"/>
  <c r="K30" i="372"/>
  <c r="I29" i="372"/>
  <c r="I28" i="372"/>
  <c r="O27" i="372"/>
  <c r="M27" i="372"/>
  <c r="Q26" i="372"/>
  <c r="J26" i="372"/>
  <c r="J27" i="372" s="1"/>
  <c r="I26" i="372"/>
  <c r="Q25" i="372"/>
  <c r="N25" i="372"/>
  <c r="J25" i="372"/>
  <c r="I25" i="372"/>
  <c r="M24" i="372"/>
  <c r="L24" i="372"/>
  <c r="Q23" i="372"/>
  <c r="O23" i="372"/>
  <c r="N22" i="372"/>
  <c r="M22" i="372"/>
  <c r="M23" i="372" s="1"/>
  <c r="J22" i="372"/>
  <c r="I22" i="372"/>
  <c r="G22" i="372"/>
  <c r="C22" i="372"/>
  <c r="O21" i="372"/>
  <c r="J21" i="372"/>
  <c r="I21" i="372"/>
  <c r="J19" i="372"/>
  <c r="Q17" i="372"/>
  <c r="O17" i="372"/>
  <c r="J17" i="372"/>
  <c r="M16" i="372"/>
  <c r="K15" i="372"/>
  <c r="P14" i="372"/>
  <c r="N14" i="372"/>
  <c r="K14" i="372"/>
  <c r="I14" i="372"/>
  <c r="N13" i="372"/>
  <c r="K13" i="372"/>
  <c r="J13" i="372"/>
  <c r="J15" i="372" s="1"/>
  <c r="K12" i="372"/>
  <c r="M11" i="372"/>
  <c r="K11" i="372"/>
  <c r="I11" i="372"/>
  <c r="M10" i="372"/>
  <c r="J10" i="372"/>
  <c r="K8" i="372"/>
  <c r="N6" i="372"/>
  <c r="K5" i="372"/>
  <c r="N16" i="372" l="1"/>
  <c r="C25" i="372"/>
  <c r="N37" i="371"/>
  <c r="N34" i="371"/>
  <c r="N35" i="371" s="1"/>
  <c r="N30" i="371"/>
  <c r="K30" i="371"/>
  <c r="I29" i="371"/>
  <c r="I28" i="371"/>
  <c r="O27" i="371"/>
  <c r="M27" i="371"/>
  <c r="Q26" i="371"/>
  <c r="J26" i="371"/>
  <c r="J27" i="371" s="1"/>
  <c r="I26" i="371"/>
  <c r="Q25" i="371"/>
  <c r="N25" i="371"/>
  <c r="J25" i="371"/>
  <c r="I25" i="371"/>
  <c r="M24" i="371"/>
  <c r="L24" i="371"/>
  <c r="Q23" i="371"/>
  <c r="O23" i="371"/>
  <c r="N22" i="371"/>
  <c r="M22" i="371"/>
  <c r="M23" i="371" s="1"/>
  <c r="J22" i="371"/>
  <c r="I22" i="371"/>
  <c r="G22" i="371"/>
  <c r="C22" i="371"/>
  <c r="O21" i="371"/>
  <c r="J21" i="371"/>
  <c r="I21" i="371"/>
  <c r="J19" i="371"/>
  <c r="Q17" i="371"/>
  <c r="O17" i="371"/>
  <c r="J17" i="371"/>
  <c r="M16" i="371"/>
  <c r="K15" i="371"/>
  <c r="P14" i="371"/>
  <c r="N14" i="371"/>
  <c r="K14" i="371"/>
  <c r="I14" i="371"/>
  <c r="N13" i="371"/>
  <c r="K13" i="371"/>
  <c r="J13" i="371"/>
  <c r="J15" i="371" s="1"/>
  <c r="K12" i="371"/>
  <c r="M11" i="371"/>
  <c r="K11" i="371"/>
  <c r="I11" i="371"/>
  <c r="M10" i="371"/>
  <c r="J10" i="371"/>
  <c r="K8" i="371"/>
  <c r="N6" i="371"/>
  <c r="K5" i="371"/>
  <c r="N16" i="371" l="1"/>
  <c r="C25" i="371"/>
  <c r="N37" i="370"/>
  <c r="N34" i="370"/>
  <c r="N35" i="370" s="1"/>
  <c r="N30" i="370"/>
  <c r="K30" i="370"/>
  <c r="I29" i="370"/>
  <c r="I28" i="370"/>
  <c r="O27" i="370"/>
  <c r="M27" i="370"/>
  <c r="Q26" i="370"/>
  <c r="J26" i="370"/>
  <c r="J27" i="370" s="1"/>
  <c r="I26" i="370"/>
  <c r="Q25" i="370"/>
  <c r="N25" i="370"/>
  <c r="J25" i="370"/>
  <c r="I25" i="370"/>
  <c r="M24" i="370"/>
  <c r="L24" i="370"/>
  <c r="Q23" i="370"/>
  <c r="O23" i="370"/>
  <c r="N22" i="370"/>
  <c r="M22" i="370"/>
  <c r="M23" i="370" s="1"/>
  <c r="J22" i="370"/>
  <c r="I22" i="370"/>
  <c r="G22" i="370"/>
  <c r="C22" i="370"/>
  <c r="O21" i="370"/>
  <c r="J21" i="370"/>
  <c r="I21" i="370"/>
  <c r="J19" i="370"/>
  <c r="Q17" i="370"/>
  <c r="O17" i="370"/>
  <c r="J17" i="370"/>
  <c r="M16" i="370"/>
  <c r="K15" i="370"/>
  <c r="P14" i="370"/>
  <c r="N14" i="370"/>
  <c r="K14" i="370"/>
  <c r="I14" i="370"/>
  <c r="N13" i="370"/>
  <c r="K13" i="370"/>
  <c r="J13" i="370"/>
  <c r="J15" i="370" s="1"/>
  <c r="K12" i="370"/>
  <c r="M11" i="370"/>
  <c r="K11" i="370"/>
  <c r="I11" i="370"/>
  <c r="M10" i="370"/>
  <c r="J10" i="370"/>
  <c r="K8" i="370"/>
  <c r="N6" i="370"/>
  <c r="K5" i="370"/>
  <c r="N16" i="370" l="1"/>
  <c r="C25" i="370"/>
  <c r="J19" i="369"/>
  <c r="N37" i="369" l="1"/>
  <c r="N34" i="369"/>
  <c r="N35" i="369" s="1"/>
  <c r="N30" i="369"/>
  <c r="K30" i="369"/>
  <c r="I29" i="369"/>
  <c r="I28" i="369"/>
  <c r="O27" i="369"/>
  <c r="M27" i="369"/>
  <c r="Q26" i="369"/>
  <c r="J26" i="369"/>
  <c r="J27" i="369" s="1"/>
  <c r="I26" i="369"/>
  <c r="Q25" i="369"/>
  <c r="N25" i="369"/>
  <c r="J25" i="369"/>
  <c r="I25" i="369"/>
  <c r="M24" i="369"/>
  <c r="L24" i="369"/>
  <c r="Q23" i="369"/>
  <c r="O23" i="369"/>
  <c r="N22" i="369"/>
  <c r="M22" i="369"/>
  <c r="M23" i="369" s="1"/>
  <c r="J22" i="369"/>
  <c r="I22" i="369"/>
  <c r="G22" i="369"/>
  <c r="C22" i="369"/>
  <c r="O21" i="369"/>
  <c r="J21" i="369"/>
  <c r="I21" i="369"/>
  <c r="Q17" i="369"/>
  <c r="O17" i="369"/>
  <c r="J17" i="369"/>
  <c r="M16" i="369"/>
  <c r="K15" i="369"/>
  <c r="P14" i="369"/>
  <c r="N14" i="369"/>
  <c r="K14" i="369"/>
  <c r="I14" i="369"/>
  <c r="N13" i="369"/>
  <c r="K13" i="369"/>
  <c r="J13" i="369"/>
  <c r="J15" i="369" s="1"/>
  <c r="K12" i="369"/>
  <c r="M11" i="369"/>
  <c r="K11" i="369"/>
  <c r="I11" i="369"/>
  <c r="M10" i="369"/>
  <c r="J10" i="369"/>
  <c r="K8" i="369"/>
  <c r="N6" i="369"/>
  <c r="K5" i="369"/>
  <c r="N16" i="369" l="1"/>
  <c r="C25" i="369"/>
  <c r="N34" i="368"/>
  <c r="N31" i="368"/>
  <c r="N32" i="368" s="1"/>
  <c r="N27" i="368"/>
  <c r="K27" i="368"/>
  <c r="I26" i="368"/>
  <c r="I25" i="368"/>
  <c r="O24" i="368"/>
  <c r="M24" i="368"/>
  <c r="Q23" i="368"/>
  <c r="J23" i="368"/>
  <c r="J24" i="368" s="1"/>
  <c r="I23" i="368"/>
  <c r="Q22" i="368"/>
  <c r="N22" i="368"/>
  <c r="J22" i="368"/>
  <c r="I22" i="368"/>
  <c r="M21" i="368"/>
  <c r="L21" i="368"/>
  <c r="Q20" i="368"/>
  <c r="O20" i="368"/>
  <c r="N19" i="368"/>
  <c r="M19" i="368"/>
  <c r="M20" i="368" s="1"/>
  <c r="J19" i="368"/>
  <c r="I19" i="368"/>
  <c r="G19" i="368"/>
  <c r="C19" i="368"/>
  <c r="O18" i="368"/>
  <c r="J18" i="368"/>
  <c r="I18" i="368"/>
  <c r="Q17" i="368"/>
  <c r="O17" i="368"/>
  <c r="J17" i="368"/>
  <c r="M16" i="368"/>
  <c r="K15" i="368"/>
  <c r="P14" i="368"/>
  <c r="N14" i="368"/>
  <c r="K14" i="368"/>
  <c r="I14" i="368"/>
  <c r="N13" i="368"/>
  <c r="N16" i="368" s="1"/>
  <c r="K13" i="368"/>
  <c r="J13" i="368"/>
  <c r="J15" i="368" s="1"/>
  <c r="K12" i="368"/>
  <c r="M11" i="368"/>
  <c r="K11" i="368"/>
  <c r="I11" i="368"/>
  <c r="M10" i="368"/>
  <c r="J10" i="368"/>
  <c r="K8" i="368"/>
  <c r="N6" i="368"/>
  <c r="K5" i="368"/>
  <c r="C22" i="368" l="1"/>
  <c r="C19" i="367"/>
  <c r="G19" i="367"/>
  <c r="N34" i="367" l="1"/>
  <c r="N31" i="367"/>
  <c r="N32" i="367" s="1"/>
  <c r="N27" i="367"/>
  <c r="K27" i="367"/>
  <c r="I26" i="367"/>
  <c r="I25" i="367"/>
  <c r="O24" i="367"/>
  <c r="M24" i="367"/>
  <c r="Q23" i="367"/>
  <c r="J23" i="367"/>
  <c r="J24" i="367" s="1"/>
  <c r="I23" i="367"/>
  <c r="Q22" i="367"/>
  <c r="N22" i="367"/>
  <c r="J22" i="367"/>
  <c r="I22" i="367"/>
  <c r="M21" i="367"/>
  <c r="L21" i="367"/>
  <c r="Q20" i="367"/>
  <c r="O20" i="367"/>
  <c r="N19" i="367"/>
  <c r="M19" i="367"/>
  <c r="M20" i="367" s="1"/>
  <c r="J19" i="367"/>
  <c r="I19" i="367"/>
  <c r="O18" i="367"/>
  <c r="J18" i="367"/>
  <c r="I18" i="367"/>
  <c r="Q17" i="367"/>
  <c r="O17" i="367"/>
  <c r="J17" i="367"/>
  <c r="M16" i="367"/>
  <c r="K15" i="367"/>
  <c r="P14" i="367"/>
  <c r="N14" i="367"/>
  <c r="K14" i="367"/>
  <c r="I14" i="367"/>
  <c r="N13" i="367"/>
  <c r="K13" i="367"/>
  <c r="J13" i="367"/>
  <c r="J15" i="367" s="1"/>
  <c r="K12" i="367"/>
  <c r="M11" i="367"/>
  <c r="K11" i="367"/>
  <c r="I11" i="367"/>
  <c r="M10" i="367"/>
  <c r="J10" i="367"/>
  <c r="K8" i="367"/>
  <c r="N6" i="367"/>
  <c r="K5" i="367"/>
  <c r="N16" i="367" l="1"/>
  <c r="C22" i="367"/>
  <c r="N34" i="366"/>
  <c r="N31" i="366"/>
  <c r="N32" i="366" s="1"/>
  <c r="N27" i="366"/>
  <c r="K27" i="366"/>
  <c r="I26" i="366"/>
  <c r="I25" i="366"/>
  <c r="O24" i="366"/>
  <c r="M24" i="366"/>
  <c r="Q23" i="366"/>
  <c r="J23" i="366"/>
  <c r="J24" i="366" s="1"/>
  <c r="I23" i="366"/>
  <c r="Q22" i="366"/>
  <c r="N22" i="366"/>
  <c r="J22" i="366"/>
  <c r="I22" i="366"/>
  <c r="M21" i="366"/>
  <c r="L21" i="366"/>
  <c r="Q20" i="366"/>
  <c r="O20" i="366"/>
  <c r="N19" i="366"/>
  <c r="M19" i="366"/>
  <c r="M20" i="366" s="1"/>
  <c r="J19" i="366"/>
  <c r="I19" i="366"/>
  <c r="G19" i="366"/>
  <c r="C19" i="366"/>
  <c r="O18" i="366"/>
  <c r="J18" i="366"/>
  <c r="I18" i="366"/>
  <c r="Q17" i="366"/>
  <c r="O17" i="366"/>
  <c r="J17" i="366"/>
  <c r="M16" i="366"/>
  <c r="K15" i="366"/>
  <c r="P14" i="366"/>
  <c r="N14" i="366"/>
  <c r="K14" i="366"/>
  <c r="I14" i="366"/>
  <c r="N13" i="366"/>
  <c r="K13" i="366"/>
  <c r="J13" i="366"/>
  <c r="J15" i="366" s="1"/>
  <c r="K12" i="366"/>
  <c r="M11" i="366"/>
  <c r="K11" i="366"/>
  <c r="I11" i="366"/>
  <c r="M10" i="366"/>
  <c r="J10" i="366"/>
  <c r="K8" i="366"/>
  <c r="N6" i="366"/>
  <c r="K5" i="366"/>
  <c r="N16" i="366" l="1"/>
  <c r="C22" i="366"/>
  <c r="N34" i="365"/>
  <c r="N31" i="365"/>
  <c r="N32" i="365" s="1"/>
  <c r="N27" i="365"/>
  <c r="K27" i="365"/>
  <c r="I26" i="365"/>
  <c r="I25" i="365"/>
  <c r="O24" i="365"/>
  <c r="M24" i="365"/>
  <c r="Q23" i="365"/>
  <c r="J23" i="365"/>
  <c r="J24" i="365" s="1"/>
  <c r="I23" i="365"/>
  <c r="Q22" i="365"/>
  <c r="N22" i="365"/>
  <c r="J22" i="365"/>
  <c r="I22" i="365"/>
  <c r="M21" i="365"/>
  <c r="L21" i="365"/>
  <c r="Q20" i="365"/>
  <c r="O20" i="365"/>
  <c r="N19" i="365"/>
  <c r="M19" i="365"/>
  <c r="M20" i="365" s="1"/>
  <c r="J19" i="365"/>
  <c r="I19" i="365"/>
  <c r="G19" i="365"/>
  <c r="C19" i="365"/>
  <c r="O18" i="365"/>
  <c r="J18" i="365"/>
  <c r="I18" i="365"/>
  <c r="Q17" i="365"/>
  <c r="O17" i="365"/>
  <c r="J17" i="365"/>
  <c r="M16" i="365"/>
  <c r="K15" i="365"/>
  <c r="P14" i="365"/>
  <c r="N14" i="365"/>
  <c r="K14" i="365"/>
  <c r="I14" i="365"/>
  <c r="N13" i="365"/>
  <c r="K13" i="365"/>
  <c r="J13" i="365"/>
  <c r="J15" i="365" s="1"/>
  <c r="K12" i="365"/>
  <c r="M11" i="365"/>
  <c r="K11" i="365"/>
  <c r="I11" i="365"/>
  <c r="M10" i="365"/>
  <c r="J10" i="365"/>
  <c r="K8" i="365"/>
  <c r="N6" i="365"/>
  <c r="K5" i="365"/>
  <c r="N16" i="365" l="1"/>
  <c r="C22" i="365"/>
  <c r="N34" i="364"/>
  <c r="N31" i="364"/>
  <c r="N32" i="364" s="1"/>
  <c r="N27" i="364"/>
  <c r="K27" i="364"/>
  <c r="I26" i="364"/>
  <c r="I25" i="364"/>
  <c r="O24" i="364"/>
  <c r="M24" i="364"/>
  <c r="Q23" i="364"/>
  <c r="J23" i="364"/>
  <c r="J24" i="364" s="1"/>
  <c r="I23" i="364"/>
  <c r="Q22" i="364"/>
  <c r="N22" i="364"/>
  <c r="J22" i="364"/>
  <c r="I22" i="364"/>
  <c r="M21" i="364"/>
  <c r="L21" i="364"/>
  <c r="Q20" i="364"/>
  <c r="O20" i="364"/>
  <c r="N19" i="364"/>
  <c r="M19" i="364"/>
  <c r="M20" i="364" s="1"/>
  <c r="J19" i="364"/>
  <c r="I19" i="364"/>
  <c r="G19" i="364"/>
  <c r="C19" i="364"/>
  <c r="O18" i="364"/>
  <c r="J18" i="364"/>
  <c r="I18" i="364"/>
  <c r="Q17" i="364"/>
  <c r="O17" i="364"/>
  <c r="J17" i="364"/>
  <c r="M16" i="364"/>
  <c r="K15" i="364"/>
  <c r="P14" i="364"/>
  <c r="N14" i="364"/>
  <c r="K14" i="364"/>
  <c r="I14" i="364"/>
  <c r="N13" i="364"/>
  <c r="K13" i="364"/>
  <c r="J13" i="364"/>
  <c r="J15" i="364" s="1"/>
  <c r="K12" i="364"/>
  <c r="M11" i="364"/>
  <c r="K11" i="364"/>
  <c r="I11" i="364"/>
  <c r="M10" i="364"/>
  <c r="J10" i="364"/>
  <c r="K8" i="364"/>
  <c r="N6" i="364"/>
  <c r="K5" i="364"/>
  <c r="N16" i="364" l="1"/>
  <c r="C22" i="364"/>
  <c r="N34" i="363"/>
  <c r="N31" i="363"/>
  <c r="N32" i="363" s="1"/>
  <c r="N27" i="363"/>
  <c r="K27" i="363"/>
  <c r="I26" i="363"/>
  <c r="I25" i="363"/>
  <c r="O24" i="363"/>
  <c r="M24" i="363"/>
  <c r="Q23" i="363"/>
  <c r="J23" i="363"/>
  <c r="J24" i="363" s="1"/>
  <c r="I23" i="363"/>
  <c r="Q22" i="363"/>
  <c r="N22" i="363"/>
  <c r="J22" i="363"/>
  <c r="I22" i="363"/>
  <c r="M21" i="363"/>
  <c r="L21" i="363"/>
  <c r="Q20" i="363"/>
  <c r="O20" i="363"/>
  <c r="N19" i="363"/>
  <c r="M19" i="363"/>
  <c r="M20" i="363" s="1"/>
  <c r="J19" i="363"/>
  <c r="I19" i="363"/>
  <c r="G19" i="363"/>
  <c r="C19" i="363"/>
  <c r="O18" i="363"/>
  <c r="J18" i="363"/>
  <c r="I18" i="363"/>
  <c r="Q17" i="363"/>
  <c r="O17" i="363"/>
  <c r="J17" i="363"/>
  <c r="M16" i="363"/>
  <c r="K15" i="363"/>
  <c r="P14" i="363"/>
  <c r="N14" i="363"/>
  <c r="K14" i="363"/>
  <c r="I14" i="363"/>
  <c r="N13" i="363"/>
  <c r="K13" i="363"/>
  <c r="J13" i="363"/>
  <c r="J15" i="363" s="1"/>
  <c r="K12" i="363"/>
  <c r="M11" i="363"/>
  <c r="K11" i="363"/>
  <c r="I11" i="363"/>
  <c r="M10" i="363"/>
  <c r="J10" i="363"/>
  <c r="K8" i="363"/>
  <c r="N6" i="363"/>
  <c r="K5" i="363"/>
  <c r="N16" i="363" l="1"/>
  <c r="C22" i="363"/>
  <c r="N34" i="362"/>
  <c r="N31" i="362"/>
  <c r="N32" i="362" s="1"/>
  <c r="N27" i="362"/>
  <c r="K27" i="362"/>
  <c r="I26" i="362"/>
  <c r="I25" i="362"/>
  <c r="O24" i="362"/>
  <c r="M24" i="362"/>
  <c r="Q23" i="362"/>
  <c r="J23" i="362"/>
  <c r="J24" i="362" s="1"/>
  <c r="I23" i="362"/>
  <c r="Q22" i="362"/>
  <c r="N22" i="362"/>
  <c r="J22" i="362"/>
  <c r="I22" i="362"/>
  <c r="M21" i="362"/>
  <c r="L21" i="362"/>
  <c r="Q20" i="362"/>
  <c r="O20" i="362"/>
  <c r="N19" i="362"/>
  <c r="M19" i="362"/>
  <c r="M20" i="362" s="1"/>
  <c r="J19" i="362"/>
  <c r="I19" i="362"/>
  <c r="G19" i="362"/>
  <c r="C19" i="362"/>
  <c r="O18" i="362"/>
  <c r="J18" i="362"/>
  <c r="I18" i="362"/>
  <c r="Q17" i="362"/>
  <c r="O17" i="362"/>
  <c r="J17" i="362"/>
  <c r="M16" i="362"/>
  <c r="K15" i="362"/>
  <c r="P14" i="362"/>
  <c r="N14" i="362"/>
  <c r="K14" i="362"/>
  <c r="I14" i="362"/>
  <c r="N13" i="362"/>
  <c r="K13" i="362"/>
  <c r="J13" i="362"/>
  <c r="J15" i="362" s="1"/>
  <c r="K12" i="362"/>
  <c r="M11" i="362"/>
  <c r="K11" i="362"/>
  <c r="I11" i="362"/>
  <c r="M10" i="362"/>
  <c r="J10" i="362"/>
  <c r="K8" i="362"/>
  <c r="N6" i="362"/>
  <c r="K5" i="362"/>
  <c r="N16" i="362" l="1"/>
  <c r="C22" i="362"/>
  <c r="N34" i="361"/>
  <c r="N31" i="361"/>
  <c r="N32" i="361" s="1"/>
  <c r="N27" i="361"/>
  <c r="K27" i="361"/>
  <c r="I26" i="361"/>
  <c r="I25" i="361"/>
  <c r="O24" i="361"/>
  <c r="M24" i="361"/>
  <c r="Q23" i="361"/>
  <c r="J23" i="361"/>
  <c r="J24" i="361" s="1"/>
  <c r="I23" i="361"/>
  <c r="Q22" i="361"/>
  <c r="N22" i="361"/>
  <c r="J22" i="361"/>
  <c r="I22" i="361"/>
  <c r="M21" i="361"/>
  <c r="L21" i="361"/>
  <c r="Q20" i="361"/>
  <c r="O20" i="361"/>
  <c r="N19" i="361"/>
  <c r="M19" i="361"/>
  <c r="M20" i="361" s="1"/>
  <c r="J19" i="361"/>
  <c r="I19" i="361"/>
  <c r="G19" i="361"/>
  <c r="C19" i="361"/>
  <c r="O18" i="361"/>
  <c r="J18" i="361"/>
  <c r="I18" i="361"/>
  <c r="Q17" i="361"/>
  <c r="O17" i="361"/>
  <c r="J17" i="361"/>
  <c r="M16" i="361"/>
  <c r="K15" i="361"/>
  <c r="P14" i="361"/>
  <c r="N14" i="361"/>
  <c r="K14" i="361"/>
  <c r="I14" i="361"/>
  <c r="N13" i="361"/>
  <c r="K13" i="361"/>
  <c r="J13" i="361"/>
  <c r="J15" i="361" s="1"/>
  <c r="K12" i="361"/>
  <c r="M11" i="361"/>
  <c r="K11" i="361"/>
  <c r="I11" i="361"/>
  <c r="M10" i="361"/>
  <c r="J10" i="361"/>
  <c r="K8" i="361"/>
  <c r="N6" i="361"/>
  <c r="K5" i="361"/>
  <c r="C22" i="361" l="1"/>
  <c r="N16" i="361"/>
  <c r="N34" i="360"/>
  <c r="N31" i="360"/>
  <c r="N32" i="360" s="1"/>
  <c r="N27" i="360"/>
  <c r="K27" i="360"/>
  <c r="I26" i="360"/>
  <c r="I25" i="360"/>
  <c r="O24" i="360"/>
  <c r="M24" i="360"/>
  <c r="Q23" i="360"/>
  <c r="J23" i="360"/>
  <c r="J24" i="360" s="1"/>
  <c r="I23" i="360"/>
  <c r="Q22" i="360"/>
  <c r="N22" i="360"/>
  <c r="J22" i="360"/>
  <c r="I22" i="360"/>
  <c r="M21" i="360"/>
  <c r="L21" i="360"/>
  <c r="Q20" i="360"/>
  <c r="O20" i="360"/>
  <c r="N19" i="360"/>
  <c r="M19" i="360"/>
  <c r="M20" i="360" s="1"/>
  <c r="J19" i="360"/>
  <c r="I19" i="360"/>
  <c r="G19" i="360"/>
  <c r="C19" i="360"/>
  <c r="O18" i="360"/>
  <c r="J18" i="360"/>
  <c r="I18" i="360"/>
  <c r="Q17" i="360"/>
  <c r="O17" i="360"/>
  <c r="J17" i="360"/>
  <c r="M16" i="360"/>
  <c r="K15" i="360"/>
  <c r="P14" i="360"/>
  <c r="N14" i="360"/>
  <c r="K14" i="360"/>
  <c r="I14" i="360"/>
  <c r="N13" i="360"/>
  <c r="K13" i="360"/>
  <c r="J13" i="360"/>
  <c r="J15" i="360" s="1"/>
  <c r="K12" i="360"/>
  <c r="M11" i="360"/>
  <c r="K11" i="360"/>
  <c r="I11" i="360"/>
  <c r="M10" i="360"/>
  <c r="J10" i="360"/>
  <c r="K8" i="360"/>
  <c r="N6" i="360"/>
  <c r="K5" i="360"/>
  <c r="N16" i="360" l="1"/>
  <c r="C22" i="360"/>
  <c r="N34" i="359"/>
  <c r="N31" i="359"/>
  <c r="N32" i="359" s="1"/>
  <c r="N27" i="359"/>
  <c r="K27" i="359"/>
  <c r="I26" i="359"/>
  <c r="I25" i="359"/>
  <c r="O24" i="359"/>
  <c r="M24" i="359"/>
  <c r="Q23" i="359"/>
  <c r="J23" i="359"/>
  <c r="J24" i="359" s="1"/>
  <c r="I23" i="359"/>
  <c r="Q22" i="359"/>
  <c r="N22" i="359"/>
  <c r="J22" i="359"/>
  <c r="I22" i="359"/>
  <c r="M21" i="359"/>
  <c r="L21" i="359"/>
  <c r="Q20" i="359"/>
  <c r="O20" i="359"/>
  <c r="N19" i="359"/>
  <c r="M19" i="359"/>
  <c r="M20" i="359" s="1"/>
  <c r="J19" i="359"/>
  <c r="I19" i="359"/>
  <c r="G19" i="359"/>
  <c r="C19" i="359"/>
  <c r="O18" i="359"/>
  <c r="J18" i="359"/>
  <c r="I18" i="359"/>
  <c r="Q17" i="359"/>
  <c r="O17" i="359"/>
  <c r="J17" i="359"/>
  <c r="M16" i="359"/>
  <c r="K15" i="359"/>
  <c r="P14" i="359"/>
  <c r="N14" i="359"/>
  <c r="K14" i="359"/>
  <c r="I14" i="359"/>
  <c r="N13" i="359"/>
  <c r="K13" i="359"/>
  <c r="J13" i="359"/>
  <c r="J15" i="359" s="1"/>
  <c r="K12" i="359"/>
  <c r="M11" i="359"/>
  <c r="K11" i="359"/>
  <c r="I11" i="359"/>
  <c r="M10" i="359"/>
  <c r="J10" i="359"/>
  <c r="K8" i="359"/>
  <c r="N6" i="359"/>
  <c r="K5" i="359"/>
  <c r="N16" i="359" l="1"/>
  <c r="C22" i="359"/>
  <c r="N34" i="358"/>
  <c r="N31" i="358"/>
  <c r="N32" i="358" s="1"/>
  <c r="N27" i="358"/>
  <c r="K27" i="358"/>
  <c r="I26" i="358"/>
  <c r="I25" i="358"/>
  <c r="O24" i="358"/>
  <c r="M24" i="358"/>
  <c r="Q23" i="358"/>
  <c r="J23" i="358"/>
  <c r="J24" i="358" s="1"/>
  <c r="I23" i="358"/>
  <c r="Q22" i="358"/>
  <c r="N22" i="358"/>
  <c r="J22" i="358"/>
  <c r="I22" i="358"/>
  <c r="M21" i="358"/>
  <c r="L21" i="358"/>
  <c r="Q20" i="358"/>
  <c r="O20" i="358"/>
  <c r="N19" i="358"/>
  <c r="M19" i="358"/>
  <c r="M20" i="358" s="1"/>
  <c r="J19" i="358"/>
  <c r="I19" i="358"/>
  <c r="G19" i="358"/>
  <c r="C19" i="358"/>
  <c r="O18" i="358"/>
  <c r="J18" i="358"/>
  <c r="I18" i="358"/>
  <c r="Q17" i="358"/>
  <c r="O17" i="358"/>
  <c r="J17" i="358"/>
  <c r="M16" i="358"/>
  <c r="K15" i="358"/>
  <c r="P14" i="358"/>
  <c r="N14" i="358"/>
  <c r="K14" i="358"/>
  <c r="I14" i="358"/>
  <c r="N13" i="358"/>
  <c r="K13" i="358"/>
  <c r="J13" i="358"/>
  <c r="J15" i="358" s="1"/>
  <c r="K12" i="358"/>
  <c r="M11" i="358"/>
  <c r="K11" i="358"/>
  <c r="I11" i="358"/>
  <c r="M10" i="358"/>
  <c r="J10" i="358"/>
  <c r="K8" i="358"/>
  <c r="N6" i="358"/>
  <c r="K5" i="358"/>
  <c r="N16" i="358" l="1"/>
  <c r="C22" i="358"/>
  <c r="N34" i="357"/>
  <c r="N31" i="357"/>
  <c r="N32" i="357" s="1"/>
  <c r="N27" i="357"/>
  <c r="K27" i="357"/>
  <c r="I26" i="357"/>
  <c r="I25" i="357"/>
  <c r="O24" i="357"/>
  <c r="M24" i="357"/>
  <c r="Q23" i="357"/>
  <c r="J23" i="357"/>
  <c r="J24" i="357" s="1"/>
  <c r="I23" i="357"/>
  <c r="Q22" i="357"/>
  <c r="N22" i="357"/>
  <c r="J22" i="357"/>
  <c r="I22" i="357"/>
  <c r="M21" i="357"/>
  <c r="L21" i="357"/>
  <c r="Q20" i="357"/>
  <c r="O20" i="357"/>
  <c r="N19" i="357"/>
  <c r="M19" i="357"/>
  <c r="M20" i="357" s="1"/>
  <c r="J19" i="357"/>
  <c r="I19" i="357"/>
  <c r="G19" i="357"/>
  <c r="C19" i="357"/>
  <c r="O18" i="357"/>
  <c r="J18" i="357"/>
  <c r="I18" i="357"/>
  <c r="Q17" i="357"/>
  <c r="O17" i="357"/>
  <c r="J17" i="357"/>
  <c r="M16" i="357"/>
  <c r="K15" i="357"/>
  <c r="P14" i="357"/>
  <c r="N14" i="357"/>
  <c r="K14" i="357"/>
  <c r="I14" i="357"/>
  <c r="N13" i="357"/>
  <c r="K13" i="357"/>
  <c r="J13" i="357"/>
  <c r="J15" i="357" s="1"/>
  <c r="K12" i="357"/>
  <c r="M11" i="357"/>
  <c r="K11" i="357"/>
  <c r="I11" i="357"/>
  <c r="M10" i="357"/>
  <c r="J10" i="357"/>
  <c r="K8" i="357"/>
  <c r="N6" i="357"/>
  <c r="K5" i="357"/>
  <c r="N16" i="357" l="1"/>
  <c r="C22" i="357"/>
  <c r="N34" i="356"/>
  <c r="N31" i="356"/>
  <c r="N32" i="356" s="1"/>
  <c r="N27" i="356"/>
  <c r="K27" i="356"/>
  <c r="I26" i="356"/>
  <c r="I25" i="356"/>
  <c r="O24" i="356"/>
  <c r="M24" i="356"/>
  <c r="Q23" i="356"/>
  <c r="J23" i="356"/>
  <c r="J24" i="356" s="1"/>
  <c r="I23" i="356"/>
  <c r="Q22" i="356"/>
  <c r="N22" i="356"/>
  <c r="J22" i="356"/>
  <c r="I22" i="356"/>
  <c r="M21" i="356"/>
  <c r="L21" i="356"/>
  <c r="Q20" i="356"/>
  <c r="O20" i="356"/>
  <c r="N19" i="356"/>
  <c r="M19" i="356"/>
  <c r="M20" i="356" s="1"/>
  <c r="J19" i="356"/>
  <c r="I19" i="356"/>
  <c r="G19" i="356"/>
  <c r="C19" i="356"/>
  <c r="O18" i="356"/>
  <c r="J18" i="356"/>
  <c r="I18" i="356"/>
  <c r="Q17" i="356"/>
  <c r="O17" i="356"/>
  <c r="J17" i="356"/>
  <c r="M16" i="356"/>
  <c r="K15" i="356"/>
  <c r="P14" i="356"/>
  <c r="N14" i="356"/>
  <c r="K14" i="356"/>
  <c r="I14" i="356"/>
  <c r="N13" i="356"/>
  <c r="N16" i="356" s="1"/>
  <c r="K13" i="356"/>
  <c r="J13" i="356"/>
  <c r="J15" i="356" s="1"/>
  <c r="K12" i="356"/>
  <c r="M11" i="356"/>
  <c r="K11" i="356"/>
  <c r="I11" i="356"/>
  <c r="M10" i="356"/>
  <c r="J10" i="356"/>
  <c r="K8" i="356"/>
  <c r="N6" i="356"/>
  <c r="K5" i="356"/>
  <c r="C22" i="356" l="1"/>
  <c r="N34" i="355"/>
  <c r="N31" i="355"/>
  <c r="N32" i="355" s="1"/>
  <c r="N27" i="355"/>
  <c r="K27" i="355"/>
  <c r="I26" i="355"/>
  <c r="I25" i="355"/>
  <c r="O24" i="355"/>
  <c r="M24" i="355"/>
  <c r="Q23" i="355"/>
  <c r="J23" i="355"/>
  <c r="J24" i="355" s="1"/>
  <c r="I23" i="355"/>
  <c r="Q22" i="355"/>
  <c r="N22" i="355"/>
  <c r="J22" i="355"/>
  <c r="I22" i="355"/>
  <c r="M21" i="355"/>
  <c r="L21" i="355"/>
  <c r="Q20" i="355"/>
  <c r="O20" i="355"/>
  <c r="N19" i="355"/>
  <c r="M19" i="355"/>
  <c r="M20" i="355" s="1"/>
  <c r="J19" i="355"/>
  <c r="I19" i="355"/>
  <c r="G19" i="355"/>
  <c r="C19" i="355"/>
  <c r="O18" i="355"/>
  <c r="J18" i="355"/>
  <c r="I18" i="355"/>
  <c r="Q17" i="355"/>
  <c r="O17" i="355"/>
  <c r="J17" i="355"/>
  <c r="M16" i="355"/>
  <c r="K15" i="355"/>
  <c r="P14" i="355"/>
  <c r="N14" i="355"/>
  <c r="K14" i="355"/>
  <c r="I14" i="355"/>
  <c r="N13" i="355"/>
  <c r="K13" i="355"/>
  <c r="J13" i="355"/>
  <c r="J15" i="355" s="1"/>
  <c r="K12" i="355"/>
  <c r="M11" i="355"/>
  <c r="K11" i="355"/>
  <c r="I11" i="355"/>
  <c r="M10" i="355"/>
  <c r="J10" i="355"/>
  <c r="K8" i="355"/>
  <c r="N6" i="355"/>
  <c r="K5" i="355"/>
  <c r="N16" i="355" l="1"/>
  <c r="C22" i="355"/>
  <c r="N34" i="354"/>
  <c r="N31" i="354"/>
  <c r="N32" i="354" s="1"/>
  <c r="N27" i="354"/>
  <c r="K27" i="354"/>
  <c r="I26" i="354"/>
  <c r="I25" i="354"/>
  <c r="O24" i="354"/>
  <c r="M24" i="354"/>
  <c r="Q23" i="354"/>
  <c r="J23" i="354"/>
  <c r="J24" i="354" s="1"/>
  <c r="I23" i="354"/>
  <c r="Q22" i="354"/>
  <c r="N22" i="354"/>
  <c r="J22" i="354"/>
  <c r="I22" i="354"/>
  <c r="M21" i="354"/>
  <c r="L21" i="354"/>
  <c r="Q20" i="354"/>
  <c r="O20" i="354"/>
  <c r="N19" i="354"/>
  <c r="M19" i="354"/>
  <c r="M20" i="354" s="1"/>
  <c r="J19" i="354"/>
  <c r="I19" i="354"/>
  <c r="G19" i="354"/>
  <c r="C19" i="354"/>
  <c r="O18" i="354"/>
  <c r="J18" i="354"/>
  <c r="I18" i="354"/>
  <c r="Q17" i="354"/>
  <c r="O17" i="354"/>
  <c r="J17" i="354"/>
  <c r="M16" i="354"/>
  <c r="K15" i="354"/>
  <c r="P14" i="354"/>
  <c r="N14" i="354"/>
  <c r="K14" i="354"/>
  <c r="I14" i="354"/>
  <c r="N13" i="354"/>
  <c r="K13" i="354"/>
  <c r="J13" i="354"/>
  <c r="J15" i="354" s="1"/>
  <c r="K12" i="354"/>
  <c r="M11" i="354"/>
  <c r="K11" i="354"/>
  <c r="I11" i="354"/>
  <c r="M10" i="354"/>
  <c r="J10" i="354"/>
  <c r="K8" i="354"/>
  <c r="N6" i="354"/>
  <c r="K5" i="354"/>
  <c r="N16" i="354" l="1"/>
  <c r="C22" i="354"/>
  <c r="N34" i="353"/>
  <c r="N31" i="353"/>
  <c r="N32" i="353" s="1"/>
  <c r="N27" i="353"/>
  <c r="K27" i="353"/>
  <c r="I26" i="353"/>
  <c r="I25" i="353"/>
  <c r="O24" i="353"/>
  <c r="M24" i="353"/>
  <c r="Q23" i="353"/>
  <c r="J23" i="353"/>
  <c r="J24" i="353" s="1"/>
  <c r="I23" i="353"/>
  <c r="Q22" i="353"/>
  <c r="N22" i="353"/>
  <c r="J22" i="353"/>
  <c r="I22" i="353"/>
  <c r="M21" i="353"/>
  <c r="L21" i="353"/>
  <c r="Q20" i="353"/>
  <c r="O20" i="353"/>
  <c r="N19" i="353"/>
  <c r="M19" i="353"/>
  <c r="M20" i="353" s="1"/>
  <c r="J19" i="353"/>
  <c r="I19" i="353"/>
  <c r="G19" i="353"/>
  <c r="C19" i="353"/>
  <c r="O18" i="353"/>
  <c r="J18" i="353"/>
  <c r="I18" i="353"/>
  <c r="Q17" i="353"/>
  <c r="O17" i="353"/>
  <c r="J17" i="353"/>
  <c r="M16" i="353"/>
  <c r="K15" i="353"/>
  <c r="P14" i="353"/>
  <c r="N14" i="353"/>
  <c r="K14" i="353"/>
  <c r="I14" i="353"/>
  <c r="N13" i="353"/>
  <c r="K13" i="353"/>
  <c r="J13" i="353"/>
  <c r="J15" i="353" s="1"/>
  <c r="K12" i="353"/>
  <c r="M11" i="353"/>
  <c r="K11" i="353"/>
  <c r="I11" i="353"/>
  <c r="M10" i="353"/>
  <c r="J10" i="353"/>
  <c r="K8" i="353"/>
  <c r="N6" i="353"/>
  <c r="K5" i="353"/>
  <c r="N16" i="353" l="1"/>
  <c r="C22" i="353"/>
  <c r="N34" i="352"/>
  <c r="N31" i="352"/>
  <c r="N32" i="352" s="1"/>
  <c r="N27" i="352"/>
  <c r="K27" i="352"/>
  <c r="I26" i="352"/>
  <c r="I25" i="352"/>
  <c r="O24" i="352"/>
  <c r="M24" i="352"/>
  <c r="Q23" i="352"/>
  <c r="J23" i="352"/>
  <c r="J24" i="352" s="1"/>
  <c r="I23" i="352"/>
  <c r="Q22" i="352"/>
  <c r="N22" i="352"/>
  <c r="J22" i="352"/>
  <c r="I22" i="352"/>
  <c r="M21" i="352"/>
  <c r="L21" i="352"/>
  <c r="Q20" i="352"/>
  <c r="O20" i="352"/>
  <c r="N19" i="352"/>
  <c r="M19" i="352"/>
  <c r="M20" i="352" s="1"/>
  <c r="J19" i="352"/>
  <c r="I19" i="352"/>
  <c r="G19" i="352"/>
  <c r="C19" i="352"/>
  <c r="O18" i="352"/>
  <c r="J18" i="352"/>
  <c r="I18" i="352"/>
  <c r="Q17" i="352"/>
  <c r="O17" i="352"/>
  <c r="J17" i="352"/>
  <c r="M16" i="352"/>
  <c r="K15" i="352"/>
  <c r="P14" i="352"/>
  <c r="N14" i="352"/>
  <c r="K14" i="352"/>
  <c r="I14" i="352"/>
  <c r="N13" i="352"/>
  <c r="K13" i="352"/>
  <c r="J13" i="352"/>
  <c r="J15" i="352" s="1"/>
  <c r="K12" i="352"/>
  <c r="M11" i="352"/>
  <c r="K11" i="352"/>
  <c r="I11" i="352"/>
  <c r="M10" i="352"/>
  <c r="J10" i="352"/>
  <c r="K8" i="352"/>
  <c r="N6" i="352"/>
  <c r="K5" i="352"/>
  <c r="N16" i="352" l="1"/>
  <c r="C22" i="352"/>
  <c r="N34" i="351"/>
  <c r="N31" i="351"/>
  <c r="N32" i="351" s="1"/>
  <c r="N27" i="351"/>
  <c r="K27" i="351"/>
  <c r="I26" i="351"/>
  <c r="I25" i="351"/>
  <c r="O24" i="351"/>
  <c r="M24" i="351"/>
  <c r="Q23" i="351"/>
  <c r="J23" i="351"/>
  <c r="J24" i="351" s="1"/>
  <c r="I23" i="351"/>
  <c r="Q22" i="351"/>
  <c r="N22" i="351"/>
  <c r="J22" i="351"/>
  <c r="I22" i="351"/>
  <c r="M21" i="351"/>
  <c r="L21" i="351"/>
  <c r="Q20" i="351"/>
  <c r="O20" i="351"/>
  <c r="N19" i="351"/>
  <c r="M19" i="351"/>
  <c r="M20" i="351" s="1"/>
  <c r="J19" i="351"/>
  <c r="I19" i="351"/>
  <c r="G19" i="351"/>
  <c r="C19" i="351"/>
  <c r="O18" i="351"/>
  <c r="J18" i="351"/>
  <c r="I18" i="351"/>
  <c r="Q17" i="351"/>
  <c r="O17" i="351"/>
  <c r="J17" i="351"/>
  <c r="M16" i="351"/>
  <c r="K15" i="351"/>
  <c r="P14" i="351"/>
  <c r="N14" i="351"/>
  <c r="K14" i="351"/>
  <c r="I14" i="351"/>
  <c r="N13" i="351"/>
  <c r="K13" i="351"/>
  <c r="J13" i="351"/>
  <c r="J15" i="351" s="1"/>
  <c r="K12" i="351"/>
  <c r="M11" i="351"/>
  <c r="K11" i="351"/>
  <c r="I11" i="351"/>
  <c r="M10" i="351"/>
  <c r="J10" i="351"/>
  <c r="K8" i="351"/>
  <c r="N6" i="351"/>
  <c r="K5" i="351"/>
  <c r="N16" i="351" l="1"/>
  <c r="C22" i="351"/>
  <c r="N34" i="350"/>
  <c r="N31" i="350"/>
  <c r="N32" i="350" s="1"/>
  <c r="N27" i="350"/>
  <c r="K27" i="350"/>
  <c r="I26" i="350"/>
  <c r="I25" i="350"/>
  <c r="O24" i="350"/>
  <c r="M24" i="350"/>
  <c r="Q23" i="350"/>
  <c r="J23" i="350"/>
  <c r="J24" i="350" s="1"/>
  <c r="I23" i="350"/>
  <c r="Q22" i="350"/>
  <c r="N22" i="350"/>
  <c r="J22" i="350"/>
  <c r="I22" i="350"/>
  <c r="M21" i="350"/>
  <c r="L21" i="350"/>
  <c r="Q20" i="350"/>
  <c r="O20" i="350"/>
  <c r="N19" i="350"/>
  <c r="M19" i="350"/>
  <c r="M20" i="350" s="1"/>
  <c r="J19" i="350"/>
  <c r="I19" i="350"/>
  <c r="G19" i="350"/>
  <c r="C19" i="350"/>
  <c r="O18" i="350"/>
  <c r="J18" i="350"/>
  <c r="I18" i="350"/>
  <c r="Q17" i="350"/>
  <c r="O17" i="350"/>
  <c r="J17" i="350"/>
  <c r="M16" i="350"/>
  <c r="K15" i="350"/>
  <c r="P14" i="350"/>
  <c r="N14" i="350"/>
  <c r="K14" i="350"/>
  <c r="I14" i="350"/>
  <c r="N13" i="350"/>
  <c r="K13" i="350"/>
  <c r="J13" i="350"/>
  <c r="J15" i="350" s="1"/>
  <c r="K12" i="350"/>
  <c r="M11" i="350"/>
  <c r="K11" i="350"/>
  <c r="I11" i="350"/>
  <c r="M10" i="350"/>
  <c r="J10" i="350"/>
  <c r="K8" i="350"/>
  <c r="N6" i="350"/>
  <c r="K5" i="350"/>
  <c r="N16" i="350" l="1"/>
  <c r="C22" i="350"/>
  <c r="N34" i="349"/>
  <c r="N31" i="349"/>
  <c r="N32" i="349" s="1"/>
  <c r="N27" i="349"/>
  <c r="K27" i="349"/>
  <c r="I26" i="349"/>
  <c r="I25" i="349"/>
  <c r="O24" i="349"/>
  <c r="M24" i="349"/>
  <c r="Q23" i="349"/>
  <c r="J23" i="349"/>
  <c r="J24" i="349" s="1"/>
  <c r="I23" i="349"/>
  <c r="Q22" i="349"/>
  <c r="N22" i="349"/>
  <c r="J22" i="349"/>
  <c r="I22" i="349"/>
  <c r="M21" i="349"/>
  <c r="L21" i="349"/>
  <c r="Q20" i="349"/>
  <c r="O20" i="349"/>
  <c r="N19" i="349"/>
  <c r="M19" i="349"/>
  <c r="M20" i="349" s="1"/>
  <c r="J19" i="349"/>
  <c r="I19" i="349"/>
  <c r="G19" i="349"/>
  <c r="C19" i="349"/>
  <c r="O18" i="349"/>
  <c r="J18" i="349"/>
  <c r="I18" i="349"/>
  <c r="Q17" i="349"/>
  <c r="O17" i="349"/>
  <c r="J17" i="349"/>
  <c r="M16" i="349"/>
  <c r="K15" i="349"/>
  <c r="P14" i="349"/>
  <c r="N14" i="349"/>
  <c r="K14" i="349"/>
  <c r="I14" i="349"/>
  <c r="N13" i="349"/>
  <c r="K13" i="349"/>
  <c r="J13" i="349"/>
  <c r="J15" i="349" s="1"/>
  <c r="K12" i="349"/>
  <c r="M11" i="349"/>
  <c r="K11" i="349"/>
  <c r="I11" i="349"/>
  <c r="M10" i="349"/>
  <c r="J10" i="349"/>
  <c r="K8" i="349"/>
  <c r="N6" i="349"/>
  <c r="K5" i="349"/>
  <c r="N16" i="349" l="1"/>
  <c r="C22" i="349"/>
  <c r="J19" i="348"/>
  <c r="N34" i="348"/>
  <c r="N31" i="348"/>
  <c r="N32" i="348" s="1"/>
  <c r="N27" i="348"/>
  <c r="K27" i="348"/>
  <c r="I26" i="348"/>
  <c r="I25" i="348"/>
  <c r="O24" i="348"/>
  <c r="M24" i="348"/>
  <c r="Q23" i="348"/>
  <c r="J23" i="348"/>
  <c r="J24" i="348" s="1"/>
  <c r="I23" i="348"/>
  <c r="Q22" i="348"/>
  <c r="N22" i="348"/>
  <c r="J22" i="348"/>
  <c r="I22" i="348"/>
  <c r="M21" i="348"/>
  <c r="L21" i="348"/>
  <c r="Q20" i="348"/>
  <c r="O20" i="348"/>
  <c r="N19" i="348"/>
  <c r="M19" i="348"/>
  <c r="M20" i="348" s="1"/>
  <c r="I19" i="348"/>
  <c r="G19" i="348"/>
  <c r="C19" i="348"/>
  <c r="O18" i="348"/>
  <c r="J18" i="348"/>
  <c r="I18" i="348"/>
  <c r="Q17" i="348"/>
  <c r="O17" i="348"/>
  <c r="J17" i="348"/>
  <c r="M16" i="348"/>
  <c r="K15" i="348"/>
  <c r="P14" i="348"/>
  <c r="N14" i="348"/>
  <c r="K14" i="348"/>
  <c r="I14" i="348"/>
  <c r="N13" i="348"/>
  <c r="K13" i="348"/>
  <c r="J13" i="348"/>
  <c r="J15" i="348" s="1"/>
  <c r="K12" i="348"/>
  <c r="M11" i="348"/>
  <c r="K11" i="348"/>
  <c r="I11" i="348"/>
  <c r="M10" i="348"/>
  <c r="J10" i="348"/>
  <c r="K8" i="348"/>
  <c r="N6" i="348"/>
  <c r="K5" i="348"/>
  <c r="N16" i="348" l="1"/>
  <c r="C22" i="348"/>
  <c r="N34" i="347"/>
  <c r="N31" i="347"/>
  <c r="N32" i="347" s="1"/>
  <c r="N27" i="347"/>
  <c r="K27" i="347"/>
  <c r="I26" i="347"/>
  <c r="I25" i="347"/>
  <c r="O24" i="347"/>
  <c r="M24" i="347"/>
  <c r="Q23" i="347"/>
  <c r="J23" i="347"/>
  <c r="J24" i="347" s="1"/>
  <c r="I23" i="347"/>
  <c r="Q22" i="347"/>
  <c r="N22" i="347"/>
  <c r="J22" i="347"/>
  <c r="I22" i="347"/>
  <c r="M21" i="347"/>
  <c r="L21" i="347"/>
  <c r="Q20" i="347"/>
  <c r="O20" i="347"/>
  <c r="N19" i="347"/>
  <c r="M19" i="347"/>
  <c r="M20" i="347" s="1"/>
  <c r="J19" i="347"/>
  <c r="I19" i="347"/>
  <c r="G19" i="347"/>
  <c r="C19" i="347"/>
  <c r="O18" i="347"/>
  <c r="J18" i="347"/>
  <c r="I18" i="347"/>
  <c r="Q17" i="347"/>
  <c r="O17" i="347"/>
  <c r="J17" i="347"/>
  <c r="M16" i="347"/>
  <c r="K15" i="347"/>
  <c r="P14" i="347"/>
  <c r="N14" i="347"/>
  <c r="K14" i="347"/>
  <c r="I14" i="347"/>
  <c r="N13" i="347"/>
  <c r="K13" i="347"/>
  <c r="J13" i="347"/>
  <c r="J15" i="347" s="1"/>
  <c r="K12" i="347"/>
  <c r="M11" i="347"/>
  <c r="K11" i="347"/>
  <c r="I11" i="347"/>
  <c r="M10" i="347"/>
  <c r="J10" i="347"/>
  <c r="K8" i="347"/>
  <c r="N6" i="347"/>
  <c r="K5" i="347"/>
  <c r="N16" i="347" l="1"/>
  <c r="C22" i="347"/>
  <c r="N34" i="346"/>
  <c r="N31" i="346"/>
  <c r="N32" i="346" s="1"/>
  <c r="N27" i="346"/>
  <c r="K27" i="346"/>
  <c r="I26" i="346"/>
  <c r="I25" i="346"/>
  <c r="O24" i="346"/>
  <c r="M24" i="346"/>
  <c r="Q23" i="346"/>
  <c r="J23" i="346"/>
  <c r="J24" i="346" s="1"/>
  <c r="I23" i="346"/>
  <c r="Q22" i="346"/>
  <c r="N22" i="346"/>
  <c r="J22" i="346"/>
  <c r="I22" i="346"/>
  <c r="M21" i="346"/>
  <c r="L21" i="346"/>
  <c r="Q20" i="346"/>
  <c r="O20" i="346"/>
  <c r="N19" i="346"/>
  <c r="M19" i="346"/>
  <c r="M20" i="346" s="1"/>
  <c r="J19" i="346"/>
  <c r="I19" i="346"/>
  <c r="G19" i="346"/>
  <c r="C19" i="346"/>
  <c r="O18" i="346"/>
  <c r="J18" i="346"/>
  <c r="I18" i="346"/>
  <c r="Q17" i="346"/>
  <c r="O17" i="346"/>
  <c r="J17" i="346"/>
  <c r="M16" i="346"/>
  <c r="K15" i="346"/>
  <c r="P14" i="346"/>
  <c r="N14" i="346"/>
  <c r="K14" i="346"/>
  <c r="I14" i="346"/>
  <c r="N13" i="346"/>
  <c r="K13" i="346"/>
  <c r="J13" i="346"/>
  <c r="J15" i="346" s="1"/>
  <c r="K12" i="346"/>
  <c r="M11" i="346"/>
  <c r="K11" i="346"/>
  <c r="I11" i="346"/>
  <c r="M10" i="346"/>
  <c r="J10" i="346"/>
  <c r="K8" i="346"/>
  <c r="N6" i="346"/>
  <c r="K5" i="346"/>
  <c r="N16" i="346" l="1"/>
  <c r="C22" i="346"/>
  <c r="N34" i="345"/>
  <c r="N31" i="345"/>
  <c r="N32" i="345" s="1"/>
  <c r="N27" i="345"/>
  <c r="K27" i="345"/>
  <c r="I26" i="345"/>
  <c r="I25" i="345"/>
  <c r="O24" i="345"/>
  <c r="M24" i="345"/>
  <c r="Q23" i="345"/>
  <c r="J23" i="345"/>
  <c r="J24" i="345" s="1"/>
  <c r="I23" i="345"/>
  <c r="Q22" i="345"/>
  <c r="N22" i="345"/>
  <c r="J22" i="345"/>
  <c r="I22" i="345"/>
  <c r="M21" i="345"/>
  <c r="L21" i="345"/>
  <c r="Q20" i="345"/>
  <c r="O20" i="345"/>
  <c r="N19" i="345"/>
  <c r="M19" i="345"/>
  <c r="M20" i="345" s="1"/>
  <c r="J19" i="345"/>
  <c r="I19" i="345"/>
  <c r="G19" i="345"/>
  <c r="C19" i="345"/>
  <c r="O18" i="345"/>
  <c r="J18" i="345"/>
  <c r="I18" i="345"/>
  <c r="Q17" i="345"/>
  <c r="O17" i="345"/>
  <c r="J17" i="345"/>
  <c r="M16" i="345"/>
  <c r="K15" i="345"/>
  <c r="P14" i="345"/>
  <c r="N14" i="345"/>
  <c r="K14" i="345"/>
  <c r="I14" i="345"/>
  <c r="N13" i="345"/>
  <c r="K13" i="345"/>
  <c r="J13" i="345"/>
  <c r="J15" i="345" s="1"/>
  <c r="K12" i="345"/>
  <c r="M11" i="345"/>
  <c r="K11" i="345"/>
  <c r="I11" i="345"/>
  <c r="M10" i="345"/>
  <c r="J10" i="345"/>
  <c r="K8" i="345"/>
  <c r="N6" i="345"/>
  <c r="K5" i="345"/>
  <c r="N16" i="345" l="1"/>
  <c r="C22" i="345"/>
  <c r="N34" i="344"/>
  <c r="N31" i="344"/>
  <c r="N32" i="344" s="1"/>
  <c r="N27" i="344"/>
  <c r="K27" i="344"/>
  <c r="I26" i="344"/>
  <c r="I25" i="344"/>
  <c r="O24" i="344"/>
  <c r="M24" i="344"/>
  <c r="Q23" i="344"/>
  <c r="J23" i="344"/>
  <c r="J24" i="344" s="1"/>
  <c r="I23" i="344"/>
  <c r="Q22" i="344"/>
  <c r="N22" i="344"/>
  <c r="J22" i="344"/>
  <c r="I22" i="344"/>
  <c r="M21" i="344"/>
  <c r="L21" i="344"/>
  <c r="Q20" i="344"/>
  <c r="O20" i="344"/>
  <c r="N19" i="344"/>
  <c r="M19" i="344"/>
  <c r="M20" i="344" s="1"/>
  <c r="J19" i="344"/>
  <c r="I19" i="344"/>
  <c r="G19" i="344"/>
  <c r="C19" i="344"/>
  <c r="O18" i="344"/>
  <c r="J18" i="344"/>
  <c r="I18" i="344"/>
  <c r="Q17" i="344"/>
  <c r="O17" i="344"/>
  <c r="J17" i="344"/>
  <c r="M16" i="344"/>
  <c r="K15" i="344"/>
  <c r="P14" i="344"/>
  <c r="N14" i="344"/>
  <c r="K14" i="344"/>
  <c r="I14" i="344"/>
  <c r="N13" i="344"/>
  <c r="K13" i="344"/>
  <c r="J13" i="344"/>
  <c r="J15" i="344" s="1"/>
  <c r="K12" i="344"/>
  <c r="M11" i="344"/>
  <c r="K11" i="344"/>
  <c r="I11" i="344"/>
  <c r="M10" i="344"/>
  <c r="J10" i="344"/>
  <c r="K8" i="344"/>
  <c r="N6" i="344"/>
  <c r="K5" i="344"/>
  <c r="N16" i="344" l="1"/>
  <c r="C22" i="344"/>
  <c r="N34" i="343"/>
  <c r="N31" i="343"/>
  <c r="N32" i="343" s="1"/>
  <c r="N27" i="343"/>
  <c r="K27" i="343"/>
  <c r="I26" i="343"/>
  <c r="I25" i="343"/>
  <c r="O24" i="343"/>
  <c r="M24" i="343"/>
  <c r="Q23" i="343"/>
  <c r="J23" i="343"/>
  <c r="J24" i="343" s="1"/>
  <c r="I23" i="343"/>
  <c r="Q22" i="343"/>
  <c r="N22" i="343"/>
  <c r="J22" i="343"/>
  <c r="I22" i="343"/>
  <c r="M21" i="343"/>
  <c r="L21" i="343"/>
  <c r="Q20" i="343"/>
  <c r="O20" i="343"/>
  <c r="N19" i="343"/>
  <c r="M19" i="343"/>
  <c r="M20" i="343" s="1"/>
  <c r="J19" i="343"/>
  <c r="I19" i="343"/>
  <c r="G19" i="343"/>
  <c r="C19" i="343"/>
  <c r="O18" i="343"/>
  <c r="J18" i="343"/>
  <c r="I18" i="343"/>
  <c r="Q17" i="343"/>
  <c r="O17" i="343"/>
  <c r="J17" i="343"/>
  <c r="M16" i="343"/>
  <c r="K15" i="343"/>
  <c r="P14" i="343"/>
  <c r="N14" i="343"/>
  <c r="K14" i="343"/>
  <c r="I14" i="343"/>
  <c r="N13" i="343"/>
  <c r="K13" i="343"/>
  <c r="J13" i="343"/>
  <c r="J15" i="343" s="1"/>
  <c r="K12" i="343"/>
  <c r="M11" i="343"/>
  <c r="K11" i="343"/>
  <c r="I11" i="343"/>
  <c r="M10" i="343"/>
  <c r="J10" i="343"/>
  <c r="K8" i="343"/>
  <c r="N6" i="343"/>
  <c r="K5" i="343"/>
  <c r="N16" i="343" l="1"/>
  <c r="C22" i="343"/>
  <c r="N34" i="342"/>
  <c r="N31" i="342"/>
  <c r="N32" i="342" s="1"/>
  <c r="N27" i="342"/>
  <c r="K27" i="342"/>
  <c r="I26" i="342"/>
  <c r="I25" i="342"/>
  <c r="O24" i="342"/>
  <c r="M24" i="342"/>
  <c r="Q23" i="342"/>
  <c r="J23" i="342"/>
  <c r="J24" i="342" s="1"/>
  <c r="I23" i="342"/>
  <c r="Q22" i="342"/>
  <c r="N22" i="342"/>
  <c r="J22" i="342"/>
  <c r="I22" i="342"/>
  <c r="M21" i="342"/>
  <c r="L21" i="342"/>
  <c r="Q20" i="342"/>
  <c r="O20" i="342"/>
  <c r="N19" i="342"/>
  <c r="M19" i="342"/>
  <c r="M20" i="342" s="1"/>
  <c r="J19" i="342"/>
  <c r="I19" i="342"/>
  <c r="G19" i="342"/>
  <c r="C19" i="342"/>
  <c r="O18" i="342"/>
  <c r="J18" i="342"/>
  <c r="I18" i="342"/>
  <c r="Q17" i="342"/>
  <c r="O17" i="342"/>
  <c r="J17" i="342"/>
  <c r="M16" i="342"/>
  <c r="K15" i="342"/>
  <c r="P14" i="342"/>
  <c r="N14" i="342"/>
  <c r="K14" i="342"/>
  <c r="I14" i="342"/>
  <c r="N13" i="342"/>
  <c r="K13" i="342"/>
  <c r="J13" i="342"/>
  <c r="J15" i="342" s="1"/>
  <c r="K12" i="342"/>
  <c r="M11" i="342"/>
  <c r="K11" i="342"/>
  <c r="I11" i="342"/>
  <c r="M10" i="342"/>
  <c r="J10" i="342"/>
  <c r="K8" i="342"/>
  <c r="N6" i="342"/>
  <c r="K5" i="342"/>
  <c r="N16" i="342" l="1"/>
  <c r="C22" i="342"/>
  <c r="N34" i="341"/>
  <c r="N31" i="341"/>
  <c r="N32" i="341" s="1"/>
  <c r="N27" i="341"/>
  <c r="K27" i="341"/>
  <c r="I26" i="341"/>
  <c r="I25" i="341"/>
  <c r="O24" i="341"/>
  <c r="M24" i="341"/>
  <c r="Q23" i="341"/>
  <c r="J23" i="341"/>
  <c r="J24" i="341" s="1"/>
  <c r="I23" i="341"/>
  <c r="Q22" i="341"/>
  <c r="N22" i="341"/>
  <c r="J22" i="341"/>
  <c r="I22" i="341"/>
  <c r="M21" i="341"/>
  <c r="L21" i="341"/>
  <c r="Q20" i="341"/>
  <c r="O20" i="341"/>
  <c r="N19" i="341"/>
  <c r="M19" i="341"/>
  <c r="M20" i="341" s="1"/>
  <c r="J19" i="341"/>
  <c r="I19" i="341"/>
  <c r="G19" i="341"/>
  <c r="C19" i="341"/>
  <c r="O18" i="341"/>
  <c r="J18" i="341"/>
  <c r="I18" i="341"/>
  <c r="Q17" i="341"/>
  <c r="O17" i="341"/>
  <c r="J17" i="341"/>
  <c r="M16" i="341"/>
  <c r="K15" i="341"/>
  <c r="P14" i="341"/>
  <c r="N14" i="341"/>
  <c r="K14" i="341"/>
  <c r="I14" i="341"/>
  <c r="N13" i="341"/>
  <c r="K13" i="341"/>
  <c r="J13" i="341"/>
  <c r="J15" i="341" s="1"/>
  <c r="K12" i="341"/>
  <c r="M11" i="341"/>
  <c r="K11" i="341"/>
  <c r="I11" i="341"/>
  <c r="M10" i="341"/>
  <c r="J10" i="341"/>
  <c r="K8" i="341"/>
  <c r="N6" i="341"/>
  <c r="K5" i="341"/>
  <c r="N16" i="341" l="1"/>
  <c r="C22" i="341"/>
  <c r="N34" i="340"/>
  <c r="N31" i="340"/>
  <c r="N32" i="340" s="1"/>
  <c r="N27" i="340"/>
  <c r="K27" i="340"/>
  <c r="I26" i="340"/>
  <c r="I25" i="340"/>
  <c r="O24" i="340"/>
  <c r="M24" i="340"/>
  <c r="Q23" i="340"/>
  <c r="J23" i="340"/>
  <c r="J24" i="340" s="1"/>
  <c r="I23" i="340"/>
  <c r="Q22" i="340"/>
  <c r="N22" i="340"/>
  <c r="J22" i="340"/>
  <c r="I22" i="340"/>
  <c r="M21" i="340"/>
  <c r="L21" i="340"/>
  <c r="Q20" i="340"/>
  <c r="O20" i="340"/>
  <c r="N19" i="340"/>
  <c r="M19" i="340"/>
  <c r="M20" i="340" s="1"/>
  <c r="J19" i="340"/>
  <c r="I19" i="340"/>
  <c r="G19" i="340"/>
  <c r="C19" i="340"/>
  <c r="O18" i="340"/>
  <c r="J18" i="340"/>
  <c r="I18" i="340"/>
  <c r="Q17" i="340"/>
  <c r="O17" i="340"/>
  <c r="J17" i="340"/>
  <c r="M16" i="340"/>
  <c r="K15" i="340"/>
  <c r="P14" i="340"/>
  <c r="N14" i="340"/>
  <c r="K14" i="340"/>
  <c r="I14" i="340"/>
  <c r="N13" i="340"/>
  <c r="K13" i="340"/>
  <c r="J13" i="340"/>
  <c r="J15" i="340" s="1"/>
  <c r="K12" i="340"/>
  <c r="M11" i="340"/>
  <c r="K11" i="340"/>
  <c r="I11" i="340"/>
  <c r="M10" i="340"/>
  <c r="J10" i="340"/>
  <c r="K8" i="340"/>
  <c r="N6" i="340"/>
  <c r="K5" i="340"/>
  <c r="N16" i="340" l="1"/>
  <c r="C22" i="340"/>
  <c r="G10" i="339"/>
  <c r="G19" i="339" s="1"/>
  <c r="N34" i="339"/>
  <c r="N32" i="339"/>
  <c r="N31" i="339"/>
  <c r="N27" i="339"/>
  <c r="K27" i="339"/>
  <c r="I26" i="339"/>
  <c r="I25" i="339"/>
  <c r="O24" i="339"/>
  <c r="M24" i="339"/>
  <c r="Q23" i="339"/>
  <c r="J23" i="339"/>
  <c r="J24" i="339" s="1"/>
  <c r="I23" i="339"/>
  <c r="Q22" i="339"/>
  <c r="N22" i="339"/>
  <c r="J22" i="339"/>
  <c r="I22" i="339"/>
  <c r="M21" i="339"/>
  <c r="L21" i="339"/>
  <c r="Q20" i="339"/>
  <c r="O20" i="339"/>
  <c r="N19" i="339"/>
  <c r="M19" i="339"/>
  <c r="M20" i="339" s="1"/>
  <c r="J19" i="339"/>
  <c r="I19" i="339"/>
  <c r="C19" i="339"/>
  <c r="O18" i="339"/>
  <c r="J18" i="339"/>
  <c r="I18" i="339"/>
  <c r="Q17" i="339"/>
  <c r="O17" i="339"/>
  <c r="J17" i="339"/>
  <c r="M16" i="339"/>
  <c r="K15" i="339"/>
  <c r="P14" i="339"/>
  <c r="N14" i="339"/>
  <c r="K14" i="339"/>
  <c r="I14" i="339"/>
  <c r="N13" i="339"/>
  <c r="K13" i="339"/>
  <c r="J13" i="339"/>
  <c r="J15" i="339" s="1"/>
  <c r="K12" i="339"/>
  <c r="M11" i="339"/>
  <c r="K11" i="339"/>
  <c r="I11" i="339"/>
  <c r="M10" i="339"/>
  <c r="J10" i="339"/>
  <c r="K8" i="339"/>
  <c r="N6" i="339"/>
  <c r="K5" i="339"/>
  <c r="N16" i="339" l="1"/>
  <c r="C22" i="339"/>
  <c r="N34" i="338"/>
  <c r="N31" i="338"/>
  <c r="N32" i="338" s="1"/>
  <c r="N27" i="338"/>
  <c r="K27" i="338"/>
  <c r="I26" i="338"/>
  <c r="I25" i="338"/>
  <c r="O24" i="338"/>
  <c r="M24" i="338"/>
  <c r="Q23" i="338"/>
  <c r="J23" i="338"/>
  <c r="J24" i="338" s="1"/>
  <c r="I23" i="338"/>
  <c r="Q22" i="338"/>
  <c r="N22" i="338"/>
  <c r="J22" i="338"/>
  <c r="I22" i="338"/>
  <c r="M21" i="338"/>
  <c r="L21" i="338"/>
  <c r="Q20" i="338"/>
  <c r="O20" i="338"/>
  <c r="N19" i="338"/>
  <c r="M19" i="338"/>
  <c r="M20" i="338" s="1"/>
  <c r="J19" i="338"/>
  <c r="I19" i="338"/>
  <c r="G19" i="338"/>
  <c r="C19" i="338"/>
  <c r="O18" i="338"/>
  <c r="J18" i="338"/>
  <c r="I18" i="338"/>
  <c r="Q17" i="338"/>
  <c r="O17" i="338"/>
  <c r="J17" i="338"/>
  <c r="I17" i="338"/>
  <c r="M16" i="338"/>
  <c r="K15" i="338"/>
  <c r="P14" i="338"/>
  <c r="N14" i="338"/>
  <c r="K14" i="338"/>
  <c r="I14" i="338"/>
  <c r="N13" i="338"/>
  <c r="K13" i="338"/>
  <c r="J13" i="338"/>
  <c r="J15" i="338" s="1"/>
  <c r="K12" i="338"/>
  <c r="M11" i="338"/>
  <c r="K11" i="338"/>
  <c r="I11" i="338"/>
  <c r="M10" i="338"/>
  <c r="J10" i="338"/>
  <c r="K8" i="338"/>
  <c r="N6" i="338"/>
  <c r="K5" i="338"/>
  <c r="N16" i="338" l="1"/>
  <c r="C22" i="338"/>
  <c r="N34" i="337"/>
  <c r="N31" i="337"/>
  <c r="N32" i="337" s="1"/>
  <c r="N27" i="337"/>
  <c r="K27" i="337"/>
  <c r="I26" i="337"/>
  <c r="I25" i="337"/>
  <c r="O24" i="337"/>
  <c r="M24" i="337"/>
  <c r="Q23" i="337"/>
  <c r="J23" i="337"/>
  <c r="J24" i="337" s="1"/>
  <c r="I23" i="337"/>
  <c r="Q22" i="337"/>
  <c r="N22" i="337"/>
  <c r="J22" i="337"/>
  <c r="I22" i="337"/>
  <c r="M21" i="337"/>
  <c r="L21" i="337"/>
  <c r="Q20" i="337"/>
  <c r="O20" i="337"/>
  <c r="N19" i="337"/>
  <c r="M19" i="337"/>
  <c r="M20" i="337" s="1"/>
  <c r="J19" i="337"/>
  <c r="I19" i="337"/>
  <c r="G19" i="337"/>
  <c r="C19" i="337"/>
  <c r="O18" i="337"/>
  <c r="J18" i="337"/>
  <c r="I18" i="337"/>
  <c r="Q17" i="337"/>
  <c r="O17" i="337"/>
  <c r="J17" i="337"/>
  <c r="I17" i="337"/>
  <c r="M16" i="337"/>
  <c r="K15" i="337"/>
  <c r="P14" i="337"/>
  <c r="N14" i="337"/>
  <c r="K14" i="337"/>
  <c r="I14" i="337"/>
  <c r="N13" i="337"/>
  <c r="K13" i="337"/>
  <c r="J13" i="337"/>
  <c r="J15" i="337" s="1"/>
  <c r="K12" i="337"/>
  <c r="M11" i="337"/>
  <c r="K11" i="337"/>
  <c r="I11" i="337"/>
  <c r="M10" i="337"/>
  <c r="J10" i="337"/>
  <c r="K8" i="337"/>
  <c r="N6" i="337"/>
  <c r="K5" i="337"/>
  <c r="N16" i="337" l="1"/>
  <c r="C22" i="337"/>
  <c r="G19" i="336"/>
  <c r="C19" i="336"/>
  <c r="N34" i="336"/>
  <c r="N31" i="336"/>
  <c r="N32" i="336" s="1"/>
  <c r="N27" i="336"/>
  <c r="K27" i="336"/>
  <c r="I26" i="336"/>
  <c r="I25" i="336"/>
  <c r="O24" i="336"/>
  <c r="M24" i="336"/>
  <c r="Q23" i="336"/>
  <c r="J23" i="336"/>
  <c r="J24" i="336" s="1"/>
  <c r="I23" i="336"/>
  <c r="Q22" i="336"/>
  <c r="N22" i="336"/>
  <c r="J22" i="336"/>
  <c r="I22" i="336"/>
  <c r="M21" i="336"/>
  <c r="L21" i="336"/>
  <c r="Q20" i="336"/>
  <c r="O20" i="336"/>
  <c r="M20" i="336"/>
  <c r="N19" i="336"/>
  <c r="M19" i="336"/>
  <c r="J19" i="336"/>
  <c r="I19" i="336"/>
  <c r="O18" i="336"/>
  <c r="J18" i="336"/>
  <c r="I18" i="336"/>
  <c r="Q17" i="336"/>
  <c r="O17" i="336"/>
  <c r="J17" i="336"/>
  <c r="I17" i="336"/>
  <c r="M16" i="336"/>
  <c r="K15" i="336"/>
  <c r="P14" i="336"/>
  <c r="N14" i="336"/>
  <c r="K14" i="336"/>
  <c r="I14" i="336"/>
  <c r="N13" i="336"/>
  <c r="K13" i="336"/>
  <c r="J13" i="336"/>
  <c r="J15" i="336" s="1"/>
  <c r="K12" i="336"/>
  <c r="M11" i="336"/>
  <c r="K11" i="336"/>
  <c r="I11" i="336"/>
  <c r="M10" i="336"/>
  <c r="J10" i="336"/>
  <c r="K8" i="336"/>
  <c r="N6" i="336"/>
  <c r="K5" i="336"/>
  <c r="N16" i="336" l="1"/>
  <c r="C22" i="336"/>
  <c r="N34" i="335"/>
  <c r="N31" i="335"/>
  <c r="N32" i="335" s="1"/>
  <c r="N27" i="335"/>
  <c r="K27" i="335"/>
  <c r="I26" i="335"/>
  <c r="I25" i="335"/>
  <c r="O24" i="335"/>
  <c r="M24" i="335"/>
  <c r="Q23" i="335"/>
  <c r="J23" i="335"/>
  <c r="J24" i="335" s="1"/>
  <c r="I23" i="335"/>
  <c r="F23" i="335"/>
  <c r="Q22" i="335"/>
  <c r="N22" i="335"/>
  <c r="J22" i="335"/>
  <c r="I22" i="335"/>
  <c r="M21" i="335"/>
  <c r="L21" i="335"/>
  <c r="Q20" i="335"/>
  <c r="O20" i="335"/>
  <c r="M20" i="335"/>
  <c r="N19" i="335"/>
  <c r="M19" i="335"/>
  <c r="J19" i="335"/>
  <c r="I19" i="335"/>
  <c r="G19" i="335"/>
  <c r="C19" i="335"/>
  <c r="O18" i="335"/>
  <c r="J18" i="335"/>
  <c r="I18" i="335"/>
  <c r="Q17" i="335"/>
  <c r="O17" i="335"/>
  <c r="J17" i="335"/>
  <c r="I17" i="335"/>
  <c r="M16" i="335"/>
  <c r="K15" i="335"/>
  <c r="P14" i="335"/>
  <c r="N14" i="335"/>
  <c r="K14" i="335"/>
  <c r="I14" i="335"/>
  <c r="N13" i="335"/>
  <c r="K13" i="335"/>
  <c r="J13" i="335"/>
  <c r="J15" i="335" s="1"/>
  <c r="K12" i="335"/>
  <c r="M11" i="335"/>
  <c r="K11" i="335"/>
  <c r="I11" i="335"/>
  <c r="M10" i="335"/>
  <c r="J10" i="335"/>
  <c r="K8" i="335"/>
  <c r="N6" i="335"/>
  <c r="K5" i="335"/>
  <c r="N16" i="335" l="1"/>
  <c r="C22" i="335"/>
  <c r="N34" i="334"/>
  <c r="N31" i="334"/>
  <c r="N32" i="334" s="1"/>
  <c r="N27" i="334"/>
  <c r="K27" i="334"/>
  <c r="I26" i="334"/>
  <c r="I25" i="334"/>
  <c r="O24" i="334"/>
  <c r="M24" i="334"/>
  <c r="Q23" i="334"/>
  <c r="J23" i="334"/>
  <c r="J24" i="334" s="1"/>
  <c r="I23" i="334"/>
  <c r="F23" i="334"/>
  <c r="Q22" i="334"/>
  <c r="N22" i="334"/>
  <c r="J22" i="334"/>
  <c r="I22" i="334"/>
  <c r="M21" i="334"/>
  <c r="L21" i="334"/>
  <c r="Q20" i="334"/>
  <c r="O20" i="334"/>
  <c r="N19" i="334"/>
  <c r="M19" i="334"/>
  <c r="M20" i="334" s="1"/>
  <c r="J19" i="334"/>
  <c r="I19" i="334"/>
  <c r="G19" i="334"/>
  <c r="C19" i="334"/>
  <c r="O18" i="334"/>
  <c r="J18" i="334"/>
  <c r="I18" i="334"/>
  <c r="Q17" i="334"/>
  <c r="O17" i="334"/>
  <c r="J17" i="334"/>
  <c r="I17" i="334"/>
  <c r="M16" i="334"/>
  <c r="K15" i="334"/>
  <c r="P14" i="334"/>
  <c r="N14" i="334"/>
  <c r="K14" i="334"/>
  <c r="I14" i="334"/>
  <c r="N13" i="334"/>
  <c r="K13" i="334"/>
  <c r="J13" i="334"/>
  <c r="J15" i="334" s="1"/>
  <c r="K12" i="334"/>
  <c r="M11" i="334"/>
  <c r="K11" i="334"/>
  <c r="I11" i="334"/>
  <c r="M10" i="334"/>
  <c r="J10" i="334"/>
  <c r="K8" i="334"/>
  <c r="N6" i="334"/>
  <c r="K5" i="334"/>
  <c r="N16" i="334" l="1"/>
  <c r="C22" i="334"/>
  <c r="N34" i="333"/>
  <c r="N31" i="333"/>
  <c r="N32" i="333" s="1"/>
  <c r="N27" i="333"/>
  <c r="K27" i="333"/>
  <c r="I26" i="333"/>
  <c r="I25" i="333"/>
  <c r="O24" i="333"/>
  <c r="M24" i="333"/>
  <c r="Q23" i="333"/>
  <c r="J23" i="333"/>
  <c r="J24" i="333" s="1"/>
  <c r="I23" i="333"/>
  <c r="F23" i="333"/>
  <c r="Q22" i="333"/>
  <c r="N22" i="333"/>
  <c r="J22" i="333"/>
  <c r="I22" i="333"/>
  <c r="M21" i="333"/>
  <c r="L21" i="333"/>
  <c r="Q20" i="333"/>
  <c r="O20" i="333"/>
  <c r="N19" i="333"/>
  <c r="M19" i="333"/>
  <c r="M20" i="333" s="1"/>
  <c r="J19" i="333"/>
  <c r="I19" i="333"/>
  <c r="G19" i="333"/>
  <c r="C19" i="333"/>
  <c r="O18" i="333"/>
  <c r="J18" i="333"/>
  <c r="I18" i="333"/>
  <c r="Q17" i="333"/>
  <c r="O17" i="333"/>
  <c r="J17" i="333"/>
  <c r="I17" i="333"/>
  <c r="M16" i="333"/>
  <c r="K15" i="333"/>
  <c r="P14" i="333"/>
  <c r="N14" i="333"/>
  <c r="K14" i="333"/>
  <c r="I14" i="333"/>
  <c r="N13" i="333"/>
  <c r="K13" i="333"/>
  <c r="J13" i="333"/>
  <c r="J15" i="333" s="1"/>
  <c r="K12" i="333"/>
  <c r="M11" i="333"/>
  <c r="K11" i="333"/>
  <c r="I11" i="333"/>
  <c r="M10" i="333"/>
  <c r="J10" i="333"/>
  <c r="K8" i="333"/>
  <c r="N6" i="333"/>
  <c r="K5" i="333"/>
  <c r="N16" i="333" l="1"/>
  <c r="C22" i="333"/>
  <c r="F23" i="332"/>
  <c r="N34" i="332"/>
  <c r="N31" i="332"/>
  <c r="N32" i="332" s="1"/>
  <c r="N27" i="332"/>
  <c r="K27" i="332"/>
  <c r="I26" i="332"/>
  <c r="I25" i="332"/>
  <c r="O24" i="332"/>
  <c r="M24" i="332"/>
  <c r="Q23" i="332"/>
  <c r="J23" i="332"/>
  <c r="J24" i="332" s="1"/>
  <c r="I23" i="332"/>
  <c r="Q22" i="332"/>
  <c r="N22" i="332"/>
  <c r="J22" i="332"/>
  <c r="I22" i="332"/>
  <c r="M21" i="332"/>
  <c r="L21" i="332"/>
  <c r="Q20" i="332"/>
  <c r="O20" i="332"/>
  <c r="N19" i="332"/>
  <c r="M19" i="332"/>
  <c r="M20" i="332" s="1"/>
  <c r="J19" i="332"/>
  <c r="I19" i="332"/>
  <c r="G19" i="332"/>
  <c r="C19" i="332"/>
  <c r="O18" i="332"/>
  <c r="J18" i="332"/>
  <c r="I18" i="332"/>
  <c r="Q17" i="332"/>
  <c r="O17" i="332"/>
  <c r="J17" i="332"/>
  <c r="I17" i="332"/>
  <c r="M16" i="332"/>
  <c r="K15" i="332"/>
  <c r="P14" i="332"/>
  <c r="N14" i="332"/>
  <c r="K14" i="332"/>
  <c r="I14" i="332"/>
  <c r="N13" i="332"/>
  <c r="K13" i="332"/>
  <c r="J13" i="332"/>
  <c r="J15" i="332" s="1"/>
  <c r="K12" i="332"/>
  <c r="M11" i="332"/>
  <c r="K11" i="332"/>
  <c r="I11" i="332"/>
  <c r="M10" i="332"/>
  <c r="J10" i="332"/>
  <c r="K8" i="332"/>
  <c r="N6" i="332"/>
  <c r="K5" i="332"/>
  <c r="N16" i="332" l="1"/>
  <c r="C22" i="332"/>
  <c r="C19" i="331"/>
  <c r="G19" i="331"/>
  <c r="C22" i="331" l="1"/>
  <c r="N34" i="331"/>
  <c r="N31" i="331"/>
  <c r="N32" i="331" s="1"/>
  <c r="N27" i="331"/>
  <c r="K27" i="331"/>
  <c r="I26" i="331"/>
  <c r="I25" i="331"/>
  <c r="O24" i="331"/>
  <c r="M24" i="331"/>
  <c r="Q23" i="331"/>
  <c r="J23" i="331"/>
  <c r="J24" i="331" s="1"/>
  <c r="I23" i="331"/>
  <c r="Q22" i="331"/>
  <c r="N22" i="331"/>
  <c r="J22" i="331"/>
  <c r="I22" i="331"/>
  <c r="M21" i="331"/>
  <c r="L21" i="331"/>
  <c r="Q20" i="331"/>
  <c r="O20" i="331"/>
  <c r="N19" i="331"/>
  <c r="M19" i="331"/>
  <c r="M20" i="331" s="1"/>
  <c r="J19" i="331"/>
  <c r="I19" i="331"/>
  <c r="O18" i="331"/>
  <c r="J18" i="331"/>
  <c r="I18" i="331"/>
  <c r="Q17" i="331"/>
  <c r="O17" i="331"/>
  <c r="J17" i="331"/>
  <c r="I17" i="331"/>
  <c r="M16" i="331"/>
  <c r="K15" i="331"/>
  <c r="P14" i="331"/>
  <c r="N14" i="331"/>
  <c r="K14" i="331"/>
  <c r="I14" i="331"/>
  <c r="N13" i="331"/>
  <c r="K13" i="331"/>
  <c r="J13" i="331"/>
  <c r="J15" i="331" s="1"/>
  <c r="K12" i="331"/>
  <c r="M11" i="331"/>
  <c r="K11" i="331"/>
  <c r="I11" i="331"/>
  <c r="M10" i="331"/>
  <c r="J10" i="331"/>
  <c r="K8" i="331"/>
  <c r="N6" i="331"/>
  <c r="K5" i="331"/>
  <c r="N16" i="331" l="1"/>
  <c r="G16" i="330"/>
  <c r="N34" i="330"/>
  <c r="N31" i="330"/>
  <c r="N32" i="330" s="1"/>
  <c r="N27" i="330"/>
  <c r="K27" i="330"/>
  <c r="I26" i="330"/>
  <c r="I25" i="330"/>
  <c r="O24" i="330"/>
  <c r="M24" i="330"/>
  <c r="Q23" i="330"/>
  <c r="J23" i="330"/>
  <c r="J24" i="330" s="1"/>
  <c r="I23" i="330"/>
  <c r="Q22" i="330"/>
  <c r="N22" i="330"/>
  <c r="J22" i="330"/>
  <c r="I22" i="330"/>
  <c r="M21" i="330"/>
  <c r="L21" i="330"/>
  <c r="Q20" i="330"/>
  <c r="O20" i="330"/>
  <c r="N19" i="330"/>
  <c r="M19" i="330"/>
  <c r="M20" i="330" s="1"/>
  <c r="J19" i="330"/>
  <c r="I19" i="330"/>
  <c r="G19" i="330"/>
  <c r="C19" i="330"/>
  <c r="O18" i="330"/>
  <c r="J18" i="330"/>
  <c r="I18" i="330"/>
  <c r="Q17" i="330"/>
  <c r="O17" i="330"/>
  <c r="J17" i="330"/>
  <c r="I17" i="330"/>
  <c r="M16" i="330"/>
  <c r="K15" i="330"/>
  <c r="P14" i="330"/>
  <c r="N14" i="330"/>
  <c r="K14" i="330"/>
  <c r="I14" i="330"/>
  <c r="N13" i="330"/>
  <c r="K13" i="330"/>
  <c r="J13" i="330"/>
  <c r="J15" i="330" s="1"/>
  <c r="K12" i="330"/>
  <c r="M11" i="330"/>
  <c r="K11" i="330"/>
  <c r="I11" i="330"/>
  <c r="M10" i="330"/>
  <c r="J10" i="330"/>
  <c r="K8" i="330"/>
  <c r="N6" i="330"/>
  <c r="K5" i="330"/>
  <c r="N16" i="330" l="1"/>
  <c r="C22" i="330"/>
  <c r="N34" i="329"/>
  <c r="N31" i="329"/>
  <c r="N32" i="329" s="1"/>
  <c r="N27" i="329"/>
  <c r="K27" i="329"/>
  <c r="I26" i="329"/>
  <c r="I25" i="329"/>
  <c r="F25" i="329"/>
  <c r="O24" i="329"/>
  <c r="M24" i="329"/>
  <c r="Q23" i="329"/>
  <c r="J23" i="329"/>
  <c r="J24" i="329" s="1"/>
  <c r="I23" i="329"/>
  <c r="Q22" i="329"/>
  <c r="N22" i="329"/>
  <c r="J22" i="329"/>
  <c r="I22" i="329"/>
  <c r="M21" i="329"/>
  <c r="L21" i="329"/>
  <c r="Q20" i="329"/>
  <c r="O20" i="329"/>
  <c r="N19" i="329"/>
  <c r="M19" i="329"/>
  <c r="M20" i="329" s="1"/>
  <c r="J19" i="329"/>
  <c r="I19" i="329"/>
  <c r="G19" i="329"/>
  <c r="C19" i="329"/>
  <c r="O18" i="329"/>
  <c r="J18" i="329"/>
  <c r="I18" i="329"/>
  <c r="Q17" i="329"/>
  <c r="O17" i="329"/>
  <c r="J17" i="329"/>
  <c r="I17" i="329"/>
  <c r="M16" i="329"/>
  <c r="K15" i="329"/>
  <c r="P14" i="329"/>
  <c r="N14" i="329"/>
  <c r="K14" i="329"/>
  <c r="I14" i="329"/>
  <c r="N13" i="329"/>
  <c r="K13" i="329"/>
  <c r="J13" i="329"/>
  <c r="J15" i="329" s="1"/>
  <c r="K12" i="329"/>
  <c r="M11" i="329"/>
  <c r="K11" i="329"/>
  <c r="I11" i="329"/>
  <c r="M10" i="329"/>
  <c r="J10" i="329"/>
  <c r="K8" i="329"/>
  <c r="N6" i="329"/>
  <c r="K5" i="329"/>
  <c r="N16" i="329" l="1"/>
  <c r="C22" i="329"/>
  <c r="F25" i="328"/>
  <c r="N34" i="328"/>
  <c r="N31" i="328"/>
  <c r="N32" i="328" s="1"/>
  <c r="N27" i="328"/>
  <c r="K27" i="328"/>
  <c r="I26" i="328"/>
  <c r="I25" i="328"/>
  <c r="O24" i="328"/>
  <c r="M24" i="328"/>
  <c r="Q23" i="328"/>
  <c r="J23" i="328"/>
  <c r="J24" i="328" s="1"/>
  <c r="I23" i="328"/>
  <c r="Q22" i="328"/>
  <c r="N22" i="328"/>
  <c r="J22" i="328"/>
  <c r="I22" i="328"/>
  <c r="M21" i="328"/>
  <c r="L21" i="328"/>
  <c r="Q20" i="328"/>
  <c r="O20" i="328"/>
  <c r="N19" i="328"/>
  <c r="M19" i="328"/>
  <c r="M20" i="328" s="1"/>
  <c r="J19" i="328"/>
  <c r="I19" i="328"/>
  <c r="G19" i="328"/>
  <c r="C19" i="328"/>
  <c r="O18" i="328"/>
  <c r="J18" i="328"/>
  <c r="I18" i="328"/>
  <c r="Q17" i="328"/>
  <c r="O17" i="328"/>
  <c r="J17" i="328"/>
  <c r="I17" i="328"/>
  <c r="M16" i="328"/>
  <c r="K15" i="328"/>
  <c r="P14" i="328"/>
  <c r="N14" i="328"/>
  <c r="K14" i="328"/>
  <c r="I14" i="328"/>
  <c r="N13" i="328"/>
  <c r="K13" i="328"/>
  <c r="J13" i="328"/>
  <c r="J15" i="328" s="1"/>
  <c r="K12" i="328"/>
  <c r="M11" i="328"/>
  <c r="K11" i="328"/>
  <c r="I11" i="328"/>
  <c r="M10" i="328"/>
  <c r="J10" i="328"/>
  <c r="K8" i="328"/>
  <c r="N6" i="328"/>
  <c r="K5" i="328"/>
  <c r="N16" i="328" l="1"/>
  <c r="C22" i="328"/>
  <c r="N34" i="327"/>
  <c r="N31" i="327"/>
  <c r="N32" i="327" s="1"/>
  <c r="N27" i="327"/>
  <c r="K27" i="327"/>
  <c r="I26" i="327"/>
  <c r="I25" i="327"/>
  <c r="O24" i="327"/>
  <c r="M24" i="327"/>
  <c r="Q23" i="327"/>
  <c r="J23" i="327"/>
  <c r="J24" i="327" s="1"/>
  <c r="I23" i="327"/>
  <c r="Q22" i="327"/>
  <c r="N22" i="327"/>
  <c r="J22" i="327"/>
  <c r="I22" i="327"/>
  <c r="M21" i="327"/>
  <c r="L21" i="327"/>
  <c r="Q20" i="327"/>
  <c r="O20" i="327"/>
  <c r="N19" i="327"/>
  <c r="M19" i="327"/>
  <c r="M20" i="327" s="1"/>
  <c r="J19" i="327"/>
  <c r="I19" i="327"/>
  <c r="G19" i="327"/>
  <c r="C19" i="327"/>
  <c r="O18" i="327"/>
  <c r="J18" i="327"/>
  <c r="I18" i="327"/>
  <c r="Q17" i="327"/>
  <c r="O17" i="327"/>
  <c r="J17" i="327"/>
  <c r="I17" i="327"/>
  <c r="M16" i="327"/>
  <c r="K15" i="327"/>
  <c r="P14" i="327"/>
  <c r="N14" i="327"/>
  <c r="K14" i="327"/>
  <c r="I14" i="327"/>
  <c r="N13" i="327"/>
  <c r="K13" i="327"/>
  <c r="J13" i="327"/>
  <c r="J15" i="327" s="1"/>
  <c r="K12" i="327"/>
  <c r="M11" i="327"/>
  <c r="K11" i="327"/>
  <c r="I11" i="327"/>
  <c r="M10" i="327"/>
  <c r="J10" i="327"/>
  <c r="K8" i="327"/>
  <c r="N6" i="327"/>
  <c r="K5" i="327"/>
  <c r="N16" i="327" l="1"/>
  <c r="C22" i="327"/>
  <c r="N34" i="326"/>
  <c r="N31" i="326"/>
  <c r="N32" i="326" s="1"/>
  <c r="N27" i="326"/>
  <c r="K27" i="326"/>
  <c r="I26" i="326"/>
  <c r="I25" i="326"/>
  <c r="O24" i="326"/>
  <c r="M24" i="326"/>
  <c r="Q23" i="326"/>
  <c r="J23" i="326"/>
  <c r="J24" i="326" s="1"/>
  <c r="I23" i="326"/>
  <c r="Q22" i="326"/>
  <c r="N22" i="326"/>
  <c r="J22" i="326"/>
  <c r="I22" i="326"/>
  <c r="M21" i="326"/>
  <c r="L21" i="326"/>
  <c r="Q20" i="326"/>
  <c r="O20" i="326"/>
  <c r="N19" i="326"/>
  <c r="M19" i="326"/>
  <c r="M20" i="326" s="1"/>
  <c r="J19" i="326"/>
  <c r="I19" i="326"/>
  <c r="G19" i="326"/>
  <c r="C19" i="326"/>
  <c r="O18" i="326"/>
  <c r="J18" i="326"/>
  <c r="I18" i="326"/>
  <c r="Q17" i="326"/>
  <c r="O17" i="326"/>
  <c r="J17" i="326"/>
  <c r="I17" i="326"/>
  <c r="M16" i="326"/>
  <c r="K15" i="326"/>
  <c r="P14" i="326"/>
  <c r="N14" i="326"/>
  <c r="K14" i="326"/>
  <c r="I14" i="326"/>
  <c r="N13" i="326"/>
  <c r="K13" i="326"/>
  <c r="J13" i="326"/>
  <c r="J15" i="326" s="1"/>
  <c r="K12" i="326"/>
  <c r="M11" i="326"/>
  <c r="K11" i="326"/>
  <c r="I11" i="326"/>
  <c r="M10" i="326"/>
  <c r="J10" i="326"/>
  <c r="K8" i="326"/>
  <c r="N6" i="326"/>
  <c r="K5" i="326"/>
  <c r="N16" i="326" l="1"/>
  <c r="C22" i="326"/>
  <c r="J22" i="325"/>
  <c r="N34" i="325" l="1"/>
  <c r="N31" i="325"/>
  <c r="N32" i="325" s="1"/>
  <c r="N27" i="325"/>
  <c r="K27" i="325"/>
  <c r="I26" i="325"/>
  <c r="I25" i="325"/>
  <c r="O24" i="325"/>
  <c r="M24" i="325"/>
  <c r="Q23" i="325"/>
  <c r="J23" i="325"/>
  <c r="J24" i="325" s="1"/>
  <c r="I23" i="325"/>
  <c r="Q22" i="325"/>
  <c r="N22" i="325"/>
  <c r="I22" i="325"/>
  <c r="M21" i="325"/>
  <c r="L21" i="325"/>
  <c r="Q20" i="325"/>
  <c r="O20" i="325"/>
  <c r="N19" i="325"/>
  <c r="M19" i="325"/>
  <c r="M20" i="325" s="1"/>
  <c r="J19" i="325"/>
  <c r="I19" i="325"/>
  <c r="G19" i="325"/>
  <c r="C19" i="325"/>
  <c r="O18" i="325"/>
  <c r="J18" i="325"/>
  <c r="I18" i="325"/>
  <c r="Q17" i="325"/>
  <c r="O17" i="325"/>
  <c r="J17" i="325"/>
  <c r="I17" i="325"/>
  <c r="M16" i="325"/>
  <c r="K15" i="325"/>
  <c r="P14" i="325"/>
  <c r="N14" i="325"/>
  <c r="K14" i="325"/>
  <c r="I14" i="325"/>
  <c r="N13" i="325"/>
  <c r="K13" i="325"/>
  <c r="J13" i="325"/>
  <c r="J15" i="325" s="1"/>
  <c r="K12" i="325"/>
  <c r="M11" i="325"/>
  <c r="K11" i="325"/>
  <c r="I11" i="325"/>
  <c r="M10" i="325"/>
  <c r="J10" i="325"/>
  <c r="K8" i="325"/>
  <c r="N6" i="325"/>
  <c r="K5" i="325"/>
  <c r="N16" i="325" l="1"/>
  <c r="C22" i="325"/>
  <c r="N34" i="324"/>
  <c r="N31" i="324"/>
  <c r="N32" i="324" s="1"/>
  <c r="N27" i="324"/>
  <c r="K27" i="324"/>
  <c r="I26" i="324"/>
  <c r="I25" i="324"/>
  <c r="O24" i="324"/>
  <c r="M24" i="324"/>
  <c r="Q23" i="324"/>
  <c r="J23" i="324"/>
  <c r="J24" i="324" s="1"/>
  <c r="I23" i="324"/>
  <c r="Q22" i="324"/>
  <c r="N22" i="324"/>
  <c r="I22" i="324"/>
  <c r="M21" i="324"/>
  <c r="L21" i="324"/>
  <c r="Q20" i="324"/>
  <c r="O20" i="324"/>
  <c r="N19" i="324"/>
  <c r="M19" i="324"/>
  <c r="M20" i="324" s="1"/>
  <c r="J19" i="324"/>
  <c r="I19" i="324"/>
  <c r="G19" i="324"/>
  <c r="C19" i="324"/>
  <c r="O18" i="324"/>
  <c r="J18" i="324"/>
  <c r="I18" i="324"/>
  <c r="Q17" i="324"/>
  <c r="O17" i="324"/>
  <c r="J17" i="324"/>
  <c r="I17" i="324"/>
  <c r="M16" i="324"/>
  <c r="K15" i="324"/>
  <c r="J15" i="324"/>
  <c r="P14" i="324"/>
  <c r="N14" i="324"/>
  <c r="K14" i="324"/>
  <c r="I14" i="324"/>
  <c r="N13" i="324"/>
  <c r="K13" i="324"/>
  <c r="J13" i="324"/>
  <c r="K12" i="324"/>
  <c r="M11" i="324"/>
  <c r="K11" i="324"/>
  <c r="I11" i="324"/>
  <c r="M10" i="324"/>
  <c r="J10" i="324"/>
  <c r="K8" i="324"/>
  <c r="N6" i="324"/>
  <c r="K5" i="324"/>
  <c r="N16" i="324" l="1"/>
  <c r="C22" i="324"/>
  <c r="N34" i="323"/>
  <c r="N31" i="323"/>
  <c r="N32" i="323" s="1"/>
  <c r="N27" i="323"/>
  <c r="K27" i="323"/>
  <c r="I26" i="323"/>
  <c r="I25" i="323"/>
  <c r="O24" i="323"/>
  <c r="M24" i="323"/>
  <c r="Q23" i="323"/>
  <c r="J23" i="323"/>
  <c r="J24" i="323" s="1"/>
  <c r="I23" i="323"/>
  <c r="Q22" i="323"/>
  <c r="N22" i="323"/>
  <c r="I22" i="323"/>
  <c r="M21" i="323"/>
  <c r="L21" i="323"/>
  <c r="Q20" i="323"/>
  <c r="O20" i="323"/>
  <c r="N19" i="323"/>
  <c r="M19" i="323"/>
  <c r="M20" i="323" s="1"/>
  <c r="J19" i="323"/>
  <c r="I19" i="323"/>
  <c r="G19" i="323"/>
  <c r="C19" i="323"/>
  <c r="O18" i="323"/>
  <c r="J18" i="323"/>
  <c r="I18" i="323"/>
  <c r="Q17" i="323"/>
  <c r="O17" i="323"/>
  <c r="J17" i="323"/>
  <c r="I17" i="323"/>
  <c r="M16" i="323"/>
  <c r="K15" i="323"/>
  <c r="P14" i="323"/>
  <c r="N14" i="323"/>
  <c r="K14" i="323"/>
  <c r="I14" i="323"/>
  <c r="N13" i="323"/>
  <c r="K13" i="323"/>
  <c r="J13" i="323"/>
  <c r="J15" i="323" s="1"/>
  <c r="K12" i="323"/>
  <c r="M11" i="323"/>
  <c r="K11" i="323"/>
  <c r="I11" i="323"/>
  <c r="M10" i="323"/>
  <c r="J10" i="323"/>
  <c r="K8" i="323"/>
  <c r="N6" i="323"/>
  <c r="K5" i="323"/>
  <c r="N16" i="323" l="1"/>
  <c r="C22" i="323"/>
  <c r="N34" i="322"/>
  <c r="N31" i="322"/>
  <c r="N32" i="322" s="1"/>
  <c r="N27" i="322"/>
  <c r="K27" i="322"/>
  <c r="I26" i="322"/>
  <c r="I25" i="322"/>
  <c r="O24" i="322"/>
  <c r="M24" i="322"/>
  <c r="Q23" i="322"/>
  <c r="J23" i="322"/>
  <c r="J24" i="322" s="1"/>
  <c r="I23" i="322"/>
  <c r="Q22" i="322"/>
  <c r="N22" i="322"/>
  <c r="I22" i="322"/>
  <c r="M21" i="322"/>
  <c r="L21" i="322"/>
  <c r="Q20" i="322"/>
  <c r="O20" i="322"/>
  <c r="N19" i="322"/>
  <c r="M19" i="322"/>
  <c r="M20" i="322" s="1"/>
  <c r="J19" i="322"/>
  <c r="I19" i="322"/>
  <c r="G19" i="322"/>
  <c r="C19" i="322"/>
  <c r="O18" i="322"/>
  <c r="J18" i="322"/>
  <c r="I18" i="322"/>
  <c r="Q17" i="322"/>
  <c r="O17" i="322"/>
  <c r="J17" i="322"/>
  <c r="I17" i="322"/>
  <c r="M16" i="322"/>
  <c r="K15" i="322"/>
  <c r="P14" i="322"/>
  <c r="N14" i="322"/>
  <c r="K14" i="322"/>
  <c r="I14" i="322"/>
  <c r="N13" i="322"/>
  <c r="K13" i="322"/>
  <c r="J13" i="322"/>
  <c r="J15" i="322" s="1"/>
  <c r="K12" i="322"/>
  <c r="M11" i="322"/>
  <c r="K11" i="322"/>
  <c r="I11" i="322"/>
  <c r="M10" i="322"/>
  <c r="J10" i="322"/>
  <c r="K8" i="322"/>
  <c r="N6" i="322"/>
  <c r="K5" i="322"/>
  <c r="N16" i="322" l="1"/>
  <c r="C22" i="322"/>
  <c r="N34" i="321"/>
  <c r="N31" i="321"/>
  <c r="N32" i="321" s="1"/>
  <c r="N27" i="321"/>
  <c r="K27" i="321"/>
  <c r="I26" i="321"/>
  <c r="I25" i="321"/>
  <c r="O24" i="321"/>
  <c r="M24" i="321"/>
  <c r="Q23" i="321"/>
  <c r="J23" i="321"/>
  <c r="J24" i="321" s="1"/>
  <c r="I23" i="321"/>
  <c r="Q22" i="321"/>
  <c r="N22" i="321"/>
  <c r="I22" i="321"/>
  <c r="M21" i="321"/>
  <c r="L21" i="321"/>
  <c r="Q20" i="321"/>
  <c r="O20" i="321"/>
  <c r="N19" i="321"/>
  <c r="M19" i="321"/>
  <c r="M20" i="321" s="1"/>
  <c r="J19" i="321"/>
  <c r="I19" i="321"/>
  <c r="G19" i="321"/>
  <c r="C19" i="321"/>
  <c r="O18" i="321"/>
  <c r="J18" i="321"/>
  <c r="I18" i="321"/>
  <c r="Q17" i="321"/>
  <c r="O17" i="321"/>
  <c r="J17" i="321"/>
  <c r="I17" i="321"/>
  <c r="M16" i="321"/>
  <c r="K15" i="321"/>
  <c r="P14" i="321"/>
  <c r="N14" i="321"/>
  <c r="K14" i="321"/>
  <c r="I14" i="321"/>
  <c r="N13" i="321"/>
  <c r="K13" i="321"/>
  <c r="J13" i="321"/>
  <c r="J15" i="321" s="1"/>
  <c r="K12" i="321"/>
  <c r="M11" i="321"/>
  <c r="K11" i="321"/>
  <c r="I11" i="321"/>
  <c r="M10" i="321"/>
  <c r="J10" i="321"/>
  <c r="K8" i="321"/>
  <c r="N6" i="321"/>
  <c r="K5" i="321"/>
  <c r="N16" i="321" l="1"/>
  <c r="C22" i="321"/>
  <c r="N34" i="319"/>
  <c r="N31" i="319"/>
  <c r="N32" i="319" s="1"/>
  <c r="N27" i="319"/>
  <c r="K27" i="319"/>
  <c r="I26" i="319"/>
  <c r="I25" i="319"/>
  <c r="O24" i="319"/>
  <c r="M24" i="319"/>
  <c r="Q23" i="319"/>
  <c r="J23" i="319"/>
  <c r="J24" i="319" s="1"/>
  <c r="I23" i="319"/>
  <c r="Q22" i="319"/>
  <c r="N22" i="319"/>
  <c r="I22" i="319"/>
  <c r="M21" i="319"/>
  <c r="L21" i="319"/>
  <c r="Q20" i="319"/>
  <c r="O20" i="319"/>
  <c r="N19" i="319"/>
  <c r="M19" i="319"/>
  <c r="M20" i="319" s="1"/>
  <c r="J19" i="319"/>
  <c r="I19" i="319"/>
  <c r="G19" i="319"/>
  <c r="C19" i="319"/>
  <c r="O18" i="319"/>
  <c r="J18" i="319"/>
  <c r="I18" i="319"/>
  <c r="Q17" i="319"/>
  <c r="O17" i="319"/>
  <c r="J17" i="319"/>
  <c r="I17" i="319"/>
  <c r="M16" i="319"/>
  <c r="K15" i="319"/>
  <c r="P14" i="319"/>
  <c r="N14" i="319"/>
  <c r="K14" i="319"/>
  <c r="I14" i="319"/>
  <c r="N13" i="319"/>
  <c r="K13" i="319"/>
  <c r="J13" i="319"/>
  <c r="J15" i="319" s="1"/>
  <c r="K12" i="319"/>
  <c r="M11" i="319"/>
  <c r="K11" i="319"/>
  <c r="I11" i="319"/>
  <c r="M10" i="319"/>
  <c r="J10" i="319"/>
  <c r="K8" i="319"/>
  <c r="N6" i="319"/>
  <c r="K5" i="319"/>
  <c r="N16" i="319" l="1"/>
  <c r="C22" i="319"/>
  <c r="N34" i="318"/>
  <c r="N31" i="318"/>
  <c r="N32" i="318" s="1"/>
  <c r="N27" i="318"/>
  <c r="K27" i="318"/>
  <c r="I26" i="318"/>
  <c r="I25" i="318"/>
  <c r="O24" i="318"/>
  <c r="M24" i="318"/>
  <c r="Q23" i="318"/>
  <c r="J23" i="318"/>
  <c r="J24" i="318" s="1"/>
  <c r="I23" i="318"/>
  <c r="Q22" i="318"/>
  <c r="N22" i="318"/>
  <c r="I22" i="318"/>
  <c r="M21" i="318"/>
  <c r="L21" i="318"/>
  <c r="Q20" i="318"/>
  <c r="O20" i="318"/>
  <c r="N19" i="318"/>
  <c r="M19" i="318"/>
  <c r="M20" i="318" s="1"/>
  <c r="J19" i="318"/>
  <c r="I19" i="318"/>
  <c r="G19" i="318"/>
  <c r="C19" i="318"/>
  <c r="O18" i="318"/>
  <c r="J18" i="318"/>
  <c r="I18" i="318"/>
  <c r="Q17" i="318"/>
  <c r="O17" i="318"/>
  <c r="J17" i="318"/>
  <c r="I17" i="318"/>
  <c r="M16" i="318"/>
  <c r="K15" i="318"/>
  <c r="P14" i="318"/>
  <c r="N14" i="318"/>
  <c r="K14" i="318"/>
  <c r="I14" i="318"/>
  <c r="N13" i="318"/>
  <c r="K13" i="318"/>
  <c r="J13" i="318"/>
  <c r="J15" i="318" s="1"/>
  <c r="K12" i="318"/>
  <c r="M11" i="318"/>
  <c r="K11" i="318"/>
  <c r="I11" i="318"/>
  <c r="M10" i="318"/>
  <c r="J10" i="318"/>
  <c r="K8" i="318"/>
  <c r="N6" i="318"/>
  <c r="K5" i="318"/>
  <c r="N16" i="318" l="1"/>
  <c r="C22" i="318"/>
  <c r="N34" i="317"/>
  <c r="N31" i="317"/>
  <c r="N32" i="317" s="1"/>
  <c r="N27" i="317"/>
  <c r="K27" i="317"/>
  <c r="I26" i="317"/>
  <c r="I25" i="317"/>
  <c r="O24" i="317"/>
  <c r="M24" i="317"/>
  <c r="Q23" i="317"/>
  <c r="J23" i="317"/>
  <c r="J24" i="317" s="1"/>
  <c r="I23" i="317"/>
  <c r="Q22" i="317"/>
  <c r="N22" i="317"/>
  <c r="I22" i="317"/>
  <c r="M21" i="317"/>
  <c r="L21" i="317"/>
  <c r="Q20" i="317"/>
  <c r="O20" i="317"/>
  <c r="N19" i="317"/>
  <c r="M19" i="317"/>
  <c r="M20" i="317" s="1"/>
  <c r="J19" i="317"/>
  <c r="I19" i="317"/>
  <c r="G19" i="317"/>
  <c r="C19" i="317"/>
  <c r="O18" i="317"/>
  <c r="J18" i="317"/>
  <c r="I18" i="317"/>
  <c r="Q17" i="317"/>
  <c r="O17" i="317"/>
  <c r="J17" i="317"/>
  <c r="I17" i="317"/>
  <c r="M16" i="317"/>
  <c r="K15" i="317"/>
  <c r="P14" i="317"/>
  <c r="N14" i="317"/>
  <c r="K14" i="317"/>
  <c r="I14" i="317"/>
  <c r="N13" i="317"/>
  <c r="K13" i="317"/>
  <c r="J13" i="317"/>
  <c r="J15" i="317" s="1"/>
  <c r="K12" i="317"/>
  <c r="M11" i="317"/>
  <c r="K11" i="317"/>
  <c r="I11" i="317"/>
  <c r="M10" i="317"/>
  <c r="J10" i="317"/>
  <c r="K8" i="317"/>
  <c r="N6" i="317"/>
  <c r="K5" i="317"/>
  <c r="N16" i="317" l="1"/>
  <c r="C22" i="317"/>
  <c r="N34" i="316"/>
  <c r="N31" i="316"/>
  <c r="N32" i="316" s="1"/>
  <c r="N27" i="316"/>
  <c r="K27" i="316"/>
  <c r="I26" i="316"/>
  <c r="I25" i="316"/>
  <c r="O24" i="316"/>
  <c r="M24" i="316"/>
  <c r="Q23" i="316"/>
  <c r="J23" i="316"/>
  <c r="J24" i="316" s="1"/>
  <c r="I23" i="316"/>
  <c r="Q22" i="316"/>
  <c r="N22" i="316"/>
  <c r="I22" i="316"/>
  <c r="M21" i="316"/>
  <c r="L21" i="316"/>
  <c r="Q20" i="316"/>
  <c r="O20" i="316"/>
  <c r="N19" i="316"/>
  <c r="M19" i="316"/>
  <c r="M20" i="316" s="1"/>
  <c r="J19" i="316"/>
  <c r="I19" i="316"/>
  <c r="G19" i="316"/>
  <c r="C19" i="316"/>
  <c r="O18" i="316"/>
  <c r="J18" i="316"/>
  <c r="I18" i="316"/>
  <c r="Q17" i="316"/>
  <c r="O17" i="316"/>
  <c r="J17" i="316"/>
  <c r="I17" i="316"/>
  <c r="M16" i="316"/>
  <c r="K15" i="316"/>
  <c r="P14" i="316"/>
  <c r="N14" i="316"/>
  <c r="K14" i="316"/>
  <c r="I14" i="316"/>
  <c r="N13" i="316"/>
  <c r="K13" i="316"/>
  <c r="J13" i="316"/>
  <c r="J15" i="316" s="1"/>
  <c r="K12" i="316"/>
  <c r="M11" i="316"/>
  <c r="K11" i="316"/>
  <c r="I11" i="316"/>
  <c r="M10" i="316"/>
  <c r="J10" i="316"/>
  <c r="K8" i="316"/>
  <c r="N6" i="316"/>
  <c r="K5" i="316"/>
  <c r="N16" i="316" l="1"/>
  <c r="C22" i="316"/>
  <c r="N34" i="315"/>
  <c r="N31" i="315"/>
  <c r="N32" i="315" s="1"/>
  <c r="N27" i="315"/>
  <c r="K27" i="315"/>
  <c r="I26" i="315"/>
  <c r="I25" i="315"/>
  <c r="O24" i="315"/>
  <c r="M24" i="315"/>
  <c r="Q23" i="315"/>
  <c r="J23" i="315"/>
  <c r="J24" i="315" s="1"/>
  <c r="I23" i="315"/>
  <c r="Q22" i="315"/>
  <c r="N22" i="315"/>
  <c r="I22" i="315"/>
  <c r="M21" i="315"/>
  <c r="L21" i="315"/>
  <c r="Q20" i="315"/>
  <c r="O20" i="315"/>
  <c r="N19" i="315"/>
  <c r="M19" i="315"/>
  <c r="M20" i="315" s="1"/>
  <c r="J19" i="315"/>
  <c r="I19" i="315"/>
  <c r="G19" i="315"/>
  <c r="C19" i="315"/>
  <c r="O18" i="315"/>
  <c r="J18" i="315"/>
  <c r="I18" i="315"/>
  <c r="Q17" i="315"/>
  <c r="O17" i="315"/>
  <c r="J17" i="315"/>
  <c r="I17" i="315"/>
  <c r="M16" i="315"/>
  <c r="K15" i="315"/>
  <c r="P14" i="315"/>
  <c r="N14" i="315"/>
  <c r="K14" i="315"/>
  <c r="I14" i="315"/>
  <c r="N13" i="315"/>
  <c r="K13" i="315"/>
  <c r="J13" i="315"/>
  <c r="J15" i="315" s="1"/>
  <c r="K12" i="315"/>
  <c r="M11" i="315"/>
  <c r="K11" i="315"/>
  <c r="I11" i="315"/>
  <c r="M10" i="315"/>
  <c r="J10" i="315"/>
  <c r="K8" i="315"/>
  <c r="N6" i="315"/>
  <c r="K5" i="315"/>
  <c r="N16" i="315" l="1"/>
  <c r="C22" i="315"/>
  <c r="N34" i="314"/>
  <c r="N31" i="314"/>
  <c r="N32" i="314" s="1"/>
  <c r="N27" i="314"/>
  <c r="K27" i="314"/>
  <c r="I26" i="314"/>
  <c r="I25" i="314"/>
  <c r="O24" i="314"/>
  <c r="M24" i="314"/>
  <c r="Q23" i="314"/>
  <c r="J23" i="314"/>
  <c r="J24" i="314" s="1"/>
  <c r="I23" i="314"/>
  <c r="Q22" i="314"/>
  <c r="N22" i="314"/>
  <c r="I22" i="314"/>
  <c r="M21" i="314"/>
  <c r="L21" i="314"/>
  <c r="Q20" i="314"/>
  <c r="O20" i="314"/>
  <c r="N19" i="314"/>
  <c r="M19" i="314"/>
  <c r="M20" i="314" s="1"/>
  <c r="J19" i="314"/>
  <c r="I19" i="314"/>
  <c r="G19" i="314"/>
  <c r="C19" i="314"/>
  <c r="O18" i="314"/>
  <c r="J18" i="314"/>
  <c r="I18" i="314"/>
  <c r="Q17" i="314"/>
  <c r="O17" i="314"/>
  <c r="J17" i="314"/>
  <c r="I17" i="314"/>
  <c r="M16" i="314"/>
  <c r="K15" i="314"/>
  <c r="P14" i="314"/>
  <c r="N14" i="314"/>
  <c r="K14" i="314"/>
  <c r="I14" i="314"/>
  <c r="N13" i="314"/>
  <c r="K13" i="314"/>
  <c r="J13" i="314"/>
  <c r="J15" i="314" s="1"/>
  <c r="K12" i="314"/>
  <c r="M11" i="314"/>
  <c r="K11" i="314"/>
  <c r="I11" i="314"/>
  <c r="M10" i="314"/>
  <c r="J10" i="314"/>
  <c r="K8" i="314"/>
  <c r="N6" i="314"/>
  <c r="K5" i="314"/>
  <c r="N34" i="313"/>
  <c r="N31" i="313"/>
  <c r="N32" i="313" s="1"/>
  <c r="N27" i="313"/>
  <c r="K27" i="313"/>
  <c r="I26" i="313"/>
  <c r="I25" i="313"/>
  <c r="O24" i="313"/>
  <c r="M24" i="313"/>
  <c r="Q23" i="313"/>
  <c r="J23" i="313"/>
  <c r="J24" i="313" s="1"/>
  <c r="I23" i="313"/>
  <c r="Q22" i="313"/>
  <c r="N22" i="313"/>
  <c r="I22" i="313"/>
  <c r="M21" i="313"/>
  <c r="L21" i="313"/>
  <c r="Q20" i="313"/>
  <c r="O20" i="313"/>
  <c r="N19" i="313"/>
  <c r="M19" i="313"/>
  <c r="M20" i="313" s="1"/>
  <c r="J19" i="313"/>
  <c r="I19" i="313"/>
  <c r="G19" i="313"/>
  <c r="C19" i="313"/>
  <c r="O18" i="313"/>
  <c r="J18" i="313"/>
  <c r="I18" i="313"/>
  <c r="Q17" i="313"/>
  <c r="O17" i="313"/>
  <c r="J17" i="313"/>
  <c r="I17" i="313"/>
  <c r="M16" i="313"/>
  <c r="K15" i="313"/>
  <c r="P14" i="313"/>
  <c r="N14" i="313"/>
  <c r="K14" i="313"/>
  <c r="I14" i="313"/>
  <c r="N13" i="313"/>
  <c r="K13" i="313"/>
  <c r="J13" i="313"/>
  <c r="J15" i="313" s="1"/>
  <c r="K12" i="313"/>
  <c r="M11" i="313"/>
  <c r="K11" i="313"/>
  <c r="I11" i="313"/>
  <c r="M10" i="313"/>
  <c r="J10" i="313"/>
  <c r="K8" i="313"/>
  <c r="N6" i="313"/>
  <c r="K5" i="313"/>
  <c r="N34" i="312"/>
  <c r="N31" i="312"/>
  <c r="N32" i="312" s="1"/>
  <c r="N27" i="312"/>
  <c r="K27" i="312"/>
  <c r="I26" i="312"/>
  <c r="I25" i="312"/>
  <c r="O24" i="312"/>
  <c r="M24" i="312"/>
  <c r="Q23" i="312"/>
  <c r="J23" i="312"/>
  <c r="J24" i="312" s="1"/>
  <c r="I23" i="312"/>
  <c r="Q22" i="312"/>
  <c r="N22" i="312"/>
  <c r="I22" i="312"/>
  <c r="M21" i="312"/>
  <c r="L21" i="312"/>
  <c r="Q20" i="312"/>
  <c r="O20" i="312"/>
  <c r="N19" i="312"/>
  <c r="M19" i="312"/>
  <c r="M20" i="312" s="1"/>
  <c r="J19" i="312"/>
  <c r="I19" i="312"/>
  <c r="G19" i="312"/>
  <c r="C19" i="312"/>
  <c r="O18" i="312"/>
  <c r="J18" i="312"/>
  <c r="I18" i="312"/>
  <c r="Q17" i="312"/>
  <c r="O17" i="312"/>
  <c r="J17" i="312"/>
  <c r="I17" i="312"/>
  <c r="M16" i="312"/>
  <c r="K15" i="312"/>
  <c r="P14" i="312"/>
  <c r="N14" i="312"/>
  <c r="K14" i="312"/>
  <c r="I14" i="312"/>
  <c r="N13" i="312"/>
  <c r="K13" i="312"/>
  <c r="J13" i="312"/>
  <c r="J15" i="312" s="1"/>
  <c r="K12" i="312"/>
  <c r="M11" i="312"/>
  <c r="K11" i="312"/>
  <c r="I11" i="312"/>
  <c r="M10" i="312"/>
  <c r="J10" i="312"/>
  <c r="K8" i="312"/>
  <c r="N6" i="312"/>
  <c r="K5" i="312"/>
  <c r="N34" i="311"/>
  <c r="N31" i="311"/>
  <c r="N32" i="311" s="1"/>
  <c r="N27" i="311"/>
  <c r="K27" i="311"/>
  <c r="I26" i="311"/>
  <c r="I25" i="311"/>
  <c r="O24" i="311"/>
  <c r="M24" i="311"/>
  <c r="Q23" i="311"/>
  <c r="J23" i="311"/>
  <c r="J24" i="311" s="1"/>
  <c r="I23" i="311"/>
  <c r="Q22" i="311"/>
  <c r="N22" i="311"/>
  <c r="I22" i="311"/>
  <c r="M21" i="311"/>
  <c r="L21" i="311"/>
  <c r="Q20" i="311"/>
  <c r="O20" i="311"/>
  <c r="N19" i="311"/>
  <c r="M19" i="311"/>
  <c r="M20" i="311" s="1"/>
  <c r="J19" i="311"/>
  <c r="I19" i="311"/>
  <c r="G19" i="311"/>
  <c r="C19" i="311"/>
  <c r="O18" i="311"/>
  <c r="J18" i="311"/>
  <c r="I18" i="311"/>
  <c r="Q17" i="311"/>
  <c r="O17" i="311"/>
  <c r="J17" i="311"/>
  <c r="I17" i="311"/>
  <c r="M16" i="311"/>
  <c r="K15" i="311"/>
  <c r="P14" i="311"/>
  <c r="N14" i="311"/>
  <c r="K14" i="311"/>
  <c r="I14" i="311"/>
  <c r="N13" i="311"/>
  <c r="K13" i="311"/>
  <c r="J13" i="311"/>
  <c r="J15" i="311" s="1"/>
  <c r="K12" i="311"/>
  <c r="M11" i="311"/>
  <c r="K11" i="311"/>
  <c r="I11" i="311"/>
  <c r="M10" i="311"/>
  <c r="J10" i="311"/>
  <c r="K8" i="311"/>
  <c r="N6" i="311"/>
  <c r="K5" i="311"/>
  <c r="N34" i="310"/>
  <c r="N31" i="310"/>
  <c r="N32" i="310" s="1"/>
  <c r="N27" i="310"/>
  <c r="K27" i="310"/>
  <c r="I26" i="310"/>
  <c r="I25" i="310"/>
  <c r="O24" i="310"/>
  <c r="M24" i="310"/>
  <c r="Q23" i="310"/>
  <c r="J23" i="310"/>
  <c r="J24" i="310" s="1"/>
  <c r="I23" i="310"/>
  <c r="Q22" i="310"/>
  <c r="N22" i="310"/>
  <c r="I22" i="310"/>
  <c r="M21" i="310"/>
  <c r="L21" i="310"/>
  <c r="Q20" i="310"/>
  <c r="O20" i="310"/>
  <c r="N19" i="310"/>
  <c r="M19" i="310"/>
  <c r="M20" i="310" s="1"/>
  <c r="J19" i="310"/>
  <c r="I19" i="310"/>
  <c r="G19" i="310"/>
  <c r="C19" i="310"/>
  <c r="O18" i="310"/>
  <c r="J18" i="310"/>
  <c r="I18" i="310"/>
  <c r="Q17" i="310"/>
  <c r="O17" i="310"/>
  <c r="J17" i="310"/>
  <c r="I17" i="310"/>
  <c r="M16" i="310"/>
  <c r="K15" i="310"/>
  <c r="P14" i="310"/>
  <c r="N14" i="310"/>
  <c r="K14" i="310"/>
  <c r="I14" i="310"/>
  <c r="N13" i="310"/>
  <c r="K13" i="310"/>
  <c r="J13" i="310"/>
  <c r="J15" i="310" s="1"/>
  <c r="K12" i="310"/>
  <c r="M11" i="310"/>
  <c r="K11" i="310"/>
  <c r="I11" i="310"/>
  <c r="M10" i="310"/>
  <c r="J10" i="310"/>
  <c r="K8" i="310"/>
  <c r="N6" i="310"/>
  <c r="K5" i="310"/>
  <c r="N34" i="309"/>
  <c r="N31" i="309"/>
  <c r="N32" i="309" s="1"/>
  <c r="N27" i="309"/>
  <c r="K27" i="309"/>
  <c r="I26" i="309"/>
  <c r="I25" i="309"/>
  <c r="O24" i="309"/>
  <c r="M24" i="309"/>
  <c r="Q23" i="309"/>
  <c r="J23" i="309"/>
  <c r="J24" i="309" s="1"/>
  <c r="I23" i="309"/>
  <c r="Q22" i="309"/>
  <c r="N22" i="309"/>
  <c r="I22" i="309"/>
  <c r="M21" i="309"/>
  <c r="L21" i="309"/>
  <c r="Q20" i="309"/>
  <c r="O20" i="309"/>
  <c r="N19" i="309"/>
  <c r="M19" i="309"/>
  <c r="M20" i="309" s="1"/>
  <c r="J19" i="309"/>
  <c r="I19" i="309"/>
  <c r="G19" i="309"/>
  <c r="C19" i="309"/>
  <c r="O18" i="309"/>
  <c r="J18" i="309"/>
  <c r="I18" i="309"/>
  <c r="Q17" i="309"/>
  <c r="O17" i="309"/>
  <c r="J17" i="309"/>
  <c r="I17" i="309"/>
  <c r="M16" i="309"/>
  <c r="K15" i="309"/>
  <c r="P14" i="309"/>
  <c r="N14" i="309"/>
  <c r="K14" i="309"/>
  <c r="I14" i="309"/>
  <c r="N13" i="309"/>
  <c r="K13" i="309"/>
  <c r="J13" i="309"/>
  <c r="J15" i="309" s="1"/>
  <c r="K12" i="309"/>
  <c r="M11" i="309"/>
  <c r="K11" i="309"/>
  <c r="I11" i="309"/>
  <c r="M10" i="309"/>
  <c r="J10" i="309"/>
  <c r="K8" i="309"/>
  <c r="N6" i="309"/>
  <c r="K5" i="309"/>
  <c r="N34" i="308"/>
  <c r="N31" i="308"/>
  <c r="N32" i="308" s="1"/>
  <c r="N27" i="308"/>
  <c r="K27" i="308"/>
  <c r="I26" i="308"/>
  <c r="I25" i="308"/>
  <c r="O24" i="308"/>
  <c r="M24" i="308"/>
  <c r="Q23" i="308"/>
  <c r="J23" i="308"/>
  <c r="J24" i="308" s="1"/>
  <c r="I23" i="308"/>
  <c r="Q22" i="308"/>
  <c r="N22" i="308"/>
  <c r="I22" i="308"/>
  <c r="M21" i="308"/>
  <c r="L21" i="308"/>
  <c r="Q20" i="308"/>
  <c r="O20" i="308"/>
  <c r="N19" i="308"/>
  <c r="M19" i="308"/>
  <c r="M20" i="308" s="1"/>
  <c r="J19" i="308"/>
  <c r="I19" i="308"/>
  <c r="G19" i="308"/>
  <c r="C19" i="308"/>
  <c r="O18" i="308"/>
  <c r="J18" i="308"/>
  <c r="I18" i="308"/>
  <c r="Q17" i="308"/>
  <c r="O17" i="308"/>
  <c r="J17" i="308"/>
  <c r="I17" i="308"/>
  <c r="M16" i="308"/>
  <c r="K15" i="308"/>
  <c r="P14" i="308"/>
  <c r="N14" i="308"/>
  <c r="K14" i="308"/>
  <c r="I14" i="308"/>
  <c r="N13" i="308"/>
  <c r="K13" i="308"/>
  <c r="J13" i="308"/>
  <c r="J15" i="308" s="1"/>
  <c r="K12" i="308"/>
  <c r="M11" i="308"/>
  <c r="K11" i="308"/>
  <c r="I11" i="308"/>
  <c r="M10" i="308"/>
  <c r="J10" i="308"/>
  <c r="K8" i="308"/>
  <c r="N6" i="308"/>
  <c r="K5" i="308"/>
  <c r="N34" i="307"/>
  <c r="N31" i="307"/>
  <c r="N32" i="307" s="1"/>
  <c r="N27" i="307"/>
  <c r="K27" i="307"/>
  <c r="I26" i="307"/>
  <c r="I25" i="307"/>
  <c r="O24" i="307"/>
  <c r="M24" i="307"/>
  <c r="Q23" i="307"/>
  <c r="J23" i="307"/>
  <c r="J24" i="307" s="1"/>
  <c r="I23" i="307"/>
  <c r="Q22" i="307"/>
  <c r="N22" i="307"/>
  <c r="I22" i="307"/>
  <c r="M21" i="307"/>
  <c r="L21" i="307"/>
  <c r="Q20" i="307"/>
  <c r="O20" i="307"/>
  <c r="N19" i="307"/>
  <c r="M19" i="307"/>
  <c r="M20" i="307" s="1"/>
  <c r="J19" i="307"/>
  <c r="I19" i="307"/>
  <c r="G19" i="307"/>
  <c r="C19" i="307"/>
  <c r="O18" i="307"/>
  <c r="J18" i="307"/>
  <c r="I18" i="307"/>
  <c r="Q17" i="307"/>
  <c r="O17" i="307"/>
  <c r="J17" i="307"/>
  <c r="I17" i="307"/>
  <c r="M16" i="307"/>
  <c r="K15" i="307"/>
  <c r="P14" i="307"/>
  <c r="N14" i="307"/>
  <c r="K14" i="307"/>
  <c r="I14" i="307"/>
  <c r="N13" i="307"/>
  <c r="K13" i="307"/>
  <c r="J13" i="307"/>
  <c r="J15" i="307" s="1"/>
  <c r="K12" i="307"/>
  <c r="M11" i="307"/>
  <c r="K11" i="307"/>
  <c r="I11" i="307"/>
  <c r="M10" i="307"/>
  <c r="J10" i="307"/>
  <c r="K8" i="307"/>
  <c r="N6" i="307"/>
  <c r="K5" i="307"/>
  <c r="C19" i="306"/>
  <c r="N34" i="306"/>
  <c r="N31" i="306"/>
  <c r="N32" i="306" s="1"/>
  <c r="N27" i="306"/>
  <c r="K27" i="306"/>
  <c r="I26" i="306"/>
  <c r="I25" i="306"/>
  <c r="O24" i="306"/>
  <c r="M24" i="306"/>
  <c r="Q23" i="306"/>
  <c r="J23" i="306"/>
  <c r="J24" i="306" s="1"/>
  <c r="I23" i="306"/>
  <c r="Q22" i="306"/>
  <c r="N22" i="306"/>
  <c r="I22" i="306"/>
  <c r="M21" i="306"/>
  <c r="L21" i="306"/>
  <c r="Q20" i="306"/>
  <c r="O20" i="306"/>
  <c r="N19" i="306"/>
  <c r="M19" i="306"/>
  <c r="M20" i="306" s="1"/>
  <c r="J19" i="306"/>
  <c r="I19" i="306"/>
  <c r="G19" i="306"/>
  <c r="O18" i="306"/>
  <c r="J18" i="306"/>
  <c r="I18" i="306"/>
  <c r="Q17" i="306"/>
  <c r="O17" i="306"/>
  <c r="J17" i="306"/>
  <c r="I17" i="306"/>
  <c r="M16" i="306"/>
  <c r="K15" i="306"/>
  <c r="P14" i="306"/>
  <c r="N14" i="306"/>
  <c r="K14" i="306"/>
  <c r="I14" i="306"/>
  <c r="N13" i="306"/>
  <c r="K13" i="306"/>
  <c r="J13" i="306"/>
  <c r="J15" i="306" s="1"/>
  <c r="K12" i="306"/>
  <c r="M11" i="306"/>
  <c r="K11" i="306"/>
  <c r="I11" i="306"/>
  <c r="M10" i="306"/>
  <c r="J10" i="306"/>
  <c r="K8" i="306"/>
  <c r="N6" i="306"/>
  <c r="K5" i="306"/>
  <c r="C22" i="312" l="1"/>
  <c r="N16" i="313"/>
  <c r="N16" i="307"/>
  <c r="N16" i="312"/>
  <c r="N16" i="314"/>
  <c r="N16" i="306"/>
  <c r="N16" i="308"/>
  <c r="N16" i="309"/>
  <c r="N16" i="310"/>
  <c r="N16" i="311"/>
  <c r="C22" i="314"/>
  <c r="C22" i="313"/>
  <c r="C22" i="311"/>
  <c r="C22" i="310"/>
  <c r="C22" i="309"/>
  <c r="C22" i="308"/>
  <c r="C22" i="307"/>
  <c r="C22" i="306"/>
  <c r="N34" i="295" l="1"/>
  <c r="N31" i="295"/>
  <c r="N32" i="295" s="1"/>
  <c r="N27" i="295"/>
  <c r="K27" i="295"/>
  <c r="I26" i="295"/>
  <c r="I25" i="295"/>
  <c r="O24" i="295"/>
  <c r="M24" i="295"/>
  <c r="Q23" i="295"/>
  <c r="J23" i="295"/>
  <c r="J24" i="295" s="1"/>
  <c r="I23" i="295"/>
  <c r="Q22" i="295"/>
  <c r="N22" i="295"/>
  <c r="I22" i="295"/>
  <c r="M21" i="295"/>
  <c r="L21" i="295"/>
  <c r="Q20" i="295"/>
  <c r="O20" i="295"/>
  <c r="N19" i="295"/>
  <c r="M19" i="295"/>
  <c r="M20" i="295" s="1"/>
  <c r="J19" i="295"/>
  <c r="I19" i="295"/>
  <c r="G19" i="295"/>
  <c r="O18" i="295"/>
  <c r="J18" i="295"/>
  <c r="I18" i="295"/>
  <c r="Q17" i="295"/>
  <c r="O17" i="295"/>
  <c r="J17" i="295"/>
  <c r="I17" i="295"/>
  <c r="M16" i="295"/>
  <c r="K15" i="295"/>
  <c r="P14" i="295"/>
  <c r="N14" i="295"/>
  <c r="K14" i="295"/>
  <c r="I14" i="295"/>
  <c r="N13" i="295"/>
  <c r="K13" i="295"/>
  <c r="J13" i="295"/>
  <c r="J15" i="295" s="1"/>
  <c r="K12" i="295"/>
  <c r="M11" i="295"/>
  <c r="K11" i="295"/>
  <c r="I11" i="295"/>
  <c r="M10" i="295"/>
  <c r="J10" i="295"/>
  <c r="K8" i="295"/>
  <c r="N6" i="295"/>
  <c r="K5" i="295"/>
  <c r="C19" i="295"/>
  <c r="N16" i="295" l="1"/>
  <c r="C22" i="295"/>
  <c r="I17" i="294"/>
  <c r="C4" i="294"/>
  <c r="C19" i="294" s="1"/>
  <c r="I14" i="294"/>
  <c r="N34" i="294"/>
  <c r="N31" i="294"/>
  <c r="N32" i="294" s="1"/>
  <c r="N27" i="294"/>
  <c r="K27" i="294"/>
  <c r="I26" i="294"/>
  <c r="I25" i="294"/>
  <c r="O24" i="294"/>
  <c r="M24" i="294"/>
  <c r="Q23" i="294"/>
  <c r="J23" i="294"/>
  <c r="J24" i="294" s="1"/>
  <c r="I23" i="294"/>
  <c r="Q22" i="294"/>
  <c r="N22" i="294"/>
  <c r="I22" i="294"/>
  <c r="M21" i="294"/>
  <c r="L21" i="294"/>
  <c r="Q20" i="294"/>
  <c r="O20" i="294"/>
  <c r="N19" i="294"/>
  <c r="M19" i="294"/>
  <c r="M20" i="294" s="1"/>
  <c r="J19" i="294"/>
  <c r="I19" i="294"/>
  <c r="G19" i="294"/>
  <c r="O18" i="294"/>
  <c r="J18" i="294"/>
  <c r="I18" i="294"/>
  <c r="Q17" i="294"/>
  <c r="O17" i="294"/>
  <c r="J17" i="294"/>
  <c r="M16" i="294"/>
  <c r="K15" i="294"/>
  <c r="P14" i="294"/>
  <c r="N14" i="294"/>
  <c r="K14" i="294"/>
  <c r="N13" i="294"/>
  <c r="K13" i="294"/>
  <c r="J13" i="294"/>
  <c r="J15" i="294" s="1"/>
  <c r="K12" i="294"/>
  <c r="M11" i="294"/>
  <c r="K11" i="294"/>
  <c r="I11" i="294"/>
  <c r="M10" i="294"/>
  <c r="J10" i="294"/>
  <c r="K8" i="294"/>
  <c r="N6" i="294"/>
  <c r="K5" i="294"/>
  <c r="N16" i="294" l="1"/>
  <c r="C22" i="294"/>
  <c r="N34" i="293"/>
  <c r="N31" i="293"/>
  <c r="N32" i="293" s="1"/>
  <c r="N27" i="293"/>
  <c r="K27" i="293"/>
  <c r="I26" i="293"/>
  <c r="I25" i="293"/>
  <c r="O24" i="293"/>
  <c r="M24" i="293"/>
  <c r="Q23" i="293"/>
  <c r="J23" i="293"/>
  <c r="J24" i="293" s="1"/>
  <c r="I23" i="293"/>
  <c r="Q22" i="293"/>
  <c r="N22" i="293"/>
  <c r="I22" i="293"/>
  <c r="M21" i="293"/>
  <c r="L21" i="293"/>
  <c r="Q20" i="293"/>
  <c r="O20" i="293"/>
  <c r="N19" i="293"/>
  <c r="M19" i="293"/>
  <c r="M20" i="293" s="1"/>
  <c r="J19" i="293"/>
  <c r="I19" i="293"/>
  <c r="G19" i="293"/>
  <c r="C19" i="293"/>
  <c r="O18" i="293"/>
  <c r="J18" i="293"/>
  <c r="I18" i="293"/>
  <c r="Q17" i="293"/>
  <c r="O17" i="293"/>
  <c r="J17" i="293"/>
  <c r="M16" i="293"/>
  <c r="K15" i="293"/>
  <c r="P14" i="293"/>
  <c r="N14" i="293"/>
  <c r="K14" i="293"/>
  <c r="N13" i="293"/>
  <c r="K13" i="293"/>
  <c r="J13" i="293"/>
  <c r="J15" i="293" s="1"/>
  <c r="K12" i="293"/>
  <c r="M11" i="293"/>
  <c r="K11" i="293"/>
  <c r="I11" i="293"/>
  <c r="M10" i="293"/>
  <c r="J10" i="293"/>
  <c r="K8" i="293"/>
  <c r="N6" i="293"/>
  <c r="K5" i="293"/>
  <c r="N16" i="293" l="1"/>
  <c r="C22" i="293"/>
  <c r="N34" i="292"/>
  <c r="N31" i="292"/>
  <c r="N32" i="292" s="1"/>
  <c r="N27" i="292"/>
  <c r="K27" i="292"/>
  <c r="I26" i="292"/>
  <c r="I25" i="292"/>
  <c r="O24" i="292"/>
  <c r="M24" i="292"/>
  <c r="Q23" i="292"/>
  <c r="J23" i="292"/>
  <c r="J24" i="292" s="1"/>
  <c r="I23" i="292"/>
  <c r="Q22" i="292"/>
  <c r="N22" i="292"/>
  <c r="I22" i="292"/>
  <c r="M21" i="292"/>
  <c r="L21" i="292"/>
  <c r="Q20" i="292"/>
  <c r="O20" i="292"/>
  <c r="N19" i="292"/>
  <c r="M19" i="292"/>
  <c r="M20" i="292" s="1"/>
  <c r="J19" i="292"/>
  <c r="I19" i="292"/>
  <c r="G19" i="292"/>
  <c r="C19" i="292"/>
  <c r="O18" i="292"/>
  <c r="J18" i="292"/>
  <c r="I18" i="292"/>
  <c r="Q17" i="292"/>
  <c r="O17" i="292"/>
  <c r="J17" i="292"/>
  <c r="M16" i="292"/>
  <c r="K15" i="292"/>
  <c r="P14" i="292"/>
  <c r="N14" i="292"/>
  <c r="K14" i="292"/>
  <c r="N13" i="292"/>
  <c r="K13" i="292"/>
  <c r="J13" i="292"/>
  <c r="J15" i="292" s="1"/>
  <c r="K12" i="292"/>
  <c r="M11" i="292"/>
  <c r="K11" i="292"/>
  <c r="I11" i="292"/>
  <c r="M10" i="292"/>
  <c r="J10" i="292"/>
  <c r="K8" i="292"/>
  <c r="N6" i="292"/>
  <c r="K5" i="292"/>
  <c r="N16" i="292" l="1"/>
  <c r="C22" i="292"/>
  <c r="N34" i="291"/>
  <c r="N31" i="291"/>
  <c r="N32" i="291" s="1"/>
  <c r="N27" i="291"/>
  <c r="K27" i="291"/>
  <c r="I26" i="291"/>
  <c r="I25" i="291"/>
  <c r="O24" i="291"/>
  <c r="M24" i="291"/>
  <c r="Q23" i="291"/>
  <c r="J23" i="291"/>
  <c r="J24" i="291" s="1"/>
  <c r="I23" i="291"/>
  <c r="Q22" i="291"/>
  <c r="N22" i="291"/>
  <c r="I22" i="291"/>
  <c r="M21" i="291"/>
  <c r="L21" i="291"/>
  <c r="Q20" i="291"/>
  <c r="O20" i="291"/>
  <c r="N19" i="291"/>
  <c r="M19" i="291"/>
  <c r="M20" i="291" s="1"/>
  <c r="J19" i="291"/>
  <c r="I19" i="291"/>
  <c r="G19" i="291"/>
  <c r="C19" i="291"/>
  <c r="O18" i="291"/>
  <c r="J18" i="291"/>
  <c r="I18" i="291"/>
  <c r="Q17" i="291"/>
  <c r="O17" i="291"/>
  <c r="J17" i="291"/>
  <c r="M16" i="291"/>
  <c r="K15" i="291"/>
  <c r="P14" i="291"/>
  <c r="N14" i="291"/>
  <c r="K14" i="291"/>
  <c r="N13" i="291"/>
  <c r="K13" i="291"/>
  <c r="J13" i="291"/>
  <c r="J15" i="291" s="1"/>
  <c r="K12" i="291"/>
  <c r="M11" i="291"/>
  <c r="K11" i="291"/>
  <c r="I11" i="291"/>
  <c r="M10" i="291"/>
  <c r="J10" i="291"/>
  <c r="K8" i="291"/>
  <c r="N6" i="291"/>
  <c r="K5" i="291"/>
  <c r="N16" i="291" l="1"/>
  <c r="C22" i="291"/>
  <c r="N34" i="290"/>
  <c r="N31" i="290"/>
  <c r="N32" i="290" s="1"/>
  <c r="N27" i="290"/>
  <c r="K27" i="290"/>
  <c r="I26" i="290"/>
  <c r="I25" i="290"/>
  <c r="O24" i="290"/>
  <c r="M24" i="290"/>
  <c r="Q23" i="290"/>
  <c r="J23" i="290"/>
  <c r="J24" i="290" s="1"/>
  <c r="I23" i="290"/>
  <c r="Q22" i="290"/>
  <c r="N22" i="290"/>
  <c r="I22" i="290"/>
  <c r="M21" i="290"/>
  <c r="L21" i="290"/>
  <c r="Q20" i="290"/>
  <c r="O20" i="290"/>
  <c r="N19" i="290"/>
  <c r="M19" i="290"/>
  <c r="M20" i="290" s="1"/>
  <c r="J19" i="290"/>
  <c r="I19" i="290"/>
  <c r="G19" i="290"/>
  <c r="C19" i="290"/>
  <c r="O18" i="290"/>
  <c r="J18" i="290"/>
  <c r="I18" i="290"/>
  <c r="Q17" i="290"/>
  <c r="O17" i="290"/>
  <c r="J17" i="290"/>
  <c r="M16" i="290"/>
  <c r="K15" i="290"/>
  <c r="P14" i="290"/>
  <c r="N14" i="290"/>
  <c r="K14" i="290"/>
  <c r="N13" i="290"/>
  <c r="K13" i="290"/>
  <c r="J13" i="290"/>
  <c r="J15" i="290" s="1"/>
  <c r="K12" i="290"/>
  <c r="M11" i="290"/>
  <c r="K11" i="290"/>
  <c r="I11" i="290"/>
  <c r="M10" i="290"/>
  <c r="J10" i="290"/>
  <c r="K8" i="290"/>
  <c r="N6" i="290"/>
  <c r="K5" i="290"/>
  <c r="N16" i="290" l="1"/>
  <c r="C22" i="290"/>
  <c r="N34" i="289"/>
  <c r="N31" i="289"/>
  <c r="N32" i="289" s="1"/>
  <c r="N27" i="289"/>
  <c r="K27" i="289"/>
  <c r="I26" i="289"/>
  <c r="I25" i="289"/>
  <c r="O24" i="289"/>
  <c r="M24" i="289"/>
  <c r="Q23" i="289"/>
  <c r="J23" i="289"/>
  <c r="J24" i="289" s="1"/>
  <c r="I23" i="289"/>
  <c r="Q22" i="289"/>
  <c r="N22" i="289"/>
  <c r="I22" i="289"/>
  <c r="M21" i="289"/>
  <c r="L21" i="289"/>
  <c r="Q20" i="289"/>
  <c r="O20" i="289"/>
  <c r="N19" i="289"/>
  <c r="M19" i="289"/>
  <c r="M20" i="289" s="1"/>
  <c r="J19" i="289"/>
  <c r="I19" i="289"/>
  <c r="G19" i="289"/>
  <c r="C19" i="289"/>
  <c r="O18" i="289"/>
  <c r="J18" i="289"/>
  <c r="I18" i="289"/>
  <c r="Q17" i="289"/>
  <c r="O17" i="289"/>
  <c r="J17" i="289"/>
  <c r="M16" i="289"/>
  <c r="K15" i="289"/>
  <c r="P14" i="289"/>
  <c r="N14" i="289"/>
  <c r="K14" i="289"/>
  <c r="N13" i="289"/>
  <c r="K13" i="289"/>
  <c r="J13" i="289"/>
  <c r="J15" i="289" s="1"/>
  <c r="K12" i="289"/>
  <c r="M11" i="289"/>
  <c r="K11" i="289"/>
  <c r="I11" i="289"/>
  <c r="M10" i="289"/>
  <c r="J10" i="289"/>
  <c r="K8" i="289"/>
  <c r="N6" i="289"/>
  <c r="K5" i="289"/>
  <c r="N16" i="289" l="1"/>
  <c r="C22" i="289"/>
  <c r="N34" i="288"/>
  <c r="N31" i="288"/>
  <c r="N32" i="288" s="1"/>
  <c r="N27" i="288"/>
  <c r="K27" i="288"/>
  <c r="I26" i="288"/>
  <c r="I25" i="288"/>
  <c r="O24" i="288"/>
  <c r="M24" i="288"/>
  <c r="Q23" i="288"/>
  <c r="J23" i="288"/>
  <c r="J24" i="288" s="1"/>
  <c r="I23" i="288"/>
  <c r="Q22" i="288"/>
  <c r="N22" i="288"/>
  <c r="I22" i="288"/>
  <c r="M21" i="288"/>
  <c r="L21" i="288"/>
  <c r="Q20" i="288"/>
  <c r="O20" i="288"/>
  <c r="N19" i="288"/>
  <c r="M19" i="288"/>
  <c r="M20" i="288" s="1"/>
  <c r="J19" i="288"/>
  <c r="I19" i="288"/>
  <c r="G19" i="288"/>
  <c r="C19" i="288"/>
  <c r="O18" i="288"/>
  <c r="J18" i="288"/>
  <c r="I18" i="288"/>
  <c r="Q17" i="288"/>
  <c r="O17" i="288"/>
  <c r="J17" i="288"/>
  <c r="M16" i="288"/>
  <c r="K15" i="288"/>
  <c r="P14" i="288"/>
  <c r="N14" i="288"/>
  <c r="K14" i="288"/>
  <c r="N13" i="288"/>
  <c r="K13" i="288"/>
  <c r="J13" i="288"/>
  <c r="J15" i="288" s="1"/>
  <c r="K12" i="288"/>
  <c r="M11" i="288"/>
  <c r="K11" i="288"/>
  <c r="I11" i="288"/>
  <c r="M10" i="288"/>
  <c r="J10" i="288"/>
  <c r="K8" i="288"/>
  <c r="N6" i="288"/>
  <c r="K5" i="288"/>
  <c r="N16" i="288" l="1"/>
  <c r="C22" i="288"/>
  <c r="N34" i="287"/>
  <c r="N31" i="287"/>
  <c r="N32" i="287" s="1"/>
  <c r="N27" i="287"/>
  <c r="K27" i="287"/>
  <c r="I26" i="287"/>
  <c r="I25" i="287"/>
  <c r="O24" i="287"/>
  <c r="M24" i="287"/>
  <c r="J24" i="287"/>
  <c r="Q23" i="287"/>
  <c r="J23" i="287"/>
  <c r="I23" i="287"/>
  <c r="Q22" i="287"/>
  <c r="N22" i="287"/>
  <c r="I22" i="287"/>
  <c r="M21" i="287"/>
  <c r="L21" i="287"/>
  <c r="Q20" i="287"/>
  <c r="O20" i="287"/>
  <c r="N19" i="287"/>
  <c r="M19" i="287"/>
  <c r="M20" i="287" s="1"/>
  <c r="J19" i="287"/>
  <c r="I19" i="287"/>
  <c r="G19" i="287"/>
  <c r="C19" i="287"/>
  <c r="O18" i="287"/>
  <c r="J18" i="287"/>
  <c r="I18" i="287"/>
  <c r="Q17" i="287"/>
  <c r="O17" i="287"/>
  <c r="J17" i="287"/>
  <c r="M16" i="287"/>
  <c r="K15" i="287"/>
  <c r="P14" i="287"/>
  <c r="N14" i="287"/>
  <c r="K14" i="287"/>
  <c r="N13" i="287"/>
  <c r="K13" i="287"/>
  <c r="J13" i="287"/>
  <c r="J15" i="287" s="1"/>
  <c r="K12" i="287"/>
  <c r="M11" i="287"/>
  <c r="K11" i="287"/>
  <c r="I11" i="287"/>
  <c r="M10" i="287"/>
  <c r="J10" i="287"/>
  <c r="K8" i="287"/>
  <c r="N6" i="287"/>
  <c r="K5" i="287"/>
  <c r="N16" i="287" l="1"/>
  <c r="C22" i="287"/>
  <c r="N34" i="286"/>
  <c r="N31" i="286"/>
  <c r="N32" i="286" s="1"/>
  <c r="N27" i="286"/>
  <c r="K27" i="286"/>
  <c r="I26" i="286"/>
  <c r="I25" i="286"/>
  <c r="O24" i="286"/>
  <c r="M24" i="286"/>
  <c r="Q23" i="286"/>
  <c r="J23" i="286"/>
  <c r="J24" i="286" s="1"/>
  <c r="I23" i="286"/>
  <c r="Q22" i="286"/>
  <c r="N22" i="286"/>
  <c r="I22" i="286"/>
  <c r="M21" i="286"/>
  <c r="L21" i="286"/>
  <c r="Q20" i="286"/>
  <c r="O20" i="286"/>
  <c r="N19" i="286"/>
  <c r="M19" i="286"/>
  <c r="M20" i="286" s="1"/>
  <c r="J19" i="286"/>
  <c r="I19" i="286"/>
  <c r="G19" i="286"/>
  <c r="C19" i="286"/>
  <c r="O18" i="286"/>
  <c r="J18" i="286"/>
  <c r="I18" i="286"/>
  <c r="Q17" i="286"/>
  <c r="O17" i="286"/>
  <c r="J17" i="286"/>
  <c r="M16" i="286"/>
  <c r="K15" i="286"/>
  <c r="P14" i="286"/>
  <c r="N14" i="286"/>
  <c r="K14" i="286"/>
  <c r="N13" i="286"/>
  <c r="K13" i="286"/>
  <c r="J13" i="286"/>
  <c r="J15" i="286" s="1"/>
  <c r="K12" i="286"/>
  <c r="M11" i="286"/>
  <c r="K11" i="286"/>
  <c r="I11" i="286"/>
  <c r="M10" i="286"/>
  <c r="J10" i="286"/>
  <c r="K8" i="286"/>
  <c r="N6" i="286"/>
  <c r="K5" i="286"/>
  <c r="N16" i="286" l="1"/>
  <c r="C22" i="286"/>
  <c r="N34" i="285"/>
  <c r="N31" i="285"/>
  <c r="N32" i="285" s="1"/>
  <c r="N27" i="285"/>
  <c r="K27" i="285"/>
  <c r="I26" i="285"/>
  <c r="I25" i="285"/>
  <c r="O24" i="285"/>
  <c r="M24" i="285"/>
  <c r="Q23" i="285"/>
  <c r="J23" i="285"/>
  <c r="J24" i="285" s="1"/>
  <c r="I23" i="285"/>
  <c r="Q22" i="285"/>
  <c r="N22" i="285"/>
  <c r="I22" i="285"/>
  <c r="M21" i="285"/>
  <c r="L21" i="285"/>
  <c r="Q20" i="285"/>
  <c r="O20" i="285"/>
  <c r="N19" i="285"/>
  <c r="M19" i="285"/>
  <c r="M20" i="285" s="1"/>
  <c r="J19" i="285"/>
  <c r="I19" i="285"/>
  <c r="G19" i="285"/>
  <c r="C19" i="285"/>
  <c r="O18" i="285"/>
  <c r="J18" i="285"/>
  <c r="I18" i="285"/>
  <c r="Q17" i="285"/>
  <c r="O17" i="285"/>
  <c r="J17" i="285"/>
  <c r="M16" i="285"/>
  <c r="K15" i="285"/>
  <c r="P14" i="285"/>
  <c r="N14" i="285"/>
  <c r="N16" i="285" s="1"/>
  <c r="K14" i="285"/>
  <c r="N13" i="285"/>
  <c r="K13" i="285"/>
  <c r="J13" i="285"/>
  <c r="J15" i="285" s="1"/>
  <c r="K12" i="285"/>
  <c r="M11" i="285"/>
  <c r="K11" i="285"/>
  <c r="I11" i="285"/>
  <c r="M10" i="285"/>
  <c r="J10" i="285"/>
  <c r="K8" i="285"/>
  <c r="N6" i="285"/>
  <c r="K5" i="285"/>
  <c r="C22" i="285" l="1"/>
  <c r="N34" i="284"/>
  <c r="N31" i="284"/>
  <c r="N32" i="284" s="1"/>
  <c r="N27" i="284"/>
  <c r="K27" i="284"/>
  <c r="I26" i="284"/>
  <c r="I25" i="284"/>
  <c r="O24" i="284"/>
  <c r="M24" i="284"/>
  <c r="Q23" i="284"/>
  <c r="J23" i="284"/>
  <c r="J24" i="284" s="1"/>
  <c r="I23" i="284"/>
  <c r="Q22" i="284"/>
  <c r="N22" i="284"/>
  <c r="I22" i="284"/>
  <c r="M21" i="284"/>
  <c r="L21" i="284"/>
  <c r="Q20" i="284"/>
  <c r="O20" i="284"/>
  <c r="N19" i="284"/>
  <c r="M19" i="284"/>
  <c r="M20" i="284" s="1"/>
  <c r="J19" i="284"/>
  <c r="I19" i="284"/>
  <c r="G19" i="284"/>
  <c r="C19" i="284"/>
  <c r="O18" i="284"/>
  <c r="J18" i="284"/>
  <c r="I18" i="284"/>
  <c r="Q17" i="284"/>
  <c r="O17" i="284"/>
  <c r="J17" i="284"/>
  <c r="M16" i="284"/>
  <c r="K15" i="284"/>
  <c r="P14" i="284"/>
  <c r="N14" i="284"/>
  <c r="K14" i="284"/>
  <c r="N13" i="284"/>
  <c r="K13" i="284"/>
  <c r="J13" i="284"/>
  <c r="J15" i="284" s="1"/>
  <c r="K12" i="284"/>
  <c r="M11" i="284"/>
  <c r="K11" i="284"/>
  <c r="I11" i="284"/>
  <c r="M10" i="284"/>
  <c r="J10" i="284"/>
  <c r="K8" i="284"/>
  <c r="N6" i="284"/>
  <c r="K5" i="284"/>
  <c r="N16" i="284" l="1"/>
  <c r="C22" i="284"/>
  <c r="N34" i="283"/>
  <c r="N31" i="283"/>
  <c r="N32" i="283" s="1"/>
  <c r="N27" i="283"/>
  <c r="K27" i="283"/>
  <c r="I26" i="283"/>
  <c r="I25" i="283"/>
  <c r="O24" i="283"/>
  <c r="M24" i="283"/>
  <c r="Q23" i="283"/>
  <c r="J23" i="283"/>
  <c r="J24" i="283" s="1"/>
  <c r="I23" i="283"/>
  <c r="Q22" i="283"/>
  <c r="N22" i="283"/>
  <c r="I22" i="283"/>
  <c r="M21" i="283"/>
  <c r="L21" i="283"/>
  <c r="Q20" i="283"/>
  <c r="O20" i="283"/>
  <c r="N19" i="283"/>
  <c r="M19" i="283"/>
  <c r="M20" i="283" s="1"/>
  <c r="J19" i="283"/>
  <c r="I19" i="283"/>
  <c r="G19" i="283"/>
  <c r="C19" i="283"/>
  <c r="O18" i="283"/>
  <c r="J18" i="283"/>
  <c r="I18" i="283"/>
  <c r="Q17" i="283"/>
  <c r="O17" i="283"/>
  <c r="J17" i="283"/>
  <c r="M16" i="283"/>
  <c r="K15" i="283"/>
  <c r="P14" i="283"/>
  <c r="N14" i="283"/>
  <c r="K14" i="283"/>
  <c r="N13" i="283"/>
  <c r="K13" i="283"/>
  <c r="J13" i="283"/>
  <c r="J15" i="283" s="1"/>
  <c r="K12" i="283"/>
  <c r="M11" i="283"/>
  <c r="K11" i="283"/>
  <c r="I11" i="283"/>
  <c r="M10" i="283"/>
  <c r="J10" i="283"/>
  <c r="K8" i="283"/>
  <c r="N6" i="283"/>
  <c r="K5" i="283"/>
  <c r="N16" i="283" l="1"/>
  <c r="C22" i="283"/>
  <c r="N34" i="282"/>
  <c r="N31" i="282"/>
  <c r="N32" i="282" s="1"/>
  <c r="N27" i="282"/>
  <c r="K27" i="282"/>
  <c r="I26" i="282"/>
  <c r="I25" i="282"/>
  <c r="O24" i="282"/>
  <c r="M24" i="282"/>
  <c r="Q23" i="282"/>
  <c r="J23" i="282"/>
  <c r="J24" i="282" s="1"/>
  <c r="I23" i="282"/>
  <c r="Q22" i="282"/>
  <c r="N22" i="282"/>
  <c r="I22" i="282"/>
  <c r="M21" i="282"/>
  <c r="L21" i="282"/>
  <c r="Q20" i="282"/>
  <c r="O20" i="282"/>
  <c r="N19" i="282"/>
  <c r="M19" i="282"/>
  <c r="M20" i="282" s="1"/>
  <c r="J19" i="282"/>
  <c r="I19" i="282"/>
  <c r="G19" i="282"/>
  <c r="C19" i="282"/>
  <c r="O18" i="282"/>
  <c r="J18" i="282"/>
  <c r="I18" i="282"/>
  <c r="Q17" i="282"/>
  <c r="O17" i="282"/>
  <c r="J17" i="282"/>
  <c r="M16" i="282"/>
  <c r="K15" i="282"/>
  <c r="P14" i="282"/>
  <c r="N14" i="282"/>
  <c r="K14" i="282"/>
  <c r="N13" i="282"/>
  <c r="K13" i="282"/>
  <c r="J13" i="282"/>
  <c r="J15" i="282" s="1"/>
  <c r="K12" i="282"/>
  <c r="M11" i="282"/>
  <c r="K11" i="282"/>
  <c r="I11" i="282"/>
  <c r="M10" i="282"/>
  <c r="J10" i="282"/>
  <c r="K8" i="282"/>
  <c r="N6" i="282"/>
  <c r="K5" i="282"/>
  <c r="N16" i="282" l="1"/>
  <c r="C22" i="282"/>
  <c r="N34" i="281"/>
  <c r="N31" i="281"/>
  <c r="N32" i="281" s="1"/>
  <c r="N27" i="281"/>
  <c r="K27" i="281"/>
  <c r="I26" i="281"/>
  <c r="I25" i="281"/>
  <c r="O24" i="281"/>
  <c r="M24" i="281"/>
  <c r="Q23" i="281"/>
  <c r="J23" i="281"/>
  <c r="J24" i="281" s="1"/>
  <c r="I23" i="281"/>
  <c r="Q22" i="281"/>
  <c r="N22" i="281"/>
  <c r="I22" i="281"/>
  <c r="M21" i="281"/>
  <c r="L21" i="281"/>
  <c r="Q20" i="281"/>
  <c r="O20" i="281"/>
  <c r="N19" i="281"/>
  <c r="M19" i="281"/>
  <c r="M20" i="281" s="1"/>
  <c r="J19" i="281"/>
  <c r="I19" i="281"/>
  <c r="G19" i="281"/>
  <c r="C19" i="281"/>
  <c r="O18" i="281"/>
  <c r="J18" i="281"/>
  <c r="I18" i="281"/>
  <c r="Q17" i="281"/>
  <c r="O17" i="281"/>
  <c r="J17" i="281"/>
  <c r="M16" i="281"/>
  <c r="K15" i="281"/>
  <c r="P14" i="281"/>
  <c r="N14" i="281"/>
  <c r="K14" i="281"/>
  <c r="N13" i="281"/>
  <c r="K13" i="281"/>
  <c r="J13" i="281"/>
  <c r="J15" i="281" s="1"/>
  <c r="K12" i="281"/>
  <c r="M11" i="281"/>
  <c r="K11" i="281"/>
  <c r="I11" i="281"/>
  <c r="M10" i="281"/>
  <c r="J10" i="281"/>
  <c r="K8" i="281"/>
  <c r="N6" i="281"/>
  <c r="K5" i="281"/>
  <c r="N16" i="281" l="1"/>
  <c r="C22" i="281"/>
  <c r="N34" i="280"/>
  <c r="N31" i="280"/>
  <c r="N32" i="280" s="1"/>
  <c r="N27" i="280"/>
  <c r="K27" i="280"/>
  <c r="I26" i="280"/>
  <c r="I25" i="280"/>
  <c r="O24" i="280"/>
  <c r="M24" i="280"/>
  <c r="Q23" i="280"/>
  <c r="J23" i="280"/>
  <c r="J24" i="280" s="1"/>
  <c r="I23" i="280"/>
  <c r="Q22" i="280"/>
  <c r="N22" i="280"/>
  <c r="I22" i="280"/>
  <c r="M21" i="280"/>
  <c r="L21" i="280"/>
  <c r="Q20" i="280"/>
  <c r="O20" i="280"/>
  <c r="N19" i="280"/>
  <c r="M19" i="280"/>
  <c r="M20" i="280" s="1"/>
  <c r="J19" i="280"/>
  <c r="I19" i="280"/>
  <c r="G19" i="280"/>
  <c r="C19" i="280"/>
  <c r="O18" i="280"/>
  <c r="J18" i="280"/>
  <c r="I18" i="280"/>
  <c r="Q17" i="280"/>
  <c r="O17" i="280"/>
  <c r="J17" i="280"/>
  <c r="M16" i="280"/>
  <c r="K15" i="280"/>
  <c r="P14" i="280"/>
  <c r="N14" i="280"/>
  <c r="K14" i="280"/>
  <c r="N13" i="280"/>
  <c r="K13" i="280"/>
  <c r="J13" i="280"/>
  <c r="J15" i="280" s="1"/>
  <c r="K12" i="280"/>
  <c r="M11" i="280"/>
  <c r="K11" i="280"/>
  <c r="I11" i="280"/>
  <c r="M10" i="280"/>
  <c r="J10" i="280"/>
  <c r="K8" i="280"/>
  <c r="N6" i="280"/>
  <c r="K5" i="280"/>
  <c r="N16" i="280" l="1"/>
  <c r="C22" i="280"/>
  <c r="N34" i="279"/>
  <c r="N31" i="279"/>
  <c r="N32" i="279" s="1"/>
  <c r="N27" i="279"/>
  <c r="K27" i="279"/>
  <c r="I26" i="279"/>
  <c r="I25" i="279"/>
  <c r="O24" i="279"/>
  <c r="M24" i="279"/>
  <c r="Q23" i="279"/>
  <c r="J23" i="279"/>
  <c r="J24" i="279" s="1"/>
  <c r="I23" i="279"/>
  <c r="Q22" i="279"/>
  <c r="N22" i="279"/>
  <c r="I22" i="279"/>
  <c r="M21" i="279"/>
  <c r="L21" i="279"/>
  <c r="Q20" i="279"/>
  <c r="O20" i="279"/>
  <c r="N19" i="279"/>
  <c r="M19" i="279"/>
  <c r="M20" i="279" s="1"/>
  <c r="J19" i="279"/>
  <c r="I19" i="279"/>
  <c r="G19" i="279"/>
  <c r="C19" i="279"/>
  <c r="O18" i="279"/>
  <c r="J18" i="279"/>
  <c r="I18" i="279"/>
  <c r="Q17" i="279"/>
  <c r="O17" i="279"/>
  <c r="J17" i="279"/>
  <c r="M16" i="279"/>
  <c r="K15" i="279"/>
  <c r="P14" i="279"/>
  <c r="N14" i="279"/>
  <c r="K14" i="279"/>
  <c r="N13" i="279"/>
  <c r="K13" i="279"/>
  <c r="J13" i="279"/>
  <c r="J15" i="279" s="1"/>
  <c r="K12" i="279"/>
  <c r="M11" i="279"/>
  <c r="K11" i="279"/>
  <c r="I11" i="279"/>
  <c r="M10" i="279"/>
  <c r="J10" i="279"/>
  <c r="K8" i="279"/>
  <c r="N6" i="279"/>
  <c r="K5" i="279"/>
  <c r="N16" i="279" l="1"/>
  <c r="C22" i="279"/>
  <c r="N34" i="278"/>
  <c r="N31" i="278"/>
  <c r="N32" i="278" s="1"/>
  <c r="N27" i="278"/>
  <c r="K27" i="278"/>
  <c r="I26" i="278"/>
  <c r="I25" i="278"/>
  <c r="O24" i="278"/>
  <c r="M24" i="278"/>
  <c r="J24" i="278"/>
  <c r="Q23" i="278"/>
  <c r="J23" i="278"/>
  <c r="I23" i="278"/>
  <c r="Q22" i="278"/>
  <c r="N22" i="278"/>
  <c r="I22" i="278"/>
  <c r="M21" i="278"/>
  <c r="L21" i="278"/>
  <c r="Q20" i="278"/>
  <c r="O20" i="278"/>
  <c r="N19" i="278"/>
  <c r="M19" i="278"/>
  <c r="M20" i="278" s="1"/>
  <c r="J19" i="278"/>
  <c r="I19" i="278"/>
  <c r="G19" i="278"/>
  <c r="C19" i="278"/>
  <c r="O18" i="278"/>
  <c r="J18" i="278"/>
  <c r="I18" i="278"/>
  <c r="Q17" i="278"/>
  <c r="O17" i="278"/>
  <c r="J17" i="278"/>
  <c r="M16" i="278"/>
  <c r="K15" i="278"/>
  <c r="P14" i="278"/>
  <c r="N14" i="278"/>
  <c r="K14" i="278"/>
  <c r="N13" i="278"/>
  <c r="K13" i="278"/>
  <c r="J13" i="278"/>
  <c r="J15" i="278" s="1"/>
  <c r="K12" i="278"/>
  <c r="M11" i="278"/>
  <c r="K11" i="278"/>
  <c r="I11" i="278"/>
  <c r="M10" i="278"/>
  <c r="J10" i="278"/>
  <c r="K8" i="278"/>
  <c r="N6" i="278"/>
  <c r="K5" i="278"/>
  <c r="N16" i="278" l="1"/>
  <c r="C22" i="278"/>
  <c r="N34" i="277"/>
  <c r="N31" i="277"/>
  <c r="N32" i="277" s="1"/>
  <c r="N27" i="277"/>
  <c r="K27" i="277"/>
  <c r="I26" i="277"/>
  <c r="I25" i="277"/>
  <c r="O24" i="277"/>
  <c r="M24" i="277"/>
  <c r="Q23" i="277"/>
  <c r="J23" i="277"/>
  <c r="J24" i="277" s="1"/>
  <c r="I23" i="277"/>
  <c r="Q22" i="277"/>
  <c r="N22" i="277"/>
  <c r="I22" i="277"/>
  <c r="M21" i="277"/>
  <c r="L21" i="277"/>
  <c r="Q20" i="277"/>
  <c r="O20" i="277"/>
  <c r="N19" i="277"/>
  <c r="M19" i="277"/>
  <c r="M20" i="277" s="1"/>
  <c r="J19" i="277"/>
  <c r="I19" i="277"/>
  <c r="G19" i="277"/>
  <c r="C19" i="277"/>
  <c r="O18" i="277"/>
  <c r="J18" i="277"/>
  <c r="I18" i="277"/>
  <c r="Q17" i="277"/>
  <c r="O17" i="277"/>
  <c r="J17" i="277"/>
  <c r="M16" i="277"/>
  <c r="K15" i="277"/>
  <c r="P14" i="277"/>
  <c r="N14" i="277"/>
  <c r="K14" i="277"/>
  <c r="N13" i="277"/>
  <c r="K13" i="277"/>
  <c r="J13" i="277"/>
  <c r="J15" i="277" s="1"/>
  <c r="K12" i="277"/>
  <c r="M11" i="277"/>
  <c r="K11" i="277"/>
  <c r="I11" i="277"/>
  <c r="M10" i="277"/>
  <c r="J10" i="277"/>
  <c r="K8" i="277"/>
  <c r="N6" i="277"/>
  <c r="K5" i="277"/>
  <c r="N16" i="277" l="1"/>
  <c r="C22" i="277"/>
  <c r="N34" i="276"/>
  <c r="N31" i="276"/>
  <c r="N32" i="276" s="1"/>
  <c r="N27" i="276"/>
  <c r="K27" i="276"/>
  <c r="I26" i="276"/>
  <c r="I25" i="276"/>
  <c r="O24" i="276"/>
  <c r="M24" i="276"/>
  <c r="Q23" i="276"/>
  <c r="J23" i="276"/>
  <c r="J24" i="276" s="1"/>
  <c r="I23" i="276"/>
  <c r="Q22" i="276"/>
  <c r="N22" i="276"/>
  <c r="I22" i="276"/>
  <c r="M21" i="276"/>
  <c r="L21" i="276"/>
  <c r="Q20" i="276"/>
  <c r="O20" i="276"/>
  <c r="N19" i="276"/>
  <c r="M19" i="276"/>
  <c r="M20" i="276" s="1"/>
  <c r="J19" i="276"/>
  <c r="I19" i="276"/>
  <c r="G19" i="276"/>
  <c r="C19" i="276"/>
  <c r="O18" i="276"/>
  <c r="J18" i="276"/>
  <c r="I18" i="276"/>
  <c r="Q17" i="276"/>
  <c r="O17" i="276"/>
  <c r="J17" i="276"/>
  <c r="M16" i="276"/>
  <c r="K15" i="276"/>
  <c r="P14" i="276"/>
  <c r="N14" i="276"/>
  <c r="K14" i="276"/>
  <c r="N13" i="276"/>
  <c r="K13" i="276"/>
  <c r="J13" i="276"/>
  <c r="J15" i="276" s="1"/>
  <c r="K12" i="276"/>
  <c r="M11" i="276"/>
  <c r="K11" i="276"/>
  <c r="I11" i="276"/>
  <c r="M10" i="276"/>
  <c r="J10" i="276"/>
  <c r="K8" i="276"/>
  <c r="N6" i="276"/>
  <c r="K5" i="276"/>
  <c r="N16" i="276" l="1"/>
  <c r="C22" i="276"/>
  <c r="N34" i="275"/>
  <c r="N31" i="275"/>
  <c r="N32" i="275" s="1"/>
  <c r="N27" i="275"/>
  <c r="K27" i="275"/>
  <c r="I26" i="275"/>
  <c r="I25" i="275"/>
  <c r="O24" i="275"/>
  <c r="M24" i="275"/>
  <c r="Q23" i="275"/>
  <c r="J23" i="275"/>
  <c r="J24" i="275" s="1"/>
  <c r="I23" i="275"/>
  <c r="Q22" i="275"/>
  <c r="N22" i="275"/>
  <c r="I22" i="275"/>
  <c r="M21" i="275"/>
  <c r="L21" i="275"/>
  <c r="Q20" i="275"/>
  <c r="O20" i="275"/>
  <c r="N19" i="275"/>
  <c r="M19" i="275"/>
  <c r="M20" i="275" s="1"/>
  <c r="J19" i="275"/>
  <c r="I19" i="275"/>
  <c r="G19" i="275"/>
  <c r="C19" i="275"/>
  <c r="O18" i="275"/>
  <c r="J18" i="275"/>
  <c r="I18" i="275"/>
  <c r="Q17" i="275"/>
  <c r="O17" i="275"/>
  <c r="J17" i="275"/>
  <c r="M16" i="275"/>
  <c r="K15" i="275"/>
  <c r="P14" i="275"/>
  <c r="N14" i="275"/>
  <c r="K14" i="275"/>
  <c r="N13" i="275"/>
  <c r="K13" i="275"/>
  <c r="J13" i="275"/>
  <c r="J15" i="275" s="1"/>
  <c r="K12" i="275"/>
  <c r="M11" i="275"/>
  <c r="K11" i="275"/>
  <c r="I11" i="275"/>
  <c r="M10" i="275"/>
  <c r="J10" i="275"/>
  <c r="K8" i="275"/>
  <c r="N6" i="275"/>
  <c r="K5" i="275"/>
  <c r="N16" i="275" l="1"/>
  <c r="C22" i="275"/>
  <c r="N34" i="274"/>
  <c r="N31" i="274"/>
  <c r="N32" i="274" s="1"/>
  <c r="N27" i="274"/>
  <c r="K27" i="274"/>
  <c r="I26" i="274"/>
  <c r="I25" i="274"/>
  <c r="O24" i="274"/>
  <c r="M24" i="274"/>
  <c r="J24" i="274"/>
  <c r="Q23" i="274"/>
  <c r="J23" i="274"/>
  <c r="I23" i="274"/>
  <c r="Q22" i="274"/>
  <c r="N22" i="274"/>
  <c r="I22" i="274"/>
  <c r="M21" i="274"/>
  <c r="L21" i="274"/>
  <c r="Q20" i="274"/>
  <c r="O20" i="274"/>
  <c r="N19" i="274"/>
  <c r="M19" i="274"/>
  <c r="M20" i="274" s="1"/>
  <c r="J19" i="274"/>
  <c r="I19" i="274"/>
  <c r="G19" i="274"/>
  <c r="C19" i="274"/>
  <c r="O18" i="274"/>
  <c r="J18" i="274"/>
  <c r="I18" i="274"/>
  <c r="Q17" i="274"/>
  <c r="O17" i="274"/>
  <c r="J17" i="274"/>
  <c r="M16" i="274"/>
  <c r="K15" i="274"/>
  <c r="P14" i="274"/>
  <c r="N14" i="274"/>
  <c r="K14" i="274"/>
  <c r="N13" i="274"/>
  <c r="K13" i="274"/>
  <c r="J13" i="274"/>
  <c r="J15" i="274" s="1"/>
  <c r="K12" i="274"/>
  <c r="M11" i="274"/>
  <c r="K11" i="274"/>
  <c r="I11" i="274"/>
  <c r="M10" i="274"/>
  <c r="J10" i="274"/>
  <c r="K8" i="274"/>
  <c r="N6" i="274"/>
  <c r="K5" i="274"/>
  <c r="N16" i="274" l="1"/>
  <c r="C22" i="274"/>
  <c r="N34" i="273"/>
  <c r="N31" i="273"/>
  <c r="N32" i="273" s="1"/>
  <c r="N27" i="273"/>
  <c r="K27" i="273"/>
  <c r="I26" i="273"/>
  <c r="I25" i="273"/>
  <c r="O24" i="273"/>
  <c r="M24" i="273"/>
  <c r="Q23" i="273"/>
  <c r="J23" i="273"/>
  <c r="J24" i="273" s="1"/>
  <c r="I23" i="273"/>
  <c r="Q22" i="273"/>
  <c r="N22" i="273"/>
  <c r="I22" i="273"/>
  <c r="M21" i="273"/>
  <c r="L21" i="273"/>
  <c r="Q20" i="273"/>
  <c r="O20" i="273"/>
  <c r="N19" i="273"/>
  <c r="M19" i="273"/>
  <c r="M20" i="273" s="1"/>
  <c r="J19" i="273"/>
  <c r="I19" i="273"/>
  <c r="G19" i="273"/>
  <c r="C19" i="273"/>
  <c r="O18" i="273"/>
  <c r="J18" i="273"/>
  <c r="I18" i="273"/>
  <c r="Q17" i="273"/>
  <c r="O17" i="273"/>
  <c r="J17" i="273"/>
  <c r="M16" i="273"/>
  <c r="K15" i="273"/>
  <c r="P14" i="273"/>
  <c r="N14" i="273"/>
  <c r="K14" i="273"/>
  <c r="N13" i="273"/>
  <c r="K13" i="273"/>
  <c r="J13" i="273"/>
  <c r="J15" i="273" s="1"/>
  <c r="K12" i="273"/>
  <c r="M11" i="273"/>
  <c r="K11" i="273"/>
  <c r="I11" i="273"/>
  <c r="M10" i="273"/>
  <c r="J10" i="273"/>
  <c r="K8" i="273"/>
  <c r="N6" i="273"/>
  <c r="K5" i="273"/>
  <c r="N16" i="273" l="1"/>
  <c r="C22" i="273"/>
  <c r="N34" i="272"/>
  <c r="N31" i="272"/>
  <c r="N32" i="272" s="1"/>
  <c r="N27" i="272"/>
  <c r="K27" i="272"/>
  <c r="I26" i="272"/>
  <c r="I25" i="272"/>
  <c r="O24" i="272"/>
  <c r="M24" i="272"/>
  <c r="Q23" i="272"/>
  <c r="J23" i="272"/>
  <c r="J24" i="272" s="1"/>
  <c r="I23" i="272"/>
  <c r="Q22" i="272"/>
  <c r="N22" i="272"/>
  <c r="I22" i="272"/>
  <c r="M21" i="272"/>
  <c r="L21" i="272"/>
  <c r="Q20" i="272"/>
  <c r="O20" i="272"/>
  <c r="N19" i="272"/>
  <c r="M19" i="272"/>
  <c r="M20" i="272" s="1"/>
  <c r="J19" i="272"/>
  <c r="I19" i="272"/>
  <c r="G19" i="272"/>
  <c r="C19" i="272"/>
  <c r="O18" i="272"/>
  <c r="J18" i="272"/>
  <c r="I18" i="272"/>
  <c r="Q17" i="272"/>
  <c r="O17" i="272"/>
  <c r="J17" i="272"/>
  <c r="M16" i="272"/>
  <c r="K15" i="272"/>
  <c r="P14" i="272"/>
  <c r="N14" i="272"/>
  <c r="K14" i="272"/>
  <c r="N13" i="272"/>
  <c r="K13" i="272"/>
  <c r="J13" i="272"/>
  <c r="J15" i="272" s="1"/>
  <c r="K12" i="272"/>
  <c r="M11" i="272"/>
  <c r="K11" i="272"/>
  <c r="I11" i="272"/>
  <c r="M10" i="272"/>
  <c r="J10" i="272"/>
  <c r="K8" i="272"/>
  <c r="N6" i="272"/>
  <c r="K5" i="272"/>
  <c r="N16" i="272" l="1"/>
  <c r="C22" i="272"/>
  <c r="N34" i="271"/>
  <c r="N31" i="271"/>
  <c r="N32" i="271" s="1"/>
  <c r="N27" i="271"/>
  <c r="K27" i="271"/>
  <c r="I26" i="271"/>
  <c r="I25" i="271"/>
  <c r="O24" i="271"/>
  <c r="M24" i="271"/>
  <c r="Q23" i="271"/>
  <c r="J23" i="271"/>
  <c r="J24" i="271" s="1"/>
  <c r="I23" i="271"/>
  <c r="Q22" i="271"/>
  <c r="N22" i="271"/>
  <c r="I22" i="271"/>
  <c r="M21" i="271"/>
  <c r="L21" i="271"/>
  <c r="Q20" i="271"/>
  <c r="O20" i="271"/>
  <c r="N19" i="271"/>
  <c r="M19" i="271"/>
  <c r="M20" i="271" s="1"/>
  <c r="J19" i="271"/>
  <c r="I19" i="271"/>
  <c r="G19" i="271"/>
  <c r="C19" i="271"/>
  <c r="O18" i="271"/>
  <c r="J18" i="271"/>
  <c r="I18" i="271"/>
  <c r="Q17" i="271"/>
  <c r="O17" i="271"/>
  <c r="J17" i="271"/>
  <c r="M16" i="271"/>
  <c r="K15" i="271"/>
  <c r="P14" i="271"/>
  <c r="N14" i="271"/>
  <c r="K14" i="271"/>
  <c r="N13" i="271"/>
  <c r="K13" i="271"/>
  <c r="J13" i="271"/>
  <c r="J15" i="271" s="1"/>
  <c r="K12" i="271"/>
  <c r="M11" i="271"/>
  <c r="K11" i="271"/>
  <c r="I11" i="271"/>
  <c r="M10" i="271"/>
  <c r="J10" i="271"/>
  <c r="K8" i="271"/>
  <c r="N6" i="271"/>
  <c r="K5" i="271"/>
  <c r="N16" i="271" l="1"/>
  <c r="C22" i="271"/>
  <c r="C19" i="270"/>
  <c r="N34" i="270"/>
  <c r="N31" i="270"/>
  <c r="N32" i="270" s="1"/>
  <c r="N27" i="270"/>
  <c r="K27" i="270"/>
  <c r="I26" i="270"/>
  <c r="I25" i="270"/>
  <c r="O24" i="270"/>
  <c r="M24" i="270"/>
  <c r="Q23" i="270"/>
  <c r="J23" i="270"/>
  <c r="J24" i="270" s="1"/>
  <c r="I23" i="270"/>
  <c r="Q22" i="270"/>
  <c r="N22" i="270"/>
  <c r="I22" i="270"/>
  <c r="M21" i="270"/>
  <c r="L21" i="270"/>
  <c r="Q20" i="270"/>
  <c r="O20" i="270"/>
  <c r="N19" i="270"/>
  <c r="M19" i="270"/>
  <c r="M20" i="270" s="1"/>
  <c r="J19" i="270"/>
  <c r="I19" i="270"/>
  <c r="G19" i="270"/>
  <c r="O18" i="270"/>
  <c r="J18" i="270"/>
  <c r="I18" i="270"/>
  <c r="Q17" i="270"/>
  <c r="O17" i="270"/>
  <c r="J17" i="270"/>
  <c r="M16" i="270"/>
  <c r="K15" i="270"/>
  <c r="P14" i="270"/>
  <c r="N14" i="270"/>
  <c r="K14" i="270"/>
  <c r="N13" i="270"/>
  <c r="K13" i="270"/>
  <c r="J13" i="270"/>
  <c r="J15" i="270" s="1"/>
  <c r="K12" i="270"/>
  <c r="M11" i="270"/>
  <c r="K11" i="270"/>
  <c r="I11" i="270"/>
  <c r="M10" i="270"/>
  <c r="J10" i="270"/>
  <c r="K8" i="270"/>
  <c r="N6" i="270"/>
  <c r="K5" i="270"/>
  <c r="C22" i="270" l="1"/>
  <c r="N16" i="270"/>
  <c r="N34" i="269"/>
  <c r="N31" i="269"/>
  <c r="N32" i="269" s="1"/>
  <c r="N27" i="269"/>
  <c r="K27" i="269"/>
  <c r="I26" i="269"/>
  <c r="I25" i="269"/>
  <c r="O24" i="269"/>
  <c r="M24" i="269"/>
  <c r="Q23" i="269"/>
  <c r="J23" i="269"/>
  <c r="J24" i="269" s="1"/>
  <c r="I23" i="269"/>
  <c r="Q22" i="269"/>
  <c r="N22" i="269"/>
  <c r="I22" i="269"/>
  <c r="M21" i="269"/>
  <c r="L21" i="269"/>
  <c r="Q20" i="269"/>
  <c r="O20" i="269"/>
  <c r="N19" i="269"/>
  <c r="M19" i="269"/>
  <c r="M20" i="269" s="1"/>
  <c r="J19" i="269"/>
  <c r="I19" i="269"/>
  <c r="G19" i="269"/>
  <c r="C19" i="269"/>
  <c r="O18" i="269"/>
  <c r="J18" i="269"/>
  <c r="I18" i="269"/>
  <c r="Q17" i="269"/>
  <c r="O17" i="269"/>
  <c r="J17" i="269"/>
  <c r="M16" i="269"/>
  <c r="K15" i="269"/>
  <c r="P14" i="269"/>
  <c r="N14" i="269"/>
  <c r="K14" i="269"/>
  <c r="N13" i="269"/>
  <c r="K13" i="269"/>
  <c r="J13" i="269"/>
  <c r="J15" i="269" s="1"/>
  <c r="K12" i="269"/>
  <c r="M11" i="269"/>
  <c r="K11" i="269"/>
  <c r="I11" i="269"/>
  <c r="M10" i="269"/>
  <c r="J10" i="269"/>
  <c r="K8" i="269"/>
  <c r="N6" i="269"/>
  <c r="K5" i="269"/>
  <c r="N16" i="269" l="1"/>
  <c r="C22" i="269"/>
  <c r="N34" i="268"/>
  <c r="N31" i="268"/>
  <c r="N32" i="268" s="1"/>
  <c r="N27" i="268"/>
  <c r="K27" i="268"/>
  <c r="I26" i="268"/>
  <c r="I25" i="268"/>
  <c r="O24" i="268"/>
  <c r="M24" i="268"/>
  <c r="Q23" i="268"/>
  <c r="J23" i="268"/>
  <c r="J24" i="268" s="1"/>
  <c r="I23" i="268"/>
  <c r="Q22" i="268"/>
  <c r="N22" i="268"/>
  <c r="I22" i="268"/>
  <c r="M21" i="268"/>
  <c r="L21" i="268"/>
  <c r="Q20" i="268"/>
  <c r="O20" i="268"/>
  <c r="N19" i="268"/>
  <c r="M19" i="268"/>
  <c r="M20" i="268" s="1"/>
  <c r="J19" i="268"/>
  <c r="I19" i="268"/>
  <c r="G19" i="268"/>
  <c r="C19" i="268"/>
  <c r="O18" i="268"/>
  <c r="J18" i="268"/>
  <c r="I18" i="268"/>
  <c r="Q17" i="268"/>
  <c r="O17" i="268"/>
  <c r="J17" i="268"/>
  <c r="M16" i="268"/>
  <c r="K15" i="268"/>
  <c r="P14" i="268"/>
  <c r="N14" i="268"/>
  <c r="K14" i="268"/>
  <c r="N13" i="268"/>
  <c r="K13" i="268"/>
  <c r="J13" i="268"/>
  <c r="J15" i="268" s="1"/>
  <c r="K12" i="268"/>
  <c r="M11" i="268"/>
  <c r="K11" i="268"/>
  <c r="I11" i="268"/>
  <c r="M10" i="268"/>
  <c r="J10" i="268"/>
  <c r="K8" i="268"/>
  <c r="N6" i="268"/>
  <c r="K5" i="268"/>
  <c r="N16" i="268" l="1"/>
  <c r="C22" i="268"/>
  <c r="N34" i="267"/>
  <c r="N31" i="267"/>
  <c r="N32" i="267" s="1"/>
  <c r="N27" i="267"/>
  <c r="K27" i="267"/>
  <c r="I26" i="267"/>
  <c r="I25" i="267"/>
  <c r="O24" i="267"/>
  <c r="M24" i="267"/>
  <c r="Q23" i="267"/>
  <c r="J23" i="267"/>
  <c r="J24" i="267" s="1"/>
  <c r="I23" i="267"/>
  <c r="Q22" i="267"/>
  <c r="N22" i="267"/>
  <c r="I22" i="267"/>
  <c r="M21" i="267"/>
  <c r="L21" i="267"/>
  <c r="Q20" i="267"/>
  <c r="O20" i="267"/>
  <c r="N19" i="267"/>
  <c r="M19" i="267"/>
  <c r="M20" i="267" s="1"/>
  <c r="J19" i="267"/>
  <c r="I19" i="267"/>
  <c r="G19" i="267"/>
  <c r="C19" i="267"/>
  <c r="O18" i="267"/>
  <c r="J18" i="267"/>
  <c r="I18" i="267"/>
  <c r="Q17" i="267"/>
  <c r="O17" i="267"/>
  <c r="J17" i="267"/>
  <c r="M16" i="267"/>
  <c r="K15" i="267"/>
  <c r="P14" i="267"/>
  <c r="N14" i="267"/>
  <c r="K14" i="267"/>
  <c r="N13" i="267"/>
  <c r="K13" i="267"/>
  <c r="J13" i="267"/>
  <c r="J15" i="267" s="1"/>
  <c r="K12" i="267"/>
  <c r="M11" i="267"/>
  <c r="K11" i="267"/>
  <c r="I11" i="267"/>
  <c r="M10" i="267"/>
  <c r="J10" i="267"/>
  <c r="K8" i="267"/>
  <c r="N6" i="267"/>
  <c r="K5" i="267"/>
  <c r="N16" i="267" l="1"/>
  <c r="C22" i="267"/>
  <c r="N34" i="266"/>
  <c r="N31" i="266"/>
  <c r="N32" i="266" s="1"/>
  <c r="N27" i="266"/>
  <c r="K27" i="266"/>
  <c r="I26" i="266"/>
  <c r="I25" i="266"/>
  <c r="O24" i="266"/>
  <c r="M24" i="266"/>
  <c r="Q23" i="266"/>
  <c r="J23" i="266"/>
  <c r="J24" i="266" s="1"/>
  <c r="I23" i="266"/>
  <c r="Q22" i="266"/>
  <c r="N22" i="266"/>
  <c r="I22" i="266"/>
  <c r="M21" i="266"/>
  <c r="L21" i="266"/>
  <c r="Q20" i="266"/>
  <c r="O20" i="266"/>
  <c r="N19" i="266"/>
  <c r="M19" i="266"/>
  <c r="M20" i="266" s="1"/>
  <c r="J19" i="266"/>
  <c r="I19" i="266"/>
  <c r="C19" i="266"/>
  <c r="O18" i="266"/>
  <c r="J18" i="266"/>
  <c r="I18" i="266"/>
  <c r="Q17" i="266"/>
  <c r="O17" i="266"/>
  <c r="J17" i="266"/>
  <c r="M16" i="266"/>
  <c r="G19" i="266"/>
  <c r="K15" i="266"/>
  <c r="P14" i="266"/>
  <c r="N14" i="266"/>
  <c r="K14" i="266"/>
  <c r="N13" i="266"/>
  <c r="K13" i="266"/>
  <c r="J13" i="266"/>
  <c r="J15" i="266" s="1"/>
  <c r="K12" i="266"/>
  <c r="M11" i="266"/>
  <c r="K11" i="266"/>
  <c r="I11" i="266"/>
  <c r="M10" i="266"/>
  <c r="J10" i="266"/>
  <c r="K8" i="266"/>
  <c r="N6" i="266"/>
  <c r="K5" i="266"/>
  <c r="N16" i="266" l="1"/>
  <c r="C22" i="266"/>
  <c r="G16" i="265"/>
  <c r="N34" i="265" l="1"/>
  <c r="N31" i="265"/>
  <c r="N32" i="265" s="1"/>
  <c r="N27" i="265"/>
  <c r="K27" i="265"/>
  <c r="I26" i="265"/>
  <c r="I25" i="265"/>
  <c r="O24" i="265"/>
  <c r="M24" i="265"/>
  <c r="Q23" i="265"/>
  <c r="J23" i="265"/>
  <c r="J24" i="265" s="1"/>
  <c r="I23" i="265"/>
  <c r="Q22" i="265"/>
  <c r="N22" i="265"/>
  <c r="I22" i="265"/>
  <c r="M21" i="265"/>
  <c r="L21" i="265"/>
  <c r="Q20" i="265"/>
  <c r="O20" i="265"/>
  <c r="N19" i="265"/>
  <c r="M19" i="265"/>
  <c r="M20" i="265" s="1"/>
  <c r="J19" i="265"/>
  <c r="I19" i="265"/>
  <c r="C19" i="265"/>
  <c r="O18" i="265"/>
  <c r="J18" i="265"/>
  <c r="I18" i="265"/>
  <c r="Q17" i="265"/>
  <c r="O17" i="265"/>
  <c r="J17" i="265"/>
  <c r="M16" i="265"/>
  <c r="G19" i="265"/>
  <c r="K15" i="265"/>
  <c r="P14" i="265"/>
  <c r="N14" i="265"/>
  <c r="K14" i="265"/>
  <c r="N13" i="265"/>
  <c r="N16" i="265" s="1"/>
  <c r="K13" i="265"/>
  <c r="J13" i="265"/>
  <c r="J15" i="265" s="1"/>
  <c r="K12" i="265"/>
  <c r="M11" i="265"/>
  <c r="K11" i="265"/>
  <c r="I11" i="265"/>
  <c r="M10" i="265"/>
  <c r="J10" i="265"/>
  <c r="K8" i="265"/>
  <c r="N6" i="265"/>
  <c r="K5" i="265"/>
  <c r="C22" i="265" l="1"/>
  <c r="G16" i="264"/>
  <c r="G19" i="264" s="1"/>
  <c r="N34" i="264"/>
  <c r="N31" i="264"/>
  <c r="N32" i="264" s="1"/>
  <c r="N27" i="264"/>
  <c r="K27" i="264"/>
  <c r="I26" i="264"/>
  <c r="I25" i="264"/>
  <c r="O24" i="264"/>
  <c r="M24" i="264"/>
  <c r="Q23" i="264"/>
  <c r="J23" i="264"/>
  <c r="J24" i="264" s="1"/>
  <c r="I23" i="264"/>
  <c r="Q22" i="264"/>
  <c r="N22" i="264"/>
  <c r="I22" i="264"/>
  <c r="M21" i="264"/>
  <c r="L21" i="264"/>
  <c r="Q20" i="264"/>
  <c r="O20" i="264"/>
  <c r="N19" i="264"/>
  <c r="M19" i="264"/>
  <c r="M20" i="264" s="1"/>
  <c r="J19" i="264"/>
  <c r="I19" i="264"/>
  <c r="C19" i="264"/>
  <c r="O18" i="264"/>
  <c r="J18" i="264"/>
  <c r="I18" i="264"/>
  <c r="Q17" i="264"/>
  <c r="O17" i="264"/>
  <c r="J17" i="264"/>
  <c r="M16" i="264"/>
  <c r="K15" i="264"/>
  <c r="P14" i="264"/>
  <c r="N14" i="264"/>
  <c r="K14" i="264"/>
  <c r="N13" i="264"/>
  <c r="K13" i="264"/>
  <c r="J13" i="264"/>
  <c r="J15" i="264" s="1"/>
  <c r="K12" i="264"/>
  <c r="M11" i="264"/>
  <c r="K11" i="264"/>
  <c r="I11" i="264"/>
  <c r="M10" i="264"/>
  <c r="J10" i="264"/>
  <c r="K8" i="264"/>
  <c r="N6" i="264"/>
  <c r="K5" i="264"/>
  <c r="N16" i="264" l="1"/>
  <c r="C22" i="264"/>
  <c r="G16" i="263"/>
  <c r="N34" i="263" l="1"/>
  <c r="N31" i="263"/>
  <c r="N32" i="263" s="1"/>
  <c r="N27" i="263"/>
  <c r="K27" i="263"/>
  <c r="I26" i="263"/>
  <c r="I25" i="263"/>
  <c r="O24" i="263"/>
  <c r="M24" i="263"/>
  <c r="Q23" i="263"/>
  <c r="J23" i="263"/>
  <c r="J24" i="263" s="1"/>
  <c r="I23" i="263"/>
  <c r="Q22" i="263"/>
  <c r="N22" i="263"/>
  <c r="I22" i="263"/>
  <c r="M21" i="263"/>
  <c r="L21" i="263"/>
  <c r="Q20" i="263"/>
  <c r="O20" i="263"/>
  <c r="N19" i="263"/>
  <c r="M19" i="263"/>
  <c r="M20" i="263" s="1"/>
  <c r="J19" i="263"/>
  <c r="I19" i="263"/>
  <c r="G19" i="263"/>
  <c r="C19" i="263"/>
  <c r="O18" i="263"/>
  <c r="J18" i="263"/>
  <c r="I18" i="263"/>
  <c r="Q17" i="263"/>
  <c r="O17" i="263"/>
  <c r="J17" i="263"/>
  <c r="M16" i="263"/>
  <c r="K15" i="263"/>
  <c r="P14" i="263"/>
  <c r="N14" i="263"/>
  <c r="K14" i="263"/>
  <c r="N13" i="263"/>
  <c r="K13" i="263"/>
  <c r="J13" i="263"/>
  <c r="J15" i="263" s="1"/>
  <c r="K12" i="263"/>
  <c r="M11" i="263"/>
  <c r="K11" i="263"/>
  <c r="I11" i="263"/>
  <c r="M10" i="263"/>
  <c r="J10" i="263"/>
  <c r="K8" i="263"/>
  <c r="N6" i="263"/>
  <c r="K5" i="263"/>
  <c r="N16" i="263" l="1"/>
  <c r="C22" i="263"/>
  <c r="N34" i="262"/>
  <c r="N31" i="262"/>
  <c r="N32" i="262" s="1"/>
  <c r="N27" i="262"/>
  <c r="K27" i="262"/>
  <c r="I26" i="262"/>
  <c r="I25" i="262"/>
  <c r="O24" i="262"/>
  <c r="M24" i="262"/>
  <c r="Q23" i="262"/>
  <c r="J23" i="262"/>
  <c r="J24" i="262" s="1"/>
  <c r="I23" i="262"/>
  <c r="Q22" i="262"/>
  <c r="N22" i="262"/>
  <c r="I22" i="262"/>
  <c r="M21" i="262"/>
  <c r="L21" i="262"/>
  <c r="Q20" i="262"/>
  <c r="O20" i="262"/>
  <c r="N19" i="262"/>
  <c r="M19" i="262"/>
  <c r="M20" i="262" s="1"/>
  <c r="J19" i="262"/>
  <c r="I19" i="262"/>
  <c r="G19" i="262"/>
  <c r="C19" i="262"/>
  <c r="O18" i="262"/>
  <c r="J18" i="262"/>
  <c r="I18" i="262"/>
  <c r="Q17" i="262"/>
  <c r="O17" i="262"/>
  <c r="J17" i="262"/>
  <c r="M16" i="262"/>
  <c r="K15" i="262"/>
  <c r="P14" i="262"/>
  <c r="N14" i="262"/>
  <c r="K14" i="262"/>
  <c r="N13" i="262"/>
  <c r="K13" i="262"/>
  <c r="J13" i="262"/>
  <c r="J15" i="262" s="1"/>
  <c r="K12" i="262"/>
  <c r="M11" i="262"/>
  <c r="K11" i="262"/>
  <c r="I11" i="262"/>
  <c r="M10" i="262"/>
  <c r="J10" i="262"/>
  <c r="K8" i="262"/>
  <c r="N6" i="262"/>
  <c r="K5" i="262"/>
  <c r="N16" i="262" l="1"/>
  <c r="C22" i="262"/>
  <c r="N34" i="261"/>
  <c r="N31" i="261"/>
  <c r="N32" i="261" s="1"/>
  <c r="N27" i="261"/>
  <c r="K27" i="261"/>
  <c r="I26" i="261"/>
  <c r="I25" i="261"/>
  <c r="O24" i="261"/>
  <c r="M24" i="261"/>
  <c r="Q23" i="261"/>
  <c r="J23" i="261"/>
  <c r="J24" i="261" s="1"/>
  <c r="I23" i="261"/>
  <c r="Q22" i="261"/>
  <c r="N22" i="261"/>
  <c r="I22" i="261"/>
  <c r="M21" i="261"/>
  <c r="L21" i="261"/>
  <c r="Q20" i="261"/>
  <c r="O20" i="261"/>
  <c r="N19" i="261"/>
  <c r="M19" i="261"/>
  <c r="M20" i="261" s="1"/>
  <c r="J19" i="261"/>
  <c r="I19" i="261"/>
  <c r="G19" i="261"/>
  <c r="C19" i="261"/>
  <c r="O18" i="261"/>
  <c r="J18" i="261"/>
  <c r="I18" i="261"/>
  <c r="Q17" i="261"/>
  <c r="O17" i="261"/>
  <c r="J17" i="261"/>
  <c r="M16" i="261"/>
  <c r="K15" i="261"/>
  <c r="P14" i="261"/>
  <c r="N14" i="261"/>
  <c r="K14" i="261"/>
  <c r="N13" i="261"/>
  <c r="K13" i="261"/>
  <c r="J13" i="261"/>
  <c r="J15" i="261" s="1"/>
  <c r="K12" i="261"/>
  <c r="M11" i="261"/>
  <c r="K11" i="261"/>
  <c r="I11" i="261"/>
  <c r="M10" i="261"/>
  <c r="J10" i="261"/>
  <c r="K8" i="261"/>
  <c r="N6" i="261"/>
  <c r="K5" i="261"/>
  <c r="N16" i="261" l="1"/>
  <c r="C22" i="261"/>
  <c r="I26" i="260"/>
  <c r="I25" i="260"/>
  <c r="N34" i="260"/>
  <c r="N31" i="260"/>
  <c r="N32" i="260" s="1"/>
  <c r="N27" i="260"/>
  <c r="K27" i="260"/>
  <c r="O24" i="260"/>
  <c r="M24" i="260"/>
  <c r="Q23" i="260"/>
  <c r="J23" i="260"/>
  <c r="J24" i="260" s="1"/>
  <c r="I23" i="260"/>
  <c r="Q22" i="260"/>
  <c r="N22" i="260"/>
  <c r="I22" i="260"/>
  <c r="M21" i="260"/>
  <c r="L21" i="260"/>
  <c r="Q20" i="260"/>
  <c r="O20" i="260"/>
  <c r="N19" i="260"/>
  <c r="M19" i="260"/>
  <c r="M20" i="260" s="1"/>
  <c r="J19" i="260"/>
  <c r="I19" i="260"/>
  <c r="G19" i="260"/>
  <c r="C19" i="260"/>
  <c r="O18" i="260"/>
  <c r="J18" i="260"/>
  <c r="I18" i="260"/>
  <c r="Q17" i="260"/>
  <c r="O17" i="260"/>
  <c r="J17" i="260"/>
  <c r="M16" i="260"/>
  <c r="K15" i="260"/>
  <c r="P14" i="260"/>
  <c r="N14" i="260"/>
  <c r="K14" i="260"/>
  <c r="N13" i="260"/>
  <c r="K13" i="260"/>
  <c r="J13" i="260"/>
  <c r="J15" i="260" s="1"/>
  <c r="K12" i="260"/>
  <c r="M11" i="260"/>
  <c r="K11" i="260"/>
  <c r="I11" i="260"/>
  <c r="M10" i="260"/>
  <c r="J10" i="260"/>
  <c r="K8" i="260"/>
  <c r="N6" i="260"/>
  <c r="K5" i="260"/>
  <c r="N16" i="260" l="1"/>
  <c r="C22" i="260"/>
  <c r="N34" i="259"/>
  <c r="N31" i="259"/>
  <c r="N32" i="259" s="1"/>
  <c r="N27" i="259"/>
  <c r="K27" i="259"/>
  <c r="O24" i="259"/>
  <c r="M24" i="259"/>
  <c r="Q23" i="259"/>
  <c r="J23" i="259"/>
  <c r="J24" i="259" s="1"/>
  <c r="I23" i="259"/>
  <c r="Q22" i="259"/>
  <c r="N22" i="259"/>
  <c r="I22" i="259"/>
  <c r="M21" i="259"/>
  <c r="L21" i="259"/>
  <c r="Q20" i="259"/>
  <c r="O20" i="259"/>
  <c r="N19" i="259"/>
  <c r="M19" i="259"/>
  <c r="M20" i="259" s="1"/>
  <c r="J19" i="259"/>
  <c r="I19" i="259"/>
  <c r="G19" i="259"/>
  <c r="C19" i="259"/>
  <c r="O18" i="259"/>
  <c r="J18" i="259"/>
  <c r="I18" i="259"/>
  <c r="Q17" i="259"/>
  <c r="O17" i="259"/>
  <c r="J17" i="259"/>
  <c r="M16" i="259"/>
  <c r="K15" i="259"/>
  <c r="P14" i="259"/>
  <c r="N14" i="259"/>
  <c r="K14" i="259"/>
  <c r="N13" i="259"/>
  <c r="K13" i="259"/>
  <c r="J13" i="259"/>
  <c r="J15" i="259" s="1"/>
  <c r="K12" i="259"/>
  <c r="M11" i="259"/>
  <c r="K11" i="259"/>
  <c r="I11" i="259"/>
  <c r="M10" i="259"/>
  <c r="J10" i="259"/>
  <c r="K8" i="259"/>
  <c r="N6" i="259"/>
  <c r="K5" i="259"/>
  <c r="N16" i="259" l="1"/>
  <c r="C22" i="259"/>
  <c r="N34" i="258"/>
  <c r="N31" i="258"/>
  <c r="N32" i="258" s="1"/>
  <c r="N27" i="258"/>
  <c r="K27" i="258"/>
  <c r="O24" i="258"/>
  <c r="M24" i="258"/>
  <c r="Q23" i="258"/>
  <c r="J23" i="258"/>
  <c r="J24" i="258" s="1"/>
  <c r="I23" i="258"/>
  <c r="Q22" i="258"/>
  <c r="N22" i="258"/>
  <c r="I22" i="258"/>
  <c r="M21" i="258"/>
  <c r="L21" i="258"/>
  <c r="Q20" i="258"/>
  <c r="O20" i="258"/>
  <c r="N19" i="258"/>
  <c r="M19" i="258"/>
  <c r="M20" i="258" s="1"/>
  <c r="J19" i="258"/>
  <c r="I19" i="258"/>
  <c r="G19" i="258"/>
  <c r="C19" i="258"/>
  <c r="O18" i="258"/>
  <c r="J18" i="258"/>
  <c r="I18" i="258"/>
  <c r="Q17" i="258"/>
  <c r="O17" i="258"/>
  <c r="J17" i="258"/>
  <c r="M16" i="258"/>
  <c r="K15" i="258"/>
  <c r="P14" i="258"/>
  <c r="N14" i="258"/>
  <c r="K14" i="258"/>
  <c r="N13" i="258"/>
  <c r="K13" i="258"/>
  <c r="J13" i="258"/>
  <c r="J15" i="258" s="1"/>
  <c r="K12" i="258"/>
  <c r="M11" i="258"/>
  <c r="K11" i="258"/>
  <c r="I11" i="258"/>
  <c r="M10" i="258"/>
  <c r="J10" i="258"/>
  <c r="K8" i="258"/>
  <c r="N6" i="258"/>
  <c r="K5" i="258"/>
  <c r="N16" i="258" l="1"/>
  <c r="C22" i="258"/>
  <c r="N34" i="257"/>
  <c r="N31" i="257"/>
  <c r="N32" i="257" s="1"/>
  <c r="N27" i="257"/>
  <c r="K27" i="257"/>
  <c r="O24" i="257"/>
  <c r="M24" i="257"/>
  <c r="Q23" i="257"/>
  <c r="J23" i="257"/>
  <c r="J24" i="257" s="1"/>
  <c r="I23" i="257"/>
  <c r="Q22" i="257"/>
  <c r="N22" i="257"/>
  <c r="I22" i="257"/>
  <c r="M21" i="257"/>
  <c r="L21" i="257"/>
  <c r="Q20" i="257"/>
  <c r="O20" i="257"/>
  <c r="N19" i="257"/>
  <c r="M19" i="257"/>
  <c r="M20" i="257" s="1"/>
  <c r="J19" i="257"/>
  <c r="I19" i="257"/>
  <c r="G19" i="257"/>
  <c r="C19" i="257"/>
  <c r="O18" i="257"/>
  <c r="J18" i="257"/>
  <c r="I18" i="257"/>
  <c r="Q17" i="257"/>
  <c r="O17" i="257"/>
  <c r="J17" i="257"/>
  <c r="M16" i="257"/>
  <c r="K15" i="257"/>
  <c r="P14" i="257"/>
  <c r="N14" i="257"/>
  <c r="K14" i="257"/>
  <c r="N13" i="257"/>
  <c r="K13" i="257"/>
  <c r="J13" i="257"/>
  <c r="J15" i="257" s="1"/>
  <c r="K12" i="257"/>
  <c r="M11" i="257"/>
  <c r="K11" i="257"/>
  <c r="I11" i="257"/>
  <c r="M10" i="257"/>
  <c r="J10" i="257"/>
  <c r="K8" i="257"/>
  <c r="N6" i="257"/>
  <c r="K5" i="257"/>
  <c r="N16" i="257" l="1"/>
  <c r="C22" i="257"/>
  <c r="N34" i="256"/>
  <c r="N31" i="256"/>
  <c r="N32" i="256" s="1"/>
  <c r="N27" i="256"/>
  <c r="K27" i="256"/>
  <c r="O24" i="256"/>
  <c r="M24" i="256"/>
  <c r="Q23" i="256"/>
  <c r="J23" i="256"/>
  <c r="J24" i="256" s="1"/>
  <c r="I23" i="256"/>
  <c r="Q22" i="256"/>
  <c r="N22" i="256"/>
  <c r="I22" i="256"/>
  <c r="M21" i="256"/>
  <c r="L21" i="256"/>
  <c r="Q20" i="256"/>
  <c r="O20" i="256"/>
  <c r="N19" i="256"/>
  <c r="M19" i="256"/>
  <c r="M20" i="256" s="1"/>
  <c r="J19" i="256"/>
  <c r="I19" i="256"/>
  <c r="G19" i="256"/>
  <c r="C19" i="256"/>
  <c r="O18" i="256"/>
  <c r="J18" i="256"/>
  <c r="I18" i="256"/>
  <c r="Q17" i="256"/>
  <c r="O17" i="256"/>
  <c r="J17" i="256"/>
  <c r="M16" i="256"/>
  <c r="K15" i="256"/>
  <c r="P14" i="256"/>
  <c r="N14" i="256"/>
  <c r="K14" i="256"/>
  <c r="N13" i="256"/>
  <c r="K13" i="256"/>
  <c r="J13" i="256"/>
  <c r="J15" i="256" s="1"/>
  <c r="K12" i="256"/>
  <c r="M11" i="256"/>
  <c r="K11" i="256"/>
  <c r="I11" i="256"/>
  <c r="M10" i="256"/>
  <c r="J10" i="256"/>
  <c r="K8" i="256"/>
  <c r="N6" i="256"/>
  <c r="K5" i="256"/>
  <c r="N16" i="256" l="1"/>
  <c r="C22" i="256"/>
  <c r="N34" i="255"/>
  <c r="N31" i="255"/>
  <c r="N32" i="255" s="1"/>
  <c r="N27" i="255"/>
  <c r="K27" i="255"/>
  <c r="O24" i="255"/>
  <c r="M24" i="255"/>
  <c r="Q23" i="255"/>
  <c r="J23" i="255"/>
  <c r="J24" i="255" s="1"/>
  <c r="I23" i="255"/>
  <c r="Q22" i="255"/>
  <c r="N22" i="255"/>
  <c r="I22" i="255"/>
  <c r="M21" i="255"/>
  <c r="L21" i="255"/>
  <c r="Q20" i="255"/>
  <c r="O20" i="255"/>
  <c r="N19" i="255"/>
  <c r="M19" i="255"/>
  <c r="M20" i="255" s="1"/>
  <c r="J19" i="255"/>
  <c r="I19" i="255"/>
  <c r="G19" i="255"/>
  <c r="C19" i="255"/>
  <c r="O18" i="255"/>
  <c r="J18" i="255"/>
  <c r="I18" i="255"/>
  <c r="Q17" i="255"/>
  <c r="O17" i="255"/>
  <c r="J17" i="255"/>
  <c r="M16" i="255"/>
  <c r="K15" i="255"/>
  <c r="P14" i="255"/>
  <c r="N14" i="255"/>
  <c r="K14" i="255"/>
  <c r="N13" i="255"/>
  <c r="K13" i="255"/>
  <c r="J13" i="255"/>
  <c r="J15" i="255" s="1"/>
  <c r="K12" i="255"/>
  <c r="M11" i="255"/>
  <c r="K11" i="255"/>
  <c r="I11" i="255"/>
  <c r="M10" i="255"/>
  <c r="J10" i="255"/>
  <c r="K8" i="255"/>
  <c r="N6" i="255"/>
  <c r="K5" i="255"/>
  <c r="N16" i="255" l="1"/>
  <c r="C22" i="255"/>
  <c r="N34" i="254"/>
  <c r="N31" i="254"/>
  <c r="N32" i="254" s="1"/>
  <c r="N27" i="254"/>
  <c r="K27" i="254"/>
  <c r="O24" i="254"/>
  <c r="M24" i="254"/>
  <c r="Q23" i="254"/>
  <c r="J23" i="254"/>
  <c r="J24" i="254" s="1"/>
  <c r="I23" i="254"/>
  <c r="Q22" i="254"/>
  <c r="N22" i="254"/>
  <c r="I22" i="254"/>
  <c r="M21" i="254"/>
  <c r="L21" i="254"/>
  <c r="Q20" i="254"/>
  <c r="O20" i="254"/>
  <c r="N19" i="254"/>
  <c r="M19" i="254"/>
  <c r="M20" i="254" s="1"/>
  <c r="J19" i="254"/>
  <c r="I19" i="254"/>
  <c r="G19" i="254"/>
  <c r="C19" i="254"/>
  <c r="O18" i="254"/>
  <c r="J18" i="254"/>
  <c r="I18" i="254"/>
  <c r="Q17" i="254"/>
  <c r="O17" i="254"/>
  <c r="J17" i="254"/>
  <c r="M16" i="254"/>
  <c r="K15" i="254"/>
  <c r="P14" i="254"/>
  <c r="N14" i="254"/>
  <c r="K14" i="254"/>
  <c r="N13" i="254"/>
  <c r="N16" i="254" s="1"/>
  <c r="K13" i="254"/>
  <c r="J13" i="254"/>
  <c r="J15" i="254" s="1"/>
  <c r="K12" i="254"/>
  <c r="M11" i="254"/>
  <c r="K11" i="254"/>
  <c r="I11" i="254"/>
  <c r="M10" i="254"/>
  <c r="J10" i="254"/>
  <c r="K8" i="254"/>
  <c r="N6" i="254"/>
  <c r="K5" i="254"/>
  <c r="C22" i="254" l="1"/>
  <c r="N34" i="253"/>
  <c r="N31" i="253"/>
  <c r="N32" i="253" s="1"/>
  <c r="N27" i="253"/>
  <c r="K27" i="253"/>
  <c r="O24" i="253"/>
  <c r="M24" i="253"/>
  <c r="Q23" i="253"/>
  <c r="J23" i="253"/>
  <c r="J24" i="253" s="1"/>
  <c r="I23" i="253"/>
  <c r="Q22" i="253"/>
  <c r="N22" i="253"/>
  <c r="I22" i="253"/>
  <c r="M21" i="253"/>
  <c r="L21" i="253"/>
  <c r="Q20" i="253"/>
  <c r="O20" i="253"/>
  <c r="N19" i="253"/>
  <c r="M19" i="253"/>
  <c r="M20" i="253" s="1"/>
  <c r="J19" i="253"/>
  <c r="I19" i="253"/>
  <c r="G19" i="253"/>
  <c r="C19" i="253"/>
  <c r="O18" i="253"/>
  <c r="J18" i="253"/>
  <c r="I18" i="253"/>
  <c r="Q17" i="253"/>
  <c r="O17" i="253"/>
  <c r="J17" i="253"/>
  <c r="M16" i="253"/>
  <c r="K15" i="253"/>
  <c r="P14" i="253"/>
  <c r="N14" i="253"/>
  <c r="K14" i="253"/>
  <c r="N13" i="253"/>
  <c r="K13" i="253"/>
  <c r="J13" i="253"/>
  <c r="J15" i="253" s="1"/>
  <c r="K12" i="253"/>
  <c r="M11" i="253"/>
  <c r="K11" i="253"/>
  <c r="I11" i="253"/>
  <c r="M10" i="253"/>
  <c r="J10" i="253"/>
  <c r="K8" i="253"/>
  <c r="N6" i="253"/>
  <c r="K5" i="253"/>
  <c r="N16" i="253" l="1"/>
  <c r="C22" i="253"/>
  <c r="N34" i="252"/>
  <c r="N31" i="252"/>
  <c r="N32" i="252" s="1"/>
  <c r="N27" i="252"/>
  <c r="K27" i="252"/>
  <c r="O24" i="252"/>
  <c r="M24" i="252"/>
  <c r="Q23" i="252"/>
  <c r="J23" i="252"/>
  <c r="J24" i="252" s="1"/>
  <c r="I23" i="252"/>
  <c r="Q22" i="252"/>
  <c r="N22" i="252"/>
  <c r="I22" i="252"/>
  <c r="M21" i="252"/>
  <c r="L21" i="252"/>
  <c r="Q20" i="252"/>
  <c r="O20" i="252"/>
  <c r="N19" i="252"/>
  <c r="M19" i="252"/>
  <c r="M20" i="252" s="1"/>
  <c r="J19" i="252"/>
  <c r="I19" i="252"/>
  <c r="G19" i="252"/>
  <c r="C19" i="252"/>
  <c r="O18" i="252"/>
  <c r="J18" i="252"/>
  <c r="I18" i="252"/>
  <c r="Q17" i="252"/>
  <c r="O17" i="252"/>
  <c r="J17" i="252"/>
  <c r="M16" i="252"/>
  <c r="K15" i="252"/>
  <c r="P14" i="252"/>
  <c r="N14" i="252"/>
  <c r="K14" i="252"/>
  <c r="N13" i="252"/>
  <c r="K13" i="252"/>
  <c r="J13" i="252"/>
  <c r="J15" i="252" s="1"/>
  <c r="K12" i="252"/>
  <c r="M11" i="252"/>
  <c r="K11" i="252"/>
  <c r="I11" i="252"/>
  <c r="M10" i="252"/>
  <c r="J10" i="252"/>
  <c r="K8" i="252"/>
  <c r="N6" i="252"/>
  <c r="K5" i="252"/>
  <c r="N16" i="252" l="1"/>
  <c r="C22" i="252"/>
  <c r="N34" i="251"/>
  <c r="N31" i="251"/>
  <c r="N32" i="251" s="1"/>
  <c r="N27" i="251"/>
  <c r="K27" i="251"/>
  <c r="O24" i="251"/>
  <c r="M24" i="251"/>
  <c r="Q23" i="251"/>
  <c r="J23" i="251"/>
  <c r="J24" i="251" s="1"/>
  <c r="I23" i="251"/>
  <c r="Q22" i="251"/>
  <c r="N22" i="251"/>
  <c r="I22" i="251"/>
  <c r="M21" i="251"/>
  <c r="L21" i="251"/>
  <c r="Q20" i="251"/>
  <c r="O20" i="251"/>
  <c r="N19" i="251"/>
  <c r="M19" i="251"/>
  <c r="M20" i="251" s="1"/>
  <c r="J19" i="251"/>
  <c r="I19" i="251"/>
  <c r="G19" i="251"/>
  <c r="C19" i="251"/>
  <c r="O18" i="251"/>
  <c r="J18" i="251"/>
  <c r="I18" i="251"/>
  <c r="Q17" i="251"/>
  <c r="O17" i="251"/>
  <c r="J17" i="251"/>
  <c r="M16" i="251"/>
  <c r="K15" i="251"/>
  <c r="P14" i="251"/>
  <c r="N14" i="251"/>
  <c r="K14" i="251"/>
  <c r="N13" i="251"/>
  <c r="K13" i="251"/>
  <c r="J13" i="251"/>
  <c r="J15" i="251" s="1"/>
  <c r="K12" i="251"/>
  <c r="M11" i="251"/>
  <c r="K11" i="251"/>
  <c r="I11" i="251"/>
  <c r="M10" i="251"/>
  <c r="J10" i="251"/>
  <c r="K8" i="251"/>
  <c r="N6" i="251"/>
  <c r="K5" i="251"/>
  <c r="N16" i="251" l="1"/>
  <c r="C22" i="251"/>
  <c r="N34" i="250"/>
  <c r="N31" i="250"/>
  <c r="N32" i="250" s="1"/>
  <c r="N27" i="250"/>
  <c r="K27" i="250"/>
  <c r="O24" i="250"/>
  <c r="M24" i="250"/>
  <c r="Q23" i="250"/>
  <c r="J23" i="250"/>
  <c r="J24" i="250" s="1"/>
  <c r="I23" i="250"/>
  <c r="Q22" i="250"/>
  <c r="N22" i="250"/>
  <c r="I22" i="250"/>
  <c r="M21" i="250"/>
  <c r="L21" i="250"/>
  <c r="Q20" i="250"/>
  <c r="O20" i="250"/>
  <c r="N19" i="250"/>
  <c r="M19" i="250"/>
  <c r="M20" i="250" s="1"/>
  <c r="J19" i="250"/>
  <c r="I19" i="250"/>
  <c r="G19" i="250"/>
  <c r="C19" i="250"/>
  <c r="O18" i="250"/>
  <c r="J18" i="250"/>
  <c r="I18" i="250"/>
  <c r="Q17" i="250"/>
  <c r="O17" i="250"/>
  <c r="J17" i="250"/>
  <c r="M16" i="250"/>
  <c r="K15" i="250"/>
  <c r="P14" i="250"/>
  <c r="N14" i="250"/>
  <c r="K14" i="250"/>
  <c r="N13" i="250"/>
  <c r="K13" i="250"/>
  <c r="J13" i="250"/>
  <c r="J15" i="250" s="1"/>
  <c r="K12" i="250"/>
  <c r="M11" i="250"/>
  <c r="K11" i="250"/>
  <c r="I11" i="250"/>
  <c r="M10" i="250"/>
  <c r="J10" i="250"/>
  <c r="K8" i="250"/>
  <c r="N6" i="250"/>
  <c r="K5" i="250"/>
  <c r="N16" i="250" l="1"/>
  <c r="C22" i="250"/>
  <c r="N34" i="249"/>
  <c r="N31" i="249"/>
  <c r="N32" i="249" s="1"/>
  <c r="N27" i="249"/>
  <c r="K27" i="249"/>
  <c r="O24" i="249"/>
  <c r="M24" i="249"/>
  <c r="Q23" i="249"/>
  <c r="J23" i="249"/>
  <c r="J24" i="249" s="1"/>
  <c r="I23" i="249"/>
  <c r="Q22" i="249"/>
  <c r="N22" i="249"/>
  <c r="I22" i="249"/>
  <c r="M21" i="249"/>
  <c r="L21" i="249"/>
  <c r="Q20" i="249"/>
  <c r="O20" i="249"/>
  <c r="N19" i="249"/>
  <c r="M19" i="249"/>
  <c r="M20" i="249" s="1"/>
  <c r="J19" i="249"/>
  <c r="I19" i="249"/>
  <c r="G19" i="249"/>
  <c r="C19" i="249"/>
  <c r="O18" i="249"/>
  <c r="J18" i="249"/>
  <c r="I18" i="249"/>
  <c r="Q17" i="249"/>
  <c r="O17" i="249"/>
  <c r="J17" i="249"/>
  <c r="M16" i="249"/>
  <c r="K15" i="249"/>
  <c r="P14" i="249"/>
  <c r="N14" i="249"/>
  <c r="K14" i="249"/>
  <c r="N13" i="249"/>
  <c r="K13" i="249"/>
  <c r="J13" i="249"/>
  <c r="J15" i="249" s="1"/>
  <c r="K12" i="249"/>
  <c r="M11" i="249"/>
  <c r="K11" i="249"/>
  <c r="I11" i="249"/>
  <c r="M10" i="249"/>
  <c r="J10" i="249"/>
  <c r="K8" i="249"/>
  <c r="N6" i="249"/>
  <c r="K5" i="249"/>
  <c r="N16" i="249" l="1"/>
  <c r="C22" i="249"/>
  <c r="N34" i="248"/>
  <c r="N31" i="248"/>
  <c r="N32" i="248" s="1"/>
  <c r="N27" i="248"/>
  <c r="K27" i="248"/>
  <c r="O24" i="248"/>
  <c r="M24" i="248"/>
  <c r="Q23" i="248"/>
  <c r="J23" i="248"/>
  <c r="J24" i="248" s="1"/>
  <c r="I23" i="248"/>
  <c r="Q22" i="248"/>
  <c r="N22" i="248"/>
  <c r="I22" i="248"/>
  <c r="M21" i="248"/>
  <c r="L21" i="248"/>
  <c r="Q20" i="248"/>
  <c r="O20" i="248"/>
  <c r="N19" i="248"/>
  <c r="M19" i="248"/>
  <c r="M20" i="248" s="1"/>
  <c r="J19" i="248"/>
  <c r="I19" i="248"/>
  <c r="G19" i="248"/>
  <c r="C19" i="248"/>
  <c r="O18" i="248"/>
  <c r="J18" i="248"/>
  <c r="I18" i="248"/>
  <c r="Q17" i="248"/>
  <c r="O17" i="248"/>
  <c r="J17" i="248"/>
  <c r="M16" i="248"/>
  <c r="K15" i="248"/>
  <c r="P14" i="248"/>
  <c r="N14" i="248"/>
  <c r="K14" i="248"/>
  <c r="N13" i="248"/>
  <c r="K13" i="248"/>
  <c r="J13" i="248"/>
  <c r="J15" i="248" s="1"/>
  <c r="K12" i="248"/>
  <c r="M11" i="248"/>
  <c r="K11" i="248"/>
  <c r="I11" i="248"/>
  <c r="M10" i="248"/>
  <c r="J10" i="248"/>
  <c r="K8" i="248"/>
  <c r="N6" i="248"/>
  <c r="K5" i="248"/>
  <c r="N16" i="248" l="1"/>
  <c r="C22" i="248"/>
  <c r="N34" i="247"/>
  <c r="N31" i="247"/>
  <c r="N32" i="247" s="1"/>
  <c r="N27" i="247"/>
  <c r="K27" i="247"/>
  <c r="O24" i="247"/>
  <c r="M24" i="247"/>
  <c r="Q23" i="247"/>
  <c r="J23" i="247"/>
  <c r="J24" i="247" s="1"/>
  <c r="I23" i="247"/>
  <c r="Q22" i="247"/>
  <c r="N22" i="247"/>
  <c r="I22" i="247"/>
  <c r="M21" i="247"/>
  <c r="L21" i="247"/>
  <c r="Q20" i="247"/>
  <c r="O20" i="247"/>
  <c r="N19" i="247"/>
  <c r="M19" i="247"/>
  <c r="M20" i="247" s="1"/>
  <c r="J19" i="247"/>
  <c r="I19" i="247"/>
  <c r="G19" i="247"/>
  <c r="C19" i="247"/>
  <c r="O18" i="247"/>
  <c r="J18" i="247"/>
  <c r="I18" i="247"/>
  <c r="Q17" i="247"/>
  <c r="O17" i="247"/>
  <c r="J17" i="247"/>
  <c r="M16" i="247"/>
  <c r="K15" i="247"/>
  <c r="P14" i="247"/>
  <c r="N14" i="247"/>
  <c r="K14" i="247"/>
  <c r="N13" i="247"/>
  <c r="K13" i="247"/>
  <c r="J13" i="247"/>
  <c r="J15" i="247" s="1"/>
  <c r="K12" i="247"/>
  <c r="M11" i="247"/>
  <c r="K11" i="247"/>
  <c r="I11" i="247"/>
  <c r="M10" i="247"/>
  <c r="J10" i="247"/>
  <c r="K8" i="247"/>
  <c r="N6" i="247"/>
  <c r="K5" i="247"/>
  <c r="N16" i="247" l="1"/>
  <c r="C22" i="247"/>
  <c r="N34" i="246"/>
  <c r="N31" i="246"/>
  <c r="N32" i="246" s="1"/>
  <c r="N27" i="246"/>
  <c r="K27" i="246"/>
  <c r="O24" i="246"/>
  <c r="M24" i="246"/>
  <c r="Q23" i="246"/>
  <c r="J23" i="246"/>
  <c r="J24" i="246" s="1"/>
  <c r="I23" i="246"/>
  <c r="Q22" i="246"/>
  <c r="N22" i="246"/>
  <c r="I22" i="246"/>
  <c r="M21" i="246"/>
  <c r="L21" i="246"/>
  <c r="Q20" i="246"/>
  <c r="O20" i="246"/>
  <c r="N19" i="246"/>
  <c r="M19" i="246"/>
  <c r="M20" i="246" s="1"/>
  <c r="J19" i="246"/>
  <c r="I19" i="246"/>
  <c r="G19" i="246"/>
  <c r="C19" i="246"/>
  <c r="O18" i="246"/>
  <c r="J18" i="246"/>
  <c r="I18" i="246"/>
  <c r="Q17" i="246"/>
  <c r="O17" i="246"/>
  <c r="J17" i="246"/>
  <c r="M16" i="246"/>
  <c r="K15" i="246"/>
  <c r="P14" i="246"/>
  <c r="N14" i="246"/>
  <c r="K14" i="246"/>
  <c r="N13" i="246"/>
  <c r="K13" i="246"/>
  <c r="J13" i="246"/>
  <c r="J15" i="246" s="1"/>
  <c r="K12" i="246"/>
  <c r="M11" i="246"/>
  <c r="K11" i="246"/>
  <c r="I11" i="246"/>
  <c r="M10" i="246"/>
  <c r="J10" i="246"/>
  <c r="K8" i="246"/>
  <c r="N6" i="246"/>
  <c r="K5" i="246"/>
  <c r="N16" i="246" l="1"/>
  <c r="C22" i="246"/>
  <c r="N34" i="245"/>
  <c r="N31" i="245"/>
  <c r="N32" i="245" s="1"/>
  <c r="N27" i="245"/>
  <c r="K27" i="245"/>
  <c r="O24" i="245"/>
  <c r="M24" i="245"/>
  <c r="Q23" i="245"/>
  <c r="J23" i="245"/>
  <c r="J24" i="245" s="1"/>
  <c r="I23" i="245"/>
  <c r="Q22" i="245"/>
  <c r="N22" i="245"/>
  <c r="I22" i="245"/>
  <c r="M21" i="245"/>
  <c r="L21" i="245"/>
  <c r="Q20" i="245"/>
  <c r="O20" i="245"/>
  <c r="N19" i="245"/>
  <c r="M19" i="245"/>
  <c r="M20" i="245" s="1"/>
  <c r="J19" i="245"/>
  <c r="I19" i="245"/>
  <c r="G19" i="245"/>
  <c r="C19" i="245"/>
  <c r="O18" i="245"/>
  <c r="J18" i="245"/>
  <c r="I18" i="245"/>
  <c r="Q17" i="245"/>
  <c r="O17" i="245"/>
  <c r="J17" i="245"/>
  <c r="M16" i="245"/>
  <c r="K15" i="245"/>
  <c r="P14" i="245"/>
  <c r="N14" i="245"/>
  <c r="K14" i="245"/>
  <c r="N13" i="245"/>
  <c r="K13" i="245"/>
  <c r="J13" i="245"/>
  <c r="J15" i="245" s="1"/>
  <c r="K12" i="245"/>
  <c r="M11" i="245"/>
  <c r="K11" i="245"/>
  <c r="I11" i="245"/>
  <c r="M10" i="245"/>
  <c r="J10" i="245"/>
  <c r="K8" i="245"/>
  <c r="N6" i="245"/>
  <c r="K5" i="245"/>
  <c r="N16" i="245" l="1"/>
  <c r="C22" i="245"/>
  <c r="N34" i="244"/>
  <c r="N31" i="244"/>
  <c r="N32" i="244" s="1"/>
  <c r="N27" i="244"/>
  <c r="K27" i="244"/>
  <c r="O24" i="244"/>
  <c r="M24" i="244"/>
  <c r="Q23" i="244"/>
  <c r="J23" i="244"/>
  <c r="J24" i="244" s="1"/>
  <c r="I23" i="244"/>
  <c r="Q22" i="244"/>
  <c r="N22" i="244"/>
  <c r="I22" i="244"/>
  <c r="M21" i="244"/>
  <c r="L21" i="244"/>
  <c r="Q20" i="244"/>
  <c r="O20" i="244"/>
  <c r="N19" i="244"/>
  <c r="M19" i="244"/>
  <c r="M20" i="244" s="1"/>
  <c r="J19" i="244"/>
  <c r="I19" i="244"/>
  <c r="G19" i="244"/>
  <c r="C19" i="244"/>
  <c r="O18" i="244"/>
  <c r="J18" i="244"/>
  <c r="I18" i="244"/>
  <c r="Q17" i="244"/>
  <c r="O17" i="244"/>
  <c r="J17" i="244"/>
  <c r="M16" i="244"/>
  <c r="K15" i="244"/>
  <c r="P14" i="244"/>
  <c r="N14" i="244"/>
  <c r="K14" i="244"/>
  <c r="N13" i="244"/>
  <c r="K13" i="244"/>
  <c r="J13" i="244"/>
  <c r="J15" i="244" s="1"/>
  <c r="K12" i="244"/>
  <c r="M11" i="244"/>
  <c r="K11" i="244"/>
  <c r="I11" i="244"/>
  <c r="M10" i="244"/>
  <c r="J10" i="244"/>
  <c r="K8" i="244"/>
  <c r="N6" i="244"/>
  <c r="K5" i="244"/>
  <c r="N16" i="244" l="1"/>
  <c r="C22" i="244"/>
  <c r="N34" i="243"/>
  <c r="N31" i="243"/>
  <c r="N32" i="243" s="1"/>
  <c r="N27" i="243"/>
  <c r="K27" i="243"/>
  <c r="O24" i="243"/>
  <c r="M24" i="243"/>
  <c r="Q23" i="243"/>
  <c r="J23" i="243"/>
  <c r="J24" i="243" s="1"/>
  <c r="I23" i="243"/>
  <c r="Q22" i="243"/>
  <c r="N22" i="243"/>
  <c r="I22" i="243"/>
  <c r="M21" i="243"/>
  <c r="L21" i="243"/>
  <c r="Q20" i="243"/>
  <c r="O20" i="243"/>
  <c r="N19" i="243"/>
  <c r="M19" i="243"/>
  <c r="M20" i="243" s="1"/>
  <c r="J19" i="243"/>
  <c r="I19" i="243"/>
  <c r="G19" i="243"/>
  <c r="C19" i="243"/>
  <c r="O18" i="243"/>
  <c r="J18" i="243"/>
  <c r="I18" i="243"/>
  <c r="Q17" i="243"/>
  <c r="O17" i="243"/>
  <c r="J17" i="243"/>
  <c r="M16" i="243"/>
  <c r="K15" i="243"/>
  <c r="P14" i="243"/>
  <c r="N14" i="243"/>
  <c r="K14" i="243"/>
  <c r="N13" i="243"/>
  <c r="K13" i="243"/>
  <c r="J13" i="243"/>
  <c r="J15" i="243" s="1"/>
  <c r="K12" i="243"/>
  <c r="M11" i="243"/>
  <c r="K11" i="243"/>
  <c r="I11" i="243"/>
  <c r="M10" i="243"/>
  <c r="J10" i="243"/>
  <c r="K8" i="243"/>
  <c r="N6" i="243"/>
  <c r="K5" i="243"/>
  <c r="N16" i="243" l="1"/>
  <c r="C22" i="243"/>
  <c r="N34" i="242"/>
  <c r="N31" i="242"/>
  <c r="N32" i="242" s="1"/>
  <c r="N27" i="242"/>
  <c r="K27" i="242"/>
  <c r="O24" i="242"/>
  <c r="M24" i="242"/>
  <c r="Q23" i="242"/>
  <c r="J23" i="242"/>
  <c r="J24" i="242" s="1"/>
  <c r="I23" i="242"/>
  <c r="Q22" i="242"/>
  <c r="N22" i="242"/>
  <c r="I22" i="242"/>
  <c r="M21" i="242"/>
  <c r="L21" i="242"/>
  <c r="Q20" i="242"/>
  <c r="O20" i="242"/>
  <c r="N19" i="242"/>
  <c r="M19" i="242"/>
  <c r="M20" i="242" s="1"/>
  <c r="J19" i="242"/>
  <c r="I19" i="242"/>
  <c r="G19" i="242"/>
  <c r="C19" i="242"/>
  <c r="O18" i="242"/>
  <c r="J18" i="242"/>
  <c r="I18" i="242"/>
  <c r="Q17" i="242"/>
  <c r="O17" i="242"/>
  <c r="J17" i="242"/>
  <c r="M16" i="242"/>
  <c r="K15" i="242"/>
  <c r="P14" i="242"/>
  <c r="N14" i="242"/>
  <c r="K14" i="242"/>
  <c r="N13" i="242"/>
  <c r="K13" i="242"/>
  <c r="J13" i="242"/>
  <c r="J15" i="242" s="1"/>
  <c r="K12" i="242"/>
  <c r="M11" i="242"/>
  <c r="K11" i="242"/>
  <c r="I11" i="242"/>
  <c r="M10" i="242"/>
  <c r="J10" i="242"/>
  <c r="K8" i="242"/>
  <c r="N6" i="242"/>
  <c r="K5" i="242"/>
  <c r="N16" i="242" l="1"/>
  <c r="C22" i="242"/>
  <c r="N34" i="241"/>
  <c r="N31" i="241"/>
  <c r="N32" i="241" s="1"/>
  <c r="N27" i="241"/>
  <c r="K27" i="241"/>
  <c r="O24" i="241"/>
  <c r="M24" i="241"/>
  <c r="Q23" i="241"/>
  <c r="J23" i="241"/>
  <c r="J24" i="241" s="1"/>
  <c r="I23" i="241"/>
  <c r="Q22" i="241"/>
  <c r="N22" i="241"/>
  <c r="I22" i="241"/>
  <c r="M21" i="241"/>
  <c r="L21" i="241"/>
  <c r="Q20" i="241"/>
  <c r="O20" i="241"/>
  <c r="N19" i="241"/>
  <c r="M19" i="241"/>
  <c r="M20" i="241" s="1"/>
  <c r="J19" i="241"/>
  <c r="I19" i="241"/>
  <c r="G19" i="241"/>
  <c r="C19" i="241"/>
  <c r="O18" i="241"/>
  <c r="J18" i="241"/>
  <c r="I18" i="241"/>
  <c r="Q17" i="241"/>
  <c r="O17" i="241"/>
  <c r="J17" i="241"/>
  <c r="M16" i="241"/>
  <c r="K15" i="241"/>
  <c r="P14" i="241"/>
  <c r="N14" i="241"/>
  <c r="K14" i="241"/>
  <c r="N13" i="241"/>
  <c r="K13" i="241"/>
  <c r="J13" i="241"/>
  <c r="J15" i="241" s="1"/>
  <c r="K12" i="241"/>
  <c r="M11" i="241"/>
  <c r="K11" i="241"/>
  <c r="I11" i="241"/>
  <c r="M10" i="241"/>
  <c r="J10" i="241"/>
  <c r="K8" i="241"/>
  <c r="N6" i="241"/>
  <c r="K5" i="241"/>
  <c r="N16" i="241" l="1"/>
  <c r="C22" i="241"/>
  <c r="N34" i="240"/>
  <c r="N31" i="240"/>
  <c r="N32" i="240" s="1"/>
  <c r="N27" i="240"/>
  <c r="K27" i="240"/>
  <c r="O24" i="240"/>
  <c r="M24" i="240"/>
  <c r="Q23" i="240"/>
  <c r="J23" i="240"/>
  <c r="J24" i="240" s="1"/>
  <c r="I23" i="240"/>
  <c r="Q22" i="240"/>
  <c r="N22" i="240"/>
  <c r="I22" i="240"/>
  <c r="M21" i="240"/>
  <c r="L21" i="240"/>
  <c r="Q20" i="240"/>
  <c r="O20" i="240"/>
  <c r="N19" i="240"/>
  <c r="M19" i="240"/>
  <c r="M20" i="240" s="1"/>
  <c r="J19" i="240"/>
  <c r="I19" i="240"/>
  <c r="G19" i="240"/>
  <c r="C19" i="240"/>
  <c r="O18" i="240"/>
  <c r="J18" i="240"/>
  <c r="I18" i="240"/>
  <c r="Q17" i="240"/>
  <c r="O17" i="240"/>
  <c r="J17" i="240"/>
  <c r="M16" i="240"/>
  <c r="K15" i="240"/>
  <c r="P14" i="240"/>
  <c r="N14" i="240"/>
  <c r="K14" i="240"/>
  <c r="N13" i="240"/>
  <c r="K13" i="240"/>
  <c r="J13" i="240"/>
  <c r="J15" i="240" s="1"/>
  <c r="K12" i="240"/>
  <c r="M11" i="240"/>
  <c r="K11" i="240"/>
  <c r="I11" i="240"/>
  <c r="M10" i="240"/>
  <c r="J10" i="240"/>
  <c r="K8" i="240"/>
  <c r="N6" i="240"/>
  <c r="K5" i="240"/>
  <c r="N16" i="240" l="1"/>
  <c r="C22" i="240"/>
  <c r="N34" i="239"/>
  <c r="N31" i="239"/>
  <c r="N32" i="239" s="1"/>
  <c r="N27" i="239"/>
  <c r="K27" i="239"/>
  <c r="O24" i="239"/>
  <c r="M24" i="239"/>
  <c r="Q23" i="239"/>
  <c r="J23" i="239"/>
  <c r="J24" i="239" s="1"/>
  <c r="I23" i="239"/>
  <c r="Q22" i="239"/>
  <c r="N22" i="239"/>
  <c r="I22" i="239"/>
  <c r="M21" i="239"/>
  <c r="L21" i="239"/>
  <c r="Q20" i="239"/>
  <c r="O20" i="239"/>
  <c r="N19" i="239"/>
  <c r="M19" i="239"/>
  <c r="M20" i="239" s="1"/>
  <c r="J19" i="239"/>
  <c r="I19" i="239"/>
  <c r="G19" i="239"/>
  <c r="C19" i="239"/>
  <c r="O18" i="239"/>
  <c r="J18" i="239"/>
  <c r="I18" i="239"/>
  <c r="Q17" i="239"/>
  <c r="O17" i="239"/>
  <c r="J17" i="239"/>
  <c r="M16" i="239"/>
  <c r="K15" i="239"/>
  <c r="P14" i="239"/>
  <c r="N14" i="239"/>
  <c r="K14" i="239"/>
  <c r="N13" i="239"/>
  <c r="K13" i="239"/>
  <c r="J13" i="239"/>
  <c r="J15" i="239" s="1"/>
  <c r="K12" i="239"/>
  <c r="M11" i="239"/>
  <c r="K11" i="239"/>
  <c r="I11" i="239"/>
  <c r="M10" i="239"/>
  <c r="J10" i="239"/>
  <c r="K8" i="239"/>
  <c r="N6" i="239"/>
  <c r="K5" i="239"/>
  <c r="N16" i="239" l="1"/>
  <c r="C22" i="239"/>
  <c r="N34" i="238"/>
  <c r="N31" i="238"/>
  <c r="N32" i="238" s="1"/>
  <c r="N27" i="238"/>
  <c r="K27" i="238"/>
  <c r="O24" i="238"/>
  <c r="M24" i="238"/>
  <c r="Q23" i="238"/>
  <c r="J23" i="238"/>
  <c r="J24" i="238" s="1"/>
  <c r="I23" i="238"/>
  <c r="Q22" i="238"/>
  <c r="N22" i="238"/>
  <c r="I22" i="238"/>
  <c r="M21" i="238"/>
  <c r="L21" i="238"/>
  <c r="Q20" i="238"/>
  <c r="O20" i="238"/>
  <c r="N19" i="238"/>
  <c r="M19" i="238"/>
  <c r="M20" i="238" s="1"/>
  <c r="J19" i="238"/>
  <c r="I19" i="238"/>
  <c r="G19" i="238"/>
  <c r="C19" i="238"/>
  <c r="O18" i="238"/>
  <c r="J18" i="238"/>
  <c r="I18" i="238"/>
  <c r="Q17" i="238"/>
  <c r="O17" i="238"/>
  <c r="J17" i="238"/>
  <c r="M16" i="238"/>
  <c r="K15" i="238"/>
  <c r="P14" i="238"/>
  <c r="N14" i="238"/>
  <c r="K14" i="238"/>
  <c r="N13" i="238"/>
  <c r="K13" i="238"/>
  <c r="J13" i="238"/>
  <c r="J15" i="238" s="1"/>
  <c r="K12" i="238"/>
  <c r="M11" i="238"/>
  <c r="K11" i="238"/>
  <c r="I11" i="238"/>
  <c r="M10" i="238"/>
  <c r="J10" i="238"/>
  <c r="K8" i="238"/>
  <c r="N6" i="238"/>
  <c r="K5" i="238"/>
  <c r="N16" i="238" l="1"/>
  <c r="C22" i="238"/>
  <c r="N34" i="237"/>
  <c r="N31" i="237"/>
  <c r="N32" i="237" s="1"/>
  <c r="N27" i="237"/>
  <c r="K27" i="237"/>
  <c r="O24" i="237"/>
  <c r="M24" i="237"/>
  <c r="Q23" i="237"/>
  <c r="J23" i="237"/>
  <c r="J24" i="237" s="1"/>
  <c r="I23" i="237"/>
  <c r="Q22" i="237"/>
  <c r="N22" i="237"/>
  <c r="I22" i="237"/>
  <c r="M21" i="237"/>
  <c r="L21" i="237"/>
  <c r="Q20" i="237"/>
  <c r="O20" i="237"/>
  <c r="N19" i="237"/>
  <c r="M19" i="237"/>
  <c r="M20" i="237" s="1"/>
  <c r="J19" i="237"/>
  <c r="I19" i="237"/>
  <c r="G19" i="237"/>
  <c r="C19" i="237"/>
  <c r="O18" i="237"/>
  <c r="J18" i="237"/>
  <c r="I18" i="237"/>
  <c r="Q17" i="237"/>
  <c r="O17" i="237"/>
  <c r="J17" i="237"/>
  <c r="M16" i="237"/>
  <c r="K15" i="237"/>
  <c r="P14" i="237"/>
  <c r="N14" i="237"/>
  <c r="K14" i="237"/>
  <c r="N13" i="237"/>
  <c r="K13" i="237"/>
  <c r="J13" i="237"/>
  <c r="J15" i="237" s="1"/>
  <c r="K12" i="237"/>
  <c r="M11" i="237"/>
  <c r="K11" i="237"/>
  <c r="I11" i="237"/>
  <c r="M10" i="237"/>
  <c r="J10" i="237"/>
  <c r="K8" i="237"/>
  <c r="N6" i="237"/>
  <c r="K5" i="237"/>
  <c r="N16" i="237" l="1"/>
  <c r="C22" i="237"/>
  <c r="N34" i="236"/>
  <c r="N31" i="236"/>
  <c r="N32" i="236" s="1"/>
  <c r="N27" i="236"/>
  <c r="K27" i="236"/>
  <c r="O24" i="236"/>
  <c r="M24" i="236"/>
  <c r="Q23" i="236"/>
  <c r="J23" i="236"/>
  <c r="J24" i="236" s="1"/>
  <c r="I23" i="236"/>
  <c r="Q22" i="236"/>
  <c r="N22" i="236"/>
  <c r="I22" i="236"/>
  <c r="M21" i="236"/>
  <c r="L21" i="236"/>
  <c r="Q20" i="236"/>
  <c r="O20" i="236"/>
  <c r="N19" i="236"/>
  <c r="M19" i="236"/>
  <c r="M20" i="236" s="1"/>
  <c r="J19" i="236"/>
  <c r="I19" i="236"/>
  <c r="G19" i="236"/>
  <c r="C19" i="236"/>
  <c r="O18" i="236"/>
  <c r="J18" i="236"/>
  <c r="I18" i="236"/>
  <c r="Q17" i="236"/>
  <c r="O17" i="236"/>
  <c r="J17" i="236"/>
  <c r="M16" i="236"/>
  <c r="K15" i="236"/>
  <c r="P14" i="236"/>
  <c r="N14" i="236"/>
  <c r="K14" i="236"/>
  <c r="N13" i="236"/>
  <c r="K13" i="236"/>
  <c r="J13" i="236"/>
  <c r="J15" i="236" s="1"/>
  <c r="K12" i="236"/>
  <c r="M11" i="236"/>
  <c r="K11" i="236"/>
  <c r="I11" i="236"/>
  <c r="M10" i="236"/>
  <c r="J10" i="236"/>
  <c r="K8" i="236"/>
  <c r="N6" i="236"/>
  <c r="K5" i="236"/>
  <c r="N16" i="236" l="1"/>
  <c r="C22" i="236"/>
  <c r="N34" i="235"/>
  <c r="N31" i="235"/>
  <c r="N32" i="235" s="1"/>
  <c r="N27" i="235"/>
  <c r="K27" i="235"/>
  <c r="O24" i="235"/>
  <c r="M24" i="235"/>
  <c r="Q23" i="235"/>
  <c r="J23" i="235"/>
  <c r="J24" i="235" s="1"/>
  <c r="I23" i="235"/>
  <c r="Q22" i="235"/>
  <c r="N22" i="235"/>
  <c r="I22" i="235"/>
  <c r="M21" i="235"/>
  <c r="L21" i="235"/>
  <c r="Q20" i="235"/>
  <c r="O20" i="235"/>
  <c r="N19" i="235"/>
  <c r="M19" i="235"/>
  <c r="M20" i="235" s="1"/>
  <c r="J19" i="235"/>
  <c r="I19" i="235"/>
  <c r="G19" i="235"/>
  <c r="C19" i="235"/>
  <c r="O18" i="235"/>
  <c r="J18" i="235"/>
  <c r="I18" i="235"/>
  <c r="Q17" i="235"/>
  <c r="O17" i="235"/>
  <c r="J17" i="235"/>
  <c r="M16" i="235"/>
  <c r="K15" i="235"/>
  <c r="P14" i="235"/>
  <c r="N14" i="235"/>
  <c r="K14" i="235"/>
  <c r="N13" i="235"/>
  <c r="K13" i="235"/>
  <c r="J13" i="235"/>
  <c r="J15" i="235" s="1"/>
  <c r="K12" i="235"/>
  <c r="M11" i="235"/>
  <c r="K11" i="235"/>
  <c r="I11" i="235"/>
  <c r="M10" i="235"/>
  <c r="J10" i="235"/>
  <c r="K8" i="235"/>
  <c r="N6" i="235"/>
  <c r="K5" i="235"/>
  <c r="N16" i="235" l="1"/>
  <c r="C22" i="235"/>
  <c r="N34" i="234"/>
  <c r="N31" i="234"/>
  <c r="N32" i="234" s="1"/>
  <c r="N27" i="234"/>
  <c r="K27" i="234"/>
  <c r="O24" i="234"/>
  <c r="M24" i="234"/>
  <c r="Q23" i="234"/>
  <c r="J23" i="234"/>
  <c r="J24" i="234" s="1"/>
  <c r="I23" i="234"/>
  <c r="Q22" i="234"/>
  <c r="N22" i="234"/>
  <c r="I22" i="234"/>
  <c r="M21" i="234"/>
  <c r="L21" i="234"/>
  <c r="Q20" i="234"/>
  <c r="O20" i="234"/>
  <c r="N19" i="234"/>
  <c r="M19" i="234"/>
  <c r="M20" i="234" s="1"/>
  <c r="J19" i="234"/>
  <c r="I19" i="234"/>
  <c r="G19" i="234"/>
  <c r="C19" i="234"/>
  <c r="O18" i="234"/>
  <c r="J18" i="234"/>
  <c r="I18" i="234"/>
  <c r="Q17" i="234"/>
  <c r="O17" i="234"/>
  <c r="J17" i="234"/>
  <c r="M16" i="234"/>
  <c r="K15" i="234"/>
  <c r="P14" i="234"/>
  <c r="N14" i="234"/>
  <c r="K14" i="234"/>
  <c r="N13" i="234"/>
  <c r="K13" i="234"/>
  <c r="J13" i="234"/>
  <c r="J15" i="234" s="1"/>
  <c r="K12" i="234"/>
  <c r="M11" i="234"/>
  <c r="K11" i="234"/>
  <c r="I11" i="234"/>
  <c r="M10" i="234"/>
  <c r="J10" i="234"/>
  <c r="K8" i="234"/>
  <c r="N6" i="234"/>
  <c r="K5" i="234"/>
  <c r="N16" i="234" l="1"/>
  <c r="C22" i="234"/>
  <c r="N34" i="233"/>
  <c r="N31" i="233"/>
  <c r="N32" i="233" s="1"/>
  <c r="N27" i="233"/>
  <c r="K27" i="233"/>
  <c r="O24" i="233"/>
  <c r="M24" i="233"/>
  <c r="Q23" i="233"/>
  <c r="J23" i="233"/>
  <c r="J24" i="233" s="1"/>
  <c r="I23" i="233"/>
  <c r="Q22" i="233"/>
  <c r="N22" i="233"/>
  <c r="I22" i="233"/>
  <c r="M21" i="233"/>
  <c r="L21" i="233"/>
  <c r="Q20" i="233"/>
  <c r="O20" i="233"/>
  <c r="N19" i="233"/>
  <c r="M19" i="233"/>
  <c r="M20" i="233" s="1"/>
  <c r="J19" i="233"/>
  <c r="I19" i="233"/>
  <c r="G19" i="233"/>
  <c r="C19" i="233"/>
  <c r="O18" i="233"/>
  <c r="J18" i="233"/>
  <c r="I18" i="233"/>
  <c r="Q17" i="233"/>
  <c r="O17" i="233"/>
  <c r="J17" i="233"/>
  <c r="M16" i="233"/>
  <c r="K15" i="233"/>
  <c r="P14" i="233"/>
  <c r="N14" i="233"/>
  <c r="K14" i="233"/>
  <c r="N13" i="233"/>
  <c r="K13" i="233"/>
  <c r="J13" i="233"/>
  <c r="J15" i="233" s="1"/>
  <c r="K12" i="233"/>
  <c r="M11" i="233"/>
  <c r="K11" i="233"/>
  <c r="I11" i="233"/>
  <c r="M10" i="233"/>
  <c r="J10" i="233"/>
  <c r="K8" i="233"/>
  <c r="N6" i="233"/>
  <c r="K5" i="233"/>
  <c r="N16" i="233" l="1"/>
  <c r="C22" i="233"/>
  <c r="N34" i="232"/>
  <c r="N31" i="232"/>
  <c r="N32" i="232" s="1"/>
  <c r="N27" i="232"/>
  <c r="K27" i="232"/>
  <c r="O24" i="232"/>
  <c r="M24" i="232"/>
  <c r="Q23" i="232"/>
  <c r="J23" i="232"/>
  <c r="J24" i="232" s="1"/>
  <c r="I23" i="232"/>
  <c r="Q22" i="232"/>
  <c r="N22" i="232"/>
  <c r="I22" i="232"/>
  <c r="M21" i="232"/>
  <c r="L21" i="232"/>
  <c r="Q20" i="232"/>
  <c r="O20" i="232"/>
  <c r="N19" i="232"/>
  <c r="M19" i="232"/>
  <c r="M20" i="232" s="1"/>
  <c r="J19" i="232"/>
  <c r="I19" i="232"/>
  <c r="G19" i="232"/>
  <c r="C19" i="232"/>
  <c r="O18" i="232"/>
  <c r="J18" i="232"/>
  <c r="I18" i="232"/>
  <c r="Q17" i="232"/>
  <c r="O17" i="232"/>
  <c r="J17" i="232"/>
  <c r="M16" i="232"/>
  <c r="K15" i="232"/>
  <c r="P14" i="232"/>
  <c r="N14" i="232"/>
  <c r="K14" i="232"/>
  <c r="N13" i="232"/>
  <c r="K13" i="232"/>
  <c r="J13" i="232"/>
  <c r="J15" i="232" s="1"/>
  <c r="K12" i="232"/>
  <c r="M11" i="232"/>
  <c r="K11" i="232"/>
  <c r="I11" i="232"/>
  <c r="M10" i="232"/>
  <c r="J10" i="232"/>
  <c r="K8" i="232"/>
  <c r="N6" i="232"/>
  <c r="K5" i="232"/>
  <c r="N16" i="232" l="1"/>
  <c r="C22" i="232"/>
  <c r="N34" i="231"/>
  <c r="N31" i="231"/>
  <c r="N32" i="231" s="1"/>
  <c r="N27" i="231"/>
  <c r="K27" i="231"/>
  <c r="O24" i="231"/>
  <c r="M24" i="231"/>
  <c r="Q23" i="231"/>
  <c r="J23" i="231"/>
  <c r="J24" i="231" s="1"/>
  <c r="I23" i="231"/>
  <c r="Q22" i="231"/>
  <c r="N22" i="231"/>
  <c r="I22" i="231"/>
  <c r="M21" i="231"/>
  <c r="L21" i="231"/>
  <c r="Q20" i="231"/>
  <c r="O20" i="231"/>
  <c r="N19" i="231"/>
  <c r="M19" i="231"/>
  <c r="M20" i="231" s="1"/>
  <c r="J19" i="231"/>
  <c r="I19" i="231"/>
  <c r="G19" i="231"/>
  <c r="C19" i="231"/>
  <c r="O18" i="231"/>
  <c r="J18" i="231"/>
  <c r="I18" i="231"/>
  <c r="Q17" i="231"/>
  <c r="O17" i="231"/>
  <c r="J17" i="231"/>
  <c r="M16" i="231"/>
  <c r="K15" i="231"/>
  <c r="P14" i="231"/>
  <c r="N14" i="231"/>
  <c r="K14" i="231"/>
  <c r="N13" i="231"/>
  <c r="K13" i="231"/>
  <c r="J13" i="231"/>
  <c r="J15" i="231" s="1"/>
  <c r="K12" i="231"/>
  <c r="M11" i="231"/>
  <c r="K11" i="231"/>
  <c r="I11" i="231"/>
  <c r="M10" i="231"/>
  <c r="J10" i="231"/>
  <c r="K8" i="231"/>
  <c r="N6" i="231"/>
  <c r="K5" i="231"/>
  <c r="N16" i="231" l="1"/>
  <c r="C22" i="231"/>
  <c r="N34" i="230"/>
  <c r="N31" i="230"/>
  <c r="N32" i="230" s="1"/>
  <c r="N27" i="230"/>
  <c r="K27" i="230"/>
  <c r="O24" i="230"/>
  <c r="M24" i="230"/>
  <c r="Q23" i="230"/>
  <c r="J23" i="230"/>
  <c r="J24" i="230" s="1"/>
  <c r="I23" i="230"/>
  <c r="Q22" i="230"/>
  <c r="N22" i="230"/>
  <c r="I22" i="230"/>
  <c r="M21" i="230"/>
  <c r="L21" i="230"/>
  <c r="Q20" i="230"/>
  <c r="O20" i="230"/>
  <c r="N19" i="230"/>
  <c r="M19" i="230"/>
  <c r="M20" i="230" s="1"/>
  <c r="J19" i="230"/>
  <c r="I19" i="230"/>
  <c r="G19" i="230"/>
  <c r="C19" i="230"/>
  <c r="O18" i="230"/>
  <c r="J18" i="230"/>
  <c r="I18" i="230"/>
  <c r="Q17" i="230"/>
  <c r="O17" i="230"/>
  <c r="J17" i="230"/>
  <c r="M16" i="230"/>
  <c r="K15" i="230"/>
  <c r="P14" i="230"/>
  <c r="N14" i="230"/>
  <c r="K14" i="230"/>
  <c r="N13" i="230"/>
  <c r="K13" i="230"/>
  <c r="J13" i="230"/>
  <c r="J15" i="230" s="1"/>
  <c r="K12" i="230"/>
  <c r="M11" i="230"/>
  <c r="K11" i="230"/>
  <c r="I11" i="230"/>
  <c r="M10" i="230"/>
  <c r="J10" i="230"/>
  <c r="K8" i="230"/>
  <c r="N6" i="230"/>
  <c r="K5" i="230"/>
  <c r="N16" i="230" l="1"/>
  <c r="C22" i="230"/>
  <c r="N34" i="229"/>
  <c r="N31" i="229"/>
  <c r="N32" i="229" s="1"/>
  <c r="N27" i="229"/>
  <c r="K27" i="229"/>
  <c r="O24" i="229"/>
  <c r="M24" i="229"/>
  <c r="Q23" i="229"/>
  <c r="J23" i="229"/>
  <c r="J24" i="229" s="1"/>
  <c r="I23" i="229"/>
  <c r="Q22" i="229"/>
  <c r="N22" i="229"/>
  <c r="I22" i="229"/>
  <c r="M21" i="229"/>
  <c r="L21" i="229"/>
  <c r="Q20" i="229"/>
  <c r="O20" i="229"/>
  <c r="N19" i="229"/>
  <c r="M19" i="229"/>
  <c r="M20" i="229" s="1"/>
  <c r="J19" i="229"/>
  <c r="I19" i="229"/>
  <c r="G19" i="229"/>
  <c r="C19" i="229"/>
  <c r="O18" i="229"/>
  <c r="J18" i="229"/>
  <c r="I18" i="229"/>
  <c r="Q17" i="229"/>
  <c r="O17" i="229"/>
  <c r="J17" i="229"/>
  <c r="M16" i="229"/>
  <c r="K15" i="229"/>
  <c r="P14" i="229"/>
  <c r="N14" i="229"/>
  <c r="K14" i="229"/>
  <c r="N13" i="229"/>
  <c r="K13" i="229"/>
  <c r="J13" i="229"/>
  <c r="J15" i="229" s="1"/>
  <c r="K12" i="229"/>
  <c r="M11" i="229"/>
  <c r="K11" i="229"/>
  <c r="I11" i="229"/>
  <c r="M10" i="229"/>
  <c r="J10" i="229"/>
  <c r="K8" i="229"/>
  <c r="N6" i="229"/>
  <c r="K5" i="229"/>
  <c r="N16" i="229" l="1"/>
  <c r="C22" i="229"/>
  <c r="N34" i="228"/>
  <c r="N31" i="228"/>
  <c r="N32" i="228" s="1"/>
  <c r="N27" i="228"/>
  <c r="K27" i="228"/>
  <c r="O24" i="228"/>
  <c r="M24" i="228"/>
  <c r="Q23" i="228"/>
  <c r="J23" i="228"/>
  <c r="J24" i="228" s="1"/>
  <c r="I23" i="228"/>
  <c r="Q22" i="228"/>
  <c r="N22" i="228"/>
  <c r="I22" i="228"/>
  <c r="M21" i="228"/>
  <c r="L21" i="228"/>
  <c r="Q20" i="228"/>
  <c r="O20" i="228"/>
  <c r="N19" i="228"/>
  <c r="M19" i="228"/>
  <c r="M20" i="228" s="1"/>
  <c r="J19" i="228"/>
  <c r="I19" i="228"/>
  <c r="G19" i="228"/>
  <c r="C19" i="228"/>
  <c r="O18" i="228"/>
  <c r="J18" i="228"/>
  <c r="I18" i="228"/>
  <c r="Q17" i="228"/>
  <c r="O17" i="228"/>
  <c r="J17" i="228"/>
  <c r="M16" i="228"/>
  <c r="K15" i="228"/>
  <c r="P14" i="228"/>
  <c r="N14" i="228"/>
  <c r="K14" i="228"/>
  <c r="N13" i="228"/>
  <c r="K13" i="228"/>
  <c r="J13" i="228"/>
  <c r="J15" i="228" s="1"/>
  <c r="K12" i="228"/>
  <c r="M11" i="228"/>
  <c r="K11" i="228"/>
  <c r="I11" i="228"/>
  <c r="M10" i="228"/>
  <c r="J10" i="228"/>
  <c r="K8" i="228"/>
  <c r="N6" i="228"/>
  <c r="K5" i="228"/>
  <c r="N16" i="228" l="1"/>
  <c r="C22" i="228"/>
  <c r="N34" i="227"/>
  <c r="N31" i="227"/>
  <c r="N32" i="227" s="1"/>
  <c r="N27" i="227"/>
  <c r="K27" i="227"/>
  <c r="O24" i="227"/>
  <c r="M24" i="227"/>
  <c r="Q23" i="227"/>
  <c r="J23" i="227"/>
  <c r="J24" i="227" s="1"/>
  <c r="I23" i="227"/>
  <c r="Q22" i="227"/>
  <c r="N22" i="227"/>
  <c r="I22" i="227"/>
  <c r="M21" i="227"/>
  <c r="L21" i="227"/>
  <c r="Q20" i="227"/>
  <c r="O20" i="227"/>
  <c r="N19" i="227"/>
  <c r="M19" i="227"/>
  <c r="M20" i="227" s="1"/>
  <c r="J19" i="227"/>
  <c r="I19" i="227"/>
  <c r="G19" i="227"/>
  <c r="C19" i="227"/>
  <c r="O18" i="227"/>
  <c r="J18" i="227"/>
  <c r="I18" i="227"/>
  <c r="Q17" i="227"/>
  <c r="O17" i="227"/>
  <c r="J17" i="227"/>
  <c r="M16" i="227"/>
  <c r="K15" i="227"/>
  <c r="P14" i="227"/>
  <c r="N14" i="227"/>
  <c r="K14" i="227"/>
  <c r="N13" i="227"/>
  <c r="K13" i="227"/>
  <c r="J13" i="227"/>
  <c r="J15" i="227" s="1"/>
  <c r="K12" i="227"/>
  <c r="M11" i="227"/>
  <c r="K11" i="227"/>
  <c r="I11" i="227"/>
  <c r="M10" i="227"/>
  <c r="J10" i="227"/>
  <c r="K8" i="227"/>
  <c r="N6" i="227"/>
  <c r="K5" i="227"/>
  <c r="N16" i="227" l="1"/>
  <c r="C22" i="227"/>
  <c r="N34" i="226"/>
  <c r="N31" i="226"/>
  <c r="N32" i="226" s="1"/>
  <c r="N27" i="226"/>
  <c r="K27" i="226"/>
  <c r="O24" i="226"/>
  <c r="M24" i="226"/>
  <c r="Q23" i="226"/>
  <c r="J23" i="226"/>
  <c r="J24" i="226" s="1"/>
  <c r="I23" i="226"/>
  <c r="Q22" i="226"/>
  <c r="N22" i="226"/>
  <c r="I22" i="226"/>
  <c r="M21" i="226"/>
  <c r="L21" i="226"/>
  <c r="Q20" i="226"/>
  <c r="O20" i="226"/>
  <c r="N19" i="226"/>
  <c r="M19" i="226"/>
  <c r="M20" i="226" s="1"/>
  <c r="J19" i="226"/>
  <c r="I19" i="226"/>
  <c r="G19" i="226"/>
  <c r="C19" i="226"/>
  <c r="O18" i="226"/>
  <c r="J18" i="226"/>
  <c r="I18" i="226"/>
  <c r="Q17" i="226"/>
  <c r="O17" i="226"/>
  <c r="J17" i="226"/>
  <c r="M16" i="226"/>
  <c r="K15" i="226"/>
  <c r="P14" i="226"/>
  <c r="N14" i="226"/>
  <c r="K14" i="226"/>
  <c r="N13" i="226"/>
  <c r="K13" i="226"/>
  <c r="J13" i="226"/>
  <c r="J15" i="226" s="1"/>
  <c r="K12" i="226"/>
  <c r="M11" i="226"/>
  <c r="K11" i="226"/>
  <c r="I11" i="226"/>
  <c r="M10" i="226"/>
  <c r="J10" i="226"/>
  <c r="K8" i="226"/>
  <c r="N6" i="226"/>
  <c r="K5" i="226"/>
  <c r="N16" i="226" l="1"/>
  <c r="C22" i="226"/>
  <c r="N34" i="225"/>
  <c r="N31" i="225"/>
  <c r="N32" i="225" s="1"/>
  <c r="N27" i="225"/>
  <c r="K27" i="225"/>
  <c r="O24" i="225"/>
  <c r="M24" i="225"/>
  <c r="Q23" i="225"/>
  <c r="J23" i="225"/>
  <c r="J24" i="225" s="1"/>
  <c r="I23" i="225"/>
  <c r="Q22" i="225"/>
  <c r="N22" i="225"/>
  <c r="I22" i="225"/>
  <c r="M21" i="225"/>
  <c r="L21" i="225"/>
  <c r="Q20" i="225"/>
  <c r="O20" i="225"/>
  <c r="N19" i="225"/>
  <c r="M19" i="225"/>
  <c r="M20" i="225" s="1"/>
  <c r="J19" i="225"/>
  <c r="I19" i="225"/>
  <c r="G19" i="225"/>
  <c r="C19" i="225"/>
  <c r="O18" i="225"/>
  <c r="J18" i="225"/>
  <c r="I18" i="225"/>
  <c r="Q17" i="225"/>
  <c r="O17" i="225"/>
  <c r="J17" i="225"/>
  <c r="M16" i="225"/>
  <c r="K15" i="225"/>
  <c r="P14" i="225"/>
  <c r="N14" i="225"/>
  <c r="K14" i="225"/>
  <c r="N13" i="225"/>
  <c r="K13" i="225"/>
  <c r="J13" i="225"/>
  <c r="J15" i="225" s="1"/>
  <c r="K12" i="225"/>
  <c r="M11" i="225"/>
  <c r="K11" i="225"/>
  <c r="I11" i="225"/>
  <c r="M10" i="225"/>
  <c r="J10" i="225"/>
  <c r="K8" i="225"/>
  <c r="N6" i="225"/>
  <c r="K5" i="225"/>
  <c r="N16" i="225" l="1"/>
  <c r="C22" i="225"/>
  <c r="N34" i="224"/>
  <c r="N31" i="224"/>
  <c r="N32" i="224" s="1"/>
  <c r="N27" i="224"/>
  <c r="K27" i="224"/>
  <c r="O24" i="224"/>
  <c r="M24" i="224"/>
  <c r="Q23" i="224"/>
  <c r="J23" i="224"/>
  <c r="J24" i="224" s="1"/>
  <c r="I23" i="224"/>
  <c r="Q22" i="224"/>
  <c r="N22" i="224"/>
  <c r="I22" i="224"/>
  <c r="M21" i="224"/>
  <c r="L21" i="224"/>
  <c r="Q20" i="224"/>
  <c r="O20" i="224"/>
  <c r="N19" i="224"/>
  <c r="M19" i="224"/>
  <c r="M20" i="224" s="1"/>
  <c r="J19" i="224"/>
  <c r="I19" i="224"/>
  <c r="G19" i="224"/>
  <c r="C19" i="224"/>
  <c r="O18" i="224"/>
  <c r="J18" i="224"/>
  <c r="I18" i="224"/>
  <c r="Q17" i="224"/>
  <c r="O17" i="224"/>
  <c r="J17" i="224"/>
  <c r="M16" i="224"/>
  <c r="K15" i="224"/>
  <c r="P14" i="224"/>
  <c r="N14" i="224"/>
  <c r="K14" i="224"/>
  <c r="N13" i="224"/>
  <c r="K13" i="224"/>
  <c r="J13" i="224"/>
  <c r="J15" i="224" s="1"/>
  <c r="K12" i="224"/>
  <c r="M11" i="224"/>
  <c r="K11" i="224"/>
  <c r="I11" i="224"/>
  <c r="M10" i="224"/>
  <c r="J10" i="224"/>
  <c r="K8" i="224"/>
  <c r="N6" i="224"/>
  <c r="K5" i="224"/>
  <c r="N16" i="224" l="1"/>
  <c r="C22" i="224"/>
  <c r="I19" i="223"/>
  <c r="I18" i="223"/>
  <c r="N34" i="223" l="1"/>
  <c r="N31" i="223"/>
  <c r="N32" i="223" s="1"/>
  <c r="N27" i="223"/>
  <c r="K27" i="223"/>
  <c r="O24" i="223"/>
  <c r="M24" i="223"/>
  <c r="Q23" i="223"/>
  <c r="J23" i="223"/>
  <c r="J24" i="223" s="1"/>
  <c r="I23" i="223"/>
  <c r="Q22" i="223"/>
  <c r="N22" i="223"/>
  <c r="I22" i="223"/>
  <c r="M21" i="223"/>
  <c r="L21" i="223"/>
  <c r="Q20" i="223"/>
  <c r="O20" i="223"/>
  <c r="N19" i="223"/>
  <c r="M19" i="223"/>
  <c r="M20" i="223" s="1"/>
  <c r="J19" i="223"/>
  <c r="G19" i="223"/>
  <c r="C19" i="223"/>
  <c r="O18" i="223"/>
  <c r="J18" i="223"/>
  <c r="Q17" i="223"/>
  <c r="O17" i="223"/>
  <c r="J17" i="223"/>
  <c r="M16" i="223"/>
  <c r="K15" i="223"/>
  <c r="P14" i="223"/>
  <c r="N14" i="223"/>
  <c r="K14" i="223"/>
  <c r="N13" i="223"/>
  <c r="K13" i="223"/>
  <c r="J13" i="223"/>
  <c r="J15" i="223" s="1"/>
  <c r="K12" i="223"/>
  <c r="M11" i="223"/>
  <c r="K11" i="223"/>
  <c r="I11" i="223"/>
  <c r="M10" i="223"/>
  <c r="J10" i="223"/>
  <c r="K8" i="223"/>
  <c r="N6" i="223"/>
  <c r="K5" i="223"/>
  <c r="N16" i="223" l="1"/>
  <c r="C22" i="223"/>
  <c r="N34" i="222"/>
  <c r="N31" i="222"/>
  <c r="N32" i="222" s="1"/>
  <c r="N27" i="222"/>
  <c r="K27" i="222"/>
  <c r="O24" i="222"/>
  <c r="M24" i="222"/>
  <c r="Q23" i="222"/>
  <c r="J23" i="222"/>
  <c r="J24" i="222" s="1"/>
  <c r="I23" i="222"/>
  <c r="Q22" i="222"/>
  <c r="N22" i="222"/>
  <c r="I22" i="222"/>
  <c r="M21" i="222"/>
  <c r="L21" i="222"/>
  <c r="Q20" i="222"/>
  <c r="O20" i="222"/>
  <c r="N19" i="222"/>
  <c r="M19" i="222"/>
  <c r="M20" i="222" s="1"/>
  <c r="J19" i="222"/>
  <c r="G19" i="222"/>
  <c r="C19" i="222"/>
  <c r="O18" i="222"/>
  <c r="J18" i="222"/>
  <c r="Q17" i="222"/>
  <c r="O17" i="222"/>
  <c r="J17" i="222"/>
  <c r="M16" i="222"/>
  <c r="K15" i="222"/>
  <c r="P14" i="222"/>
  <c r="N14" i="222"/>
  <c r="K14" i="222"/>
  <c r="N13" i="222"/>
  <c r="K13" i="222"/>
  <c r="J13" i="222"/>
  <c r="J15" i="222" s="1"/>
  <c r="K12" i="222"/>
  <c r="M11" i="222"/>
  <c r="K11" i="222"/>
  <c r="I11" i="222"/>
  <c r="M10" i="222"/>
  <c r="J10" i="222"/>
  <c r="K8" i="222"/>
  <c r="N6" i="222"/>
  <c r="K5" i="222"/>
  <c r="N16" i="222" l="1"/>
  <c r="C22" i="222"/>
  <c r="N34" i="221"/>
  <c r="N31" i="221"/>
  <c r="N32" i="221" s="1"/>
  <c r="N27" i="221"/>
  <c r="K27" i="221"/>
  <c r="O24" i="221"/>
  <c r="M24" i="221"/>
  <c r="Q23" i="221"/>
  <c r="J23" i="221"/>
  <c r="J24" i="221" s="1"/>
  <c r="I23" i="221"/>
  <c r="Q22" i="221"/>
  <c r="N22" i="221"/>
  <c r="I22" i="221"/>
  <c r="M21" i="221"/>
  <c r="L21" i="221"/>
  <c r="Q20" i="221"/>
  <c r="O20" i="221"/>
  <c r="N19" i="221"/>
  <c r="M19" i="221"/>
  <c r="M20" i="221" s="1"/>
  <c r="J19" i="221"/>
  <c r="G19" i="221"/>
  <c r="C19" i="221"/>
  <c r="O18" i="221"/>
  <c r="J18" i="221"/>
  <c r="Q17" i="221"/>
  <c r="O17" i="221"/>
  <c r="J17" i="221"/>
  <c r="M16" i="221"/>
  <c r="K15" i="221"/>
  <c r="P14" i="221"/>
  <c r="N14" i="221"/>
  <c r="K14" i="221"/>
  <c r="N13" i="221"/>
  <c r="K13" i="221"/>
  <c r="J13" i="221"/>
  <c r="J15" i="221" s="1"/>
  <c r="K12" i="221"/>
  <c r="M11" i="221"/>
  <c r="K11" i="221"/>
  <c r="I11" i="221"/>
  <c r="M10" i="221"/>
  <c r="J10" i="221"/>
  <c r="K8" i="221"/>
  <c r="N6" i="221"/>
  <c r="K5" i="221"/>
  <c r="N16" i="221" l="1"/>
  <c r="C22" i="221"/>
  <c r="N34" i="220"/>
  <c r="N31" i="220"/>
  <c r="N32" i="220" s="1"/>
  <c r="N27" i="220"/>
  <c r="K27" i="220"/>
  <c r="O24" i="220"/>
  <c r="M24" i="220"/>
  <c r="Q23" i="220"/>
  <c r="J23" i="220"/>
  <c r="J24" i="220" s="1"/>
  <c r="I23" i="220"/>
  <c r="Q22" i="220"/>
  <c r="N22" i="220"/>
  <c r="I22" i="220"/>
  <c r="M21" i="220"/>
  <c r="L21" i="220"/>
  <c r="Q20" i="220"/>
  <c r="O20" i="220"/>
  <c r="N19" i="220"/>
  <c r="M19" i="220"/>
  <c r="M20" i="220" s="1"/>
  <c r="J19" i="220"/>
  <c r="G19" i="220"/>
  <c r="C19" i="220"/>
  <c r="O18" i="220"/>
  <c r="J18" i="220"/>
  <c r="Q17" i="220"/>
  <c r="O17" i="220"/>
  <c r="J17" i="220"/>
  <c r="M16" i="220"/>
  <c r="K15" i="220"/>
  <c r="P14" i="220"/>
  <c r="N14" i="220"/>
  <c r="K14" i="220"/>
  <c r="N13" i="220"/>
  <c r="K13" i="220"/>
  <c r="J13" i="220"/>
  <c r="J15" i="220" s="1"/>
  <c r="K12" i="220"/>
  <c r="M11" i="220"/>
  <c r="K11" i="220"/>
  <c r="I11" i="220"/>
  <c r="M10" i="220"/>
  <c r="J10" i="220"/>
  <c r="K8" i="220"/>
  <c r="N6" i="220"/>
  <c r="K5" i="220"/>
  <c r="N16" i="220" l="1"/>
  <c r="C22" i="220"/>
  <c r="N34" i="219"/>
  <c r="N31" i="219"/>
  <c r="N32" i="219" s="1"/>
  <c r="N27" i="219"/>
  <c r="K27" i="219"/>
  <c r="O24" i="219"/>
  <c r="M24" i="219"/>
  <c r="Q23" i="219"/>
  <c r="J23" i="219"/>
  <c r="J24" i="219" s="1"/>
  <c r="I23" i="219"/>
  <c r="Q22" i="219"/>
  <c r="N22" i="219"/>
  <c r="I22" i="219"/>
  <c r="M21" i="219"/>
  <c r="L21" i="219"/>
  <c r="Q20" i="219"/>
  <c r="O20" i="219"/>
  <c r="N19" i="219"/>
  <c r="M19" i="219"/>
  <c r="M20" i="219" s="1"/>
  <c r="J19" i="219"/>
  <c r="G19" i="219"/>
  <c r="C19" i="219"/>
  <c r="O18" i="219"/>
  <c r="J18" i="219"/>
  <c r="Q17" i="219"/>
  <c r="O17" i="219"/>
  <c r="J17" i="219"/>
  <c r="M16" i="219"/>
  <c r="K15" i="219"/>
  <c r="P14" i="219"/>
  <c r="N14" i="219"/>
  <c r="K14" i="219"/>
  <c r="N13" i="219"/>
  <c r="K13" i="219"/>
  <c r="J13" i="219"/>
  <c r="J15" i="219" s="1"/>
  <c r="K12" i="219"/>
  <c r="M11" i="219"/>
  <c r="K11" i="219"/>
  <c r="I11" i="219"/>
  <c r="M10" i="219"/>
  <c r="J10" i="219"/>
  <c r="K8" i="219"/>
  <c r="N6" i="219"/>
  <c r="K5" i="219"/>
  <c r="N16" i="219" l="1"/>
  <c r="C22" i="219"/>
  <c r="G19" i="218"/>
  <c r="C19" i="218"/>
  <c r="N34" i="218"/>
  <c r="N31" i="218"/>
  <c r="N32" i="218" s="1"/>
  <c r="N27" i="218"/>
  <c r="K27" i="218"/>
  <c r="O24" i="218"/>
  <c r="M24" i="218"/>
  <c r="Q23" i="218"/>
  <c r="J23" i="218"/>
  <c r="J24" i="218" s="1"/>
  <c r="I23" i="218"/>
  <c r="Q22" i="218"/>
  <c r="N22" i="218"/>
  <c r="I22" i="218"/>
  <c r="M21" i="218"/>
  <c r="L21" i="218"/>
  <c r="Q20" i="218"/>
  <c r="O20" i="218"/>
  <c r="N19" i="218"/>
  <c r="M19" i="218"/>
  <c r="M20" i="218" s="1"/>
  <c r="J19" i="218"/>
  <c r="O18" i="218"/>
  <c r="J18" i="218"/>
  <c r="Q17" i="218"/>
  <c r="O17" i="218"/>
  <c r="J17" i="218"/>
  <c r="M16" i="218"/>
  <c r="K15" i="218"/>
  <c r="P14" i="218"/>
  <c r="N14" i="218"/>
  <c r="K14" i="218"/>
  <c r="N13" i="218"/>
  <c r="K13" i="218"/>
  <c r="J13" i="218"/>
  <c r="J15" i="218" s="1"/>
  <c r="K12" i="218"/>
  <c r="M11" i="218"/>
  <c r="K11" i="218"/>
  <c r="I11" i="218"/>
  <c r="M10" i="218"/>
  <c r="J10" i="218"/>
  <c r="K8" i="218"/>
  <c r="N6" i="218"/>
  <c r="K5" i="218"/>
  <c r="N16" i="218" l="1"/>
  <c r="C22" i="218"/>
  <c r="N34" i="217"/>
  <c r="N31" i="217"/>
  <c r="N32" i="217" s="1"/>
  <c r="N27" i="217"/>
  <c r="K27" i="217"/>
  <c r="O24" i="217"/>
  <c r="M24" i="217"/>
  <c r="Q23" i="217"/>
  <c r="J23" i="217"/>
  <c r="J24" i="217" s="1"/>
  <c r="I23" i="217"/>
  <c r="Q22" i="217"/>
  <c r="N22" i="217"/>
  <c r="I22" i="217"/>
  <c r="M21" i="217"/>
  <c r="L21" i="217"/>
  <c r="Q20" i="217"/>
  <c r="O20" i="217"/>
  <c r="N19" i="217"/>
  <c r="M19" i="217"/>
  <c r="M20" i="217" s="1"/>
  <c r="J19" i="217"/>
  <c r="G19" i="217"/>
  <c r="C19" i="217"/>
  <c r="O18" i="217"/>
  <c r="J18" i="217"/>
  <c r="Q17" i="217"/>
  <c r="O17" i="217"/>
  <c r="J17" i="217"/>
  <c r="M16" i="217"/>
  <c r="K15" i="217"/>
  <c r="P14" i="217"/>
  <c r="N14" i="217"/>
  <c r="K14" i="217"/>
  <c r="N13" i="217"/>
  <c r="K13" i="217"/>
  <c r="J13" i="217"/>
  <c r="J15" i="217" s="1"/>
  <c r="K12" i="217"/>
  <c r="M11" i="217"/>
  <c r="K11" i="217"/>
  <c r="I11" i="217"/>
  <c r="M10" i="217"/>
  <c r="J10" i="217"/>
  <c r="K8" i="217"/>
  <c r="N6" i="217"/>
  <c r="K5" i="217"/>
  <c r="N16" i="217" l="1"/>
  <c r="C22" i="217"/>
  <c r="N34" i="216"/>
  <c r="N31" i="216"/>
  <c r="N32" i="216" s="1"/>
  <c r="N27" i="216"/>
  <c r="K27" i="216"/>
  <c r="O24" i="216"/>
  <c r="M24" i="216"/>
  <c r="Q23" i="216"/>
  <c r="J23" i="216"/>
  <c r="J24" i="216" s="1"/>
  <c r="I23" i="216"/>
  <c r="Q22" i="216"/>
  <c r="N22" i="216"/>
  <c r="I22" i="216"/>
  <c r="M21" i="216"/>
  <c r="L21" i="216"/>
  <c r="Q20" i="216"/>
  <c r="O20" i="216"/>
  <c r="N19" i="216"/>
  <c r="M19" i="216"/>
  <c r="M20" i="216" s="1"/>
  <c r="J19" i="216"/>
  <c r="G19" i="216"/>
  <c r="C19" i="216"/>
  <c r="O18" i="216"/>
  <c r="J18" i="216"/>
  <c r="Q17" i="216"/>
  <c r="O17" i="216"/>
  <c r="J17" i="216"/>
  <c r="M16" i="216"/>
  <c r="K15" i="216"/>
  <c r="P14" i="216"/>
  <c r="N14" i="216"/>
  <c r="K14" i="216"/>
  <c r="N13" i="216"/>
  <c r="K13" i="216"/>
  <c r="J13" i="216"/>
  <c r="J15" i="216" s="1"/>
  <c r="K12" i="216"/>
  <c r="M11" i="216"/>
  <c r="K11" i="216"/>
  <c r="I11" i="216"/>
  <c r="M10" i="216"/>
  <c r="J10" i="216"/>
  <c r="K8" i="216"/>
  <c r="N6" i="216"/>
  <c r="K5" i="216"/>
  <c r="N16" i="216" l="1"/>
  <c r="C22" i="216"/>
  <c r="N34" i="215"/>
  <c r="N31" i="215"/>
  <c r="N32" i="215" s="1"/>
  <c r="N27" i="215"/>
  <c r="K27" i="215"/>
  <c r="O24" i="215"/>
  <c r="M24" i="215"/>
  <c r="Q23" i="215"/>
  <c r="J23" i="215"/>
  <c r="J24" i="215" s="1"/>
  <c r="I23" i="215"/>
  <c r="Q22" i="215"/>
  <c r="N22" i="215"/>
  <c r="I22" i="215"/>
  <c r="M21" i="215"/>
  <c r="L21" i="215"/>
  <c r="Q20" i="215"/>
  <c r="O20" i="215"/>
  <c r="N19" i="215"/>
  <c r="M19" i="215"/>
  <c r="M20" i="215" s="1"/>
  <c r="J19" i="215"/>
  <c r="G19" i="215"/>
  <c r="C19" i="215"/>
  <c r="O18" i="215"/>
  <c r="J18" i="215"/>
  <c r="Q17" i="215"/>
  <c r="O17" i="215"/>
  <c r="J17" i="215"/>
  <c r="M16" i="215"/>
  <c r="K15" i="215"/>
  <c r="P14" i="215"/>
  <c r="N14" i="215"/>
  <c r="K14" i="215"/>
  <c r="N13" i="215"/>
  <c r="K13" i="215"/>
  <c r="J13" i="215"/>
  <c r="J15" i="215" s="1"/>
  <c r="K12" i="215"/>
  <c r="M11" i="215"/>
  <c r="K11" i="215"/>
  <c r="I11" i="215"/>
  <c r="M10" i="215"/>
  <c r="J10" i="215"/>
  <c r="K8" i="215"/>
  <c r="N6" i="215"/>
  <c r="K5" i="215"/>
  <c r="N16" i="215" l="1"/>
  <c r="C22" i="215"/>
  <c r="N34" i="214"/>
  <c r="N31" i="214"/>
  <c r="N32" i="214" s="1"/>
  <c r="N27" i="214"/>
  <c r="K27" i="214"/>
  <c r="O24" i="214"/>
  <c r="M24" i="214"/>
  <c r="Q23" i="214"/>
  <c r="J23" i="214"/>
  <c r="J24" i="214" s="1"/>
  <c r="I23" i="214"/>
  <c r="Q22" i="214"/>
  <c r="N22" i="214"/>
  <c r="I22" i="214"/>
  <c r="M21" i="214"/>
  <c r="L21" i="214"/>
  <c r="Q20" i="214"/>
  <c r="O20" i="214"/>
  <c r="N19" i="214"/>
  <c r="M19" i="214"/>
  <c r="M20" i="214" s="1"/>
  <c r="J19" i="214"/>
  <c r="G19" i="214"/>
  <c r="C19" i="214"/>
  <c r="O18" i="214"/>
  <c r="J18" i="214"/>
  <c r="Q17" i="214"/>
  <c r="O17" i="214"/>
  <c r="J17" i="214"/>
  <c r="M16" i="214"/>
  <c r="K15" i="214"/>
  <c r="P14" i="214"/>
  <c r="N14" i="214"/>
  <c r="K14" i="214"/>
  <c r="N13" i="214"/>
  <c r="K13" i="214"/>
  <c r="J13" i="214"/>
  <c r="J15" i="214" s="1"/>
  <c r="K12" i="214"/>
  <c r="M11" i="214"/>
  <c r="K11" i="214"/>
  <c r="I11" i="214"/>
  <c r="M10" i="214"/>
  <c r="J10" i="214"/>
  <c r="K8" i="214"/>
  <c r="N6" i="214"/>
  <c r="K5" i="214"/>
  <c r="N16" i="214" l="1"/>
  <c r="C22" i="214"/>
  <c r="N34" i="213"/>
  <c r="N31" i="213"/>
  <c r="N32" i="213" s="1"/>
  <c r="N27" i="213"/>
  <c r="K27" i="213"/>
  <c r="O24" i="213"/>
  <c r="M24" i="213"/>
  <c r="Q23" i="213"/>
  <c r="J23" i="213"/>
  <c r="J24" i="213" s="1"/>
  <c r="I23" i="213"/>
  <c r="Q22" i="213"/>
  <c r="N22" i="213"/>
  <c r="I22" i="213"/>
  <c r="M21" i="213"/>
  <c r="L21" i="213"/>
  <c r="Q20" i="213"/>
  <c r="O20" i="213"/>
  <c r="N19" i="213"/>
  <c r="M19" i="213"/>
  <c r="M20" i="213" s="1"/>
  <c r="J19" i="213"/>
  <c r="G19" i="213"/>
  <c r="O18" i="213"/>
  <c r="J18" i="213"/>
  <c r="Q17" i="213"/>
  <c r="O17" i="213"/>
  <c r="J17" i="213"/>
  <c r="M16" i="213"/>
  <c r="K15" i="213"/>
  <c r="P14" i="213"/>
  <c r="N14" i="213"/>
  <c r="K14" i="213"/>
  <c r="N13" i="213"/>
  <c r="K13" i="213"/>
  <c r="J13" i="213"/>
  <c r="J15" i="213" s="1"/>
  <c r="K12" i="213"/>
  <c r="M11" i="213"/>
  <c r="K11" i="213"/>
  <c r="I11" i="213"/>
  <c r="M10" i="213"/>
  <c r="J10" i="213"/>
  <c r="K8" i="213"/>
  <c r="N6" i="213"/>
  <c r="K5" i="213"/>
  <c r="C19" i="213"/>
  <c r="N16" i="213" l="1"/>
  <c r="C22" i="213"/>
  <c r="J19" i="212"/>
  <c r="G16" i="212" l="1"/>
  <c r="C4" i="212" l="1"/>
  <c r="N34" i="212"/>
  <c r="N31" i="212"/>
  <c r="N32" i="212" s="1"/>
  <c r="N27" i="212"/>
  <c r="K27" i="212"/>
  <c r="O24" i="212"/>
  <c r="M24" i="212"/>
  <c r="Q23" i="212"/>
  <c r="J23" i="212"/>
  <c r="J24" i="212" s="1"/>
  <c r="I23" i="212"/>
  <c r="Q22" i="212"/>
  <c r="N22" i="212"/>
  <c r="I22" i="212"/>
  <c r="M21" i="212"/>
  <c r="L21" i="212"/>
  <c r="Q20" i="212"/>
  <c r="O20" i="212"/>
  <c r="N19" i="212"/>
  <c r="M19" i="212"/>
  <c r="M20" i="212" s="1"/>
  <c r="G19" i="212"/>
  <c r="C19" i="212"/>
  <c r="O18" i="212"/>
  <c r="J18" i="212"/>
  <c r="Q17" i="212"/>
  <c r="O17" i="212"/>
  <c r="J17" i="212"/>
  <c r="M16" i="212"/>
  <c r="K15" i="212"/>
  <c r="P14" i="212"/>
  <c r="N14" i="212"/>
  <c r="K14" i="212"/>
  <c r="N13" i="212"/>
  <c r="K13" i="212"/>
  <c r="J13" i="212"/>
  <c r="J15" i="212" s="1"/>
  <c r="K12" i="212"/>
  <c r="M11" i="212"/>
  <c r="K11" i="212"/>
  <c r="I11" i="212"/>
  <c r="M10" i="212"/>
  <c r="J10" i="212"/>
  <c r="K8" i="212"/>
  <c r="N6" i="212"/>
  <c r="K5" i="212"/>
  <c r="N16" i="212" l="1"/>
  <c r="C22" i="212"/>
  <c r="N34" i="211"/>
  <c r="N31" i="211"/>
  <c r="N32" i="211" s="1"/>
  <c r="N27" i="211"/>
  <c r="K27" i="211"/>
  <c r="O24" i="211"/>
  <c r="M24" i="211"/>
  <c r="Q23" i="211"/>
  <c r="J23" i="211"/>
  <c r="J24" i="211" s="1"/>
  <c r="I23" i="211"/>
  <c r="Q22" i="211"/>
  <c r="N22" i="211"/>
  <c r="I22" i="211"/>
  <c r="M21" i="211"/>
  <c r="L21" i="211"/>
  <c r="Q20" i="211"/>
  <c r="O20" i="211"/>
  <c r="N19" i="211"/>
  <c r="M19" i="211"/>
  <c r="M20" i="211" s="1"/>
  <c r="J19" i="211"/>
  <c r="G19" i="211"/>
  <c r="C19" i="211"/>
  <c r="O18" i="211"/>
  <c r="J18" i="211"/>
  <c r="Q17" i="211"/>
  <c r="O17" i="211"/>
  <c r="J17" i="211"/>
  <c r="M16" i="211"/>
  <c r="K15" i="211"/>
  <c r="P14" i="211"/>
  <c r="N14" i="211"/>
  <c r="K14" i="211"/>
  <c r="N13" i="211"/>
  <c r="K13" i="211"/>
  <c r="J13" i="211"/>
  <c r="J15" i="211" s="1"/>
  <c r="K12" i="211"/>
  <c r="M11" i="211"/>
  <c r="K11" i="211"/>
  <c r="I11" i="211"/>
  <c r="M10" i="211"/>
  <c r="J10" i="211"/>
  <c r="K8" i="211"/>
  <c r="N6" i="211"/>
  <c r="K5" i="211"/>
  <c r="N16" i="211" l="1"/>
  <c r="C22" i="211"/>
  <c r="N34" i="210"/>
  <c r="N31" i="210"/>
  <c r="N32" i="210" s="1"/>
  <c r="N27" i="210"/>
  <c r="K27" i="210"/>
  <c r="O24" i="210"/>
  <c r="M24" i="210"/>
  <c r="Q23" i="210"/>
  <c r="J23" i="210"/>
  <c r="J24" i="210" s="1"/>
  <c r="I23" i="210"/>
  <c r="Q22" i="210"/>
  <c r="N22" i="210"/>
  <c r="I22" i="210"/>
  <c r="M21" i="210"/>
  <c r="L21" i="210"/>
  <c r="Q20" i="210"/>
  <c r="O20" i="210"/>
  <c r="N19" i="210"/>
  <c r="M19" i="210"/>
  <c r="M20" i="210" s="1"/>
  <c r="J19" i="210"/>
  <c r="G19" i="210"/>
  <c r="C19" i="210"/>
  <c r="O18" i="210"/>
  <c r="J18" i="210"/>
  <c r="Q17" i="210"/>
  <c r="O17" i="210"/>
  <c r="J17" i="210"/>
  <c r="M16" i="210"/>
  <c r="K15" i="210"/>
  <c r="P14" i="210"/>
  <c r="N14" i="210"/>
  <c r="K14" i="210"/>
  <c r="N13" i="210"/>
  <c r="K13" i="210"/>
  <c r="J13" i="210"/>
  <c r="J15" i="210" s="1"/>
  <c r="K12" i="210"/>
  <c r="M11" i="210"/>
  <c r="K11" i="210"/>
  <c r="I11" i="210"/>
  <c r="M10" i="210"/>
  <c r="J10" i="210"/>
  <c r="K8" i="210"/>
  <c r="N6" i="210"/>
  <c r="K5" i="210"/>
  <c r="N16" i="210" l="1"/>
  <c r="C22" i="210"/>
  <c r="N34" i="209"/>
  <c r="N31" i="209"/>
  <c r="N32" i="209" s="1"/>
  <c r="N27" i="209"/>
  <c r="K27" i="209"/>
  <c r="O24" i="209"/>
  <c r="M24" i="209"/>
  <c r="Q23" i="209"/>
  <c r="J23" i="209"/>
  <c r="J24" i="209" s="1"/>
  <c r="I23" i="209"/>
  <c r="Q22" i="209"/>
  <c r="N22" i="209"/>
  <c r="I22" i="209"/>
  <c r="M21" i="209"/>
  <c r="L21" i="209"/>
  <c r="Q20" i="209"/>
  <c r="O20" i="209"/>
  <c r="N19" i="209"/>
  <c r="M19" i="209"/>
  <c r="M20" i="209" s="1"/>
  <c r="J19" i="209"/>
  <c r="G19" i="209"/>
  <c r="C19" i="209"/>
  <c r="O18" i="209"/>
  <c r="J18" i="209"/>
  <c r="Q17" i="209"/>
  <c r="O17" i="209"/>
  <c r="J17" i="209"/>
  <c r="M16" i="209"/>
  <c r="K15" i="209"/>
  <c r="P14" i="209"/>
  <c r="N14" i="209"/>
  <c r="K14" i="209"/>
  <c r="N13" i="209"/>
  <c r="K13" i="209"/>
  <c r="J13" i="209"/>
  <c r="J15" i="209" s="1"/>
  <c r="K12" i="209"/>
  <c r="M11" i="209"/>
  <c r="K11" i="209"/>
  <c r="I11" i="209"/>
  <c r="M10" i="209"/>
  <c r="J10" i="209"/>
  <c r="K8" i="209"/>
  <c r="N6" i="209"/>
  <c r="K5" i="209"/>
  <c r="N16" i="209" l="1"/>
  <c r="C22" i="209"/>
  <c r="N34" i="208"/>
  <c r="N31" i="208"/>
  <c r="N32" i="208" s="1"/>
  <c r="N27" i="208"/>
  <c r="K27" i="208"/>
  <c r="O24" i="208"/>
  <c r="M24" i="208"/>
  <c r="Q23" i="208"/>
  <c r="J23" i="208"/>
  <c r="J24" i="208" s="1"/>
  <c r="I23" i="208"/>
  <c r="Q22" i="208"/>
  <c r="N22" i="208"/>
  <c r="I22" i="208"/>
  <c r="M21" i="208"/>
  <c r="L21" i="208"/>
  <c r="Q20" i="208"/>
  <c r="O20" i="208"/>
  <c r="N19" i="208"/>
  <c r="M19" i="208"/>
  <c r="M20" i="208" s="1"/>
  <c r="J19" i="208"/>
  <c r="G19" i="208"/>
  <c r="C19" i="208"/>
  <c r="O18" i="208"/>
  <c r="J18" i="208"/>
  <c r="Q17" i="208"/>
  <c r="O17" i="208"/>
  <c r="J17" i="208"/>
  <c r="M16" i="208"/>
  <c r="K15" i="208"/>
  <c r="P14" i="208"/>
  <c r="N14" i="208"/>
  <c r="K14" i="208"/>
  <c r="N13" i="208"/>
  <c r="K13" i="208"/>
  <c r="J13" i="208"/>
  <c r="J15" i="208" s="1"/>
  <c r="K12" i="208"/>
  <c r="M11" i="208"/>
  <c r="K11" i="208"/>
  <c r="I11" i="208"/>
  <c r="M10" i="208"/>
  <c r="J10" i="208"/>
  <c r="K8" i="208"/>
  <c r="N6" i="208"/>
  <c r="K5" i="208"/>
  <c r="N16" i="208" l="1"/>
  <c r="C22" i="208"/>
  <c r="N34" i="207"/>
  <c r="N31" i="207"/>
  <c r="N32" i="207" s="1"/>
  <c r="N27" i="207"/>
  <c r="K27" i="207"/>
  <c r="O24" i="207"/>
  <c r="M24" i="207"/>
  <c r="Q23" i="207"/>
  <c r="J23" i="207"/>
  <c r="J24" i="207" s="1"/>
  <c r="I23" i="207"/>
  <c r="Q22" i="207"/>
  <c r="N22" i="207"/>
  <c r="I22" i="207"/>
  <c r="M21" i="207"/>
  <c r="L21" i="207"/>
  <c r="Q20" i="207"/>
  <c r="O20" i="207"/>
  <c r="N19" i="207"/>
  <c r="M19" i="207"/>
  <c r="M20" i="207" s="1"/>
  <c r="J19" i="207"/>
  <c r="G19" i="207"/>
  <c r="C19" i="207"/>
  <c r="O18" i="207"/>
  <c r="J18" i="207"/>
  <c r="Q17" i="207"/>
  <c r="O17" i="207"/>
  <c r="J17" i="207"/>
  <c r="M16" i="207"/>
  <c r="K15" i="207"/>
  <c r="P14" i="207"/>
  <c r="N14" i="207"/>
  <c r="K14" i="207"/>
  <c r="N13" i="207"/>
  <c r="K13" i="207"/>
  <c r="J13" i="207"/>
  <c r="J15" i="207" s="1"/>
  <c r="K12" i="207"/>
  <c r="M11" i="207"/>
  <c r="K11" i="207"/>
  <c r="I11" i="207"/>
  <c r="M10" i="207"/>
  <c r="J10" i="207"/>
  <c r="K8" i="207"/>
  <c r="N6" i="207"/>
  <c r="K5" i="207"/>
  <c r="N16" i="207" l="1"/>
  <c r="C22" i="207"/>
  <c r="N34" i="206"/>
  <c r="N31" i="206"/>
  <c r="N32" i="206" s="1"/>
  <c r="N27" i="206"/>
  <c r="K27" i="206"/>
  <c r="O24" i="206"/>
  <c r="M24" i="206"/>
  <c r="Q23" i="206"/>
  <c r="J23" i="206"/>
  <c r="J24" i="206" s="1"/>
  <c r="I23" i="206"/>
  <c r="Q22" i="206"/>
  <c r="N22" i="206"/>
  <c r="I22" i="206"/>
  <c r="M21" i="206"/>
  <c r="L21" i="206"/>
  <c r="Q20" i="206"/>
  <c r="O20" i="206"/>
  <c r="N19" i="206"/>
  <c r="M19" i="206"/>
  <c r="M20" i="206" s="1"/>
  <c r="J19" i="206"/>
  <c r="G19" i="206"/>
  <c r="C19" i="206"/>
  <c r="O18" i="206"/>
  <c r="J18" i="206"/>
  <c r="Q17" i="206"/>
  <c r="O17" i="206"/>
  <c r="J17" i="206"/>
  <c r="M16" i="206"/>
  <c r="K15" i="206"/>
  <c r="P14" i="206"/>
  <c r="N14" i="206"/>
  <c r="K14" i="206"/>
  <c r="N13" i="206"/>
  <c r="K13" i="206"/>
  <c r="J13" i="206"/>
  <c r="J15" i="206" s="1"/>
  <c r="K12" i="206"/>
  <c r="M11" i="206"/>
  <c r="K11" i="206"/>
  <c r="I11" i="206"/>
  <c r="M10" i="206"/>
  <c r="J10" i="206"/>
  <c r="K8" i="206"/>
  <c r="N6" i="206"/>
  <c r="K5" i="206"/>
  <c r="N16" i="206" l="1"/>
  <c r="C22" i="206"/>
  <c r="N34" i="205"/>
  <c r="N31" i="205"/>
  <c r="N32" i="205" s="1"/>
  <c r="N27" i="205"/>
  <c r="K27" i="205"/>
  <c r="O24" i="205"/>
  <c r="M24" i="205"/>
  <c r="Q23" i="205"/>
  <c r="J23" i="205"/>
  <c r="J24" i="205" s="1"/>
  <c r="I23" i="205"/>
  <c r="Q22" i="205"/>
  <c r="N22" i="205"/>
  <c r="I22" i="205"/>
  <c r="M21" i="205"/>
  <c r="L21" i="205"/>
  <c r="Q20" i="205"/>
  <c r="O20" i="205"/>
  <c r="N19" i="205"/>
  <c r="M19" i="205"/>
  <c r="M20" i="205" s="1"/>
  <c r="J19" i="205"/>
  <c r="G19" i="205"/>
  <c r="C19" i="205"/>
  <c r="O18" i="205"/>
  <c r="J18" i="205"/>
  <c r="Q17" i="205"/>
  <c r="O17" i="205"/>
  <c r="J17" i="205"/>
  <c r="M16" i="205"/>
  <c r="K15" i="205"/>
  <c r="P14" i="205"/>
  <c r="N14" i="205"/>
  <c r="K14" i="205"/>
  <c r="N13" i="205"/>
  <c r="K13" i="205"/>
  <c r="J13" i="205"/>
  <c r="J15" i="205" s="1"/>
  <c r="K12" i="205"/>
  <c r="M11" i="205"/>
  <c r="K11" i="205"/>
  <c r="I11" i="205"/>
  <c r="M10" i="205"/>
  <c r="J10" i="205"/>
  <c r="K8" i="205"/>
  <c r="N6" i="205"/>
  <c r="K5" i="205"/>
  <c r="N16" i="205" l="1"/>
  <c r="C22" i="205"/>
  <c r="N34" i="204"/>
  <c r="N31" i="204"/>
  <c r="N32" i="204" s="1"/>
  <c r="N27" i="204"/>
  <c r="K27" i="204"/>
  <c r="O24" i="204"/>
  <c r="M24" i="204"/>
  <c r="Q23" i="204"/>
  <c r="J23" i="204"/>
  <c r="J24" i="204" s="1"/>
  <c r="I23" i="204"/>
  <c r="Q22" i="204"/>
  <c r="N22" i="204"/>
  <c r="I22" i="204"/>
  <c r="M21" i="204"/>
  <c r="L21" i="204"/>
  <c r="Q20" i="204"/>
  <c r="O20" i="204"/>
  <c r="N19" i="204"/>
  <c r="M19" i="204"/>
  <c r="M20" i="204" s="1"/>
  <c r="J19" i="204"/>
  <c r="G19" i="204"/>
  <c r="C19" i="204"/>
  <c r="O18" i="204"/>
  <c r="J18" i="204"/>
  <c r="Q17" i="204"/>
  <c r="O17" i="204"/>
  <c r="J17" i="204"/>
  <c r="M16" i="204"/>
  <c r="K15" i="204"/>
  <c r="P14" i="204"/>
  <c r="N14" i="204"/>
  <c r="K14" i="204"/>
  <c r="N13" i="204"/>
  <c r="K13" i="204"/>
  <c r="J13" i="204"/>
  <c r="J15" i="204" s="1"/>
  <c r="K12" i="204"/>
  <c r="M11" i="204"/>
  <c r="K11" i="204"/>
  <c r="I11" i="204"/>
  <c r="M10" i="204"/>
  <c r="J10" i="204"/>
  <c r="K8" i="204"/>
  <c r="N6" i="204"/>
  <c r="K5" i="204"/>
  <c r="N16" i="204" l="1"/>
  <c r="C22" i="204"/>
  <c r="N34" i="203"/>
  <c r="N31" i="203"/>
  <c r="N32" i="203" s="1"/>
  <c r="N27" i="203"/>
  <c r="K27" i="203"/>
  <c r="O24" i="203"/>
  <c r="M24" i="203"/>
  <c r="Q23" i="203"/>
  <c r="J23" i="203"/>
  <c r="J24" i="203" s="1"/>
  <c r="I23" i="203"/>
  <c r="Q22" i="203"/>
  <c r="N22" i="203"/>
  <c r="I22" i="203"/>
  <c r="M21" i="203"/>
  <c r="L21" i="203"/>
  <c r="Q20" i="203"/>
  <c r="O20" i="203"/>
  <c r="N19" i="203"/>
  <c r="M19" i="203"/>
  <c r="M20" i="203" s="1"/>
  <c r="J19" i="203"/>
  <c r="G19" i="203"/>
  <c r="C19" i="203"/>
  <c r="O18" i="203"/>
  <c r="J18" i="203"/>
  <c r="Q17" i="203"/>
  <c r="O17" i="203"/>
  <c r="J17" i="203"/>
  <c r="M16" i="203"/>
  <c r="K15" i="203"/>
  <c r="P14" i="203"/>
  <c r="N14" i="203"/>
  <c r="K14" i="203"/>
  <c r="N13" i="203"/>
  <c r="K13" i="203"/>
  <c r="J13" i="203"/>
  <c r="J15" i="203" s="1"/>
  <c r="K12" i="203"/>
  <c r="M11" i="203"/>
  <c r="K11" i="203"/>
  <c r="I11" i="203"/>
  <c r="M10" i="203"/>
  <c r="J10" i="203"/>
  <c r="K8" i="203"/>
  <c r="N6" i="203"/>
  <c r="K5" i="203"/>
  <c r="N16" i="203" l="1"/>
  <c r="C22" i="203"/>
  <c r="G15" i="202"/>
  <c r="N34" i="202" l="1"/>
  <c r="N31" i="202"/>
  <c r="N32" i="202" s="1"/>
  <c r="N27" i="202"/>
  <c r="K27" i="202"/>
  <c r="O24" i="202"/>
  <c r="M24" i="202"/>
  <c r="Q23" i="202"/>
  <c r="J23" i="202"/>
  <c r="J24" i="202" s="1"/>
  <c r="I23" i="202"/>
  <c r="Q22" i="202"/>
  <c r="N22" i="202"/>
  <c r="I22" i="202"/>
  <c r="M21" i="202"/>
  <c r="L21" i="202"/>
  <c r="Q20" i="202"/>
  <c r="O20" i="202"/>
  <c r="N19" i="202"/>
  <c r="M19" i="202"/>
  <c r="M20" i="202" s="1"/>
  <c r="J19" i="202"/>
  <c r="G19" i="202"/>
  <c r="C19" i="202"/>
  <c r="O18" i="202"/>
  <c r="J18" i="202"/>
  <c r="Q17" i="202"/>
  <c r="O17" i="202"/>
  <c r="J17" i="202"/>
  <c r="M16" i="202"/>
  <c r="K15" i="202"/>
  <c r="P14" i="202"/>
  <c r="N14" i="202"/>
  <c r="K14" i="202"/>
  <c r="N13" i="202"/>
  <c r="K13" i="202"/>
  <c r="J13" i="202"/>
  <c r="J15" i="202" s="1"/>
  <c r="K12" i="202"/>
  <c r="M11" i="202"/>
  <c r="K11" i="202"/>
  <c r="I11" i="202"/>
  <c r="M10" i="202"/>
  <c r="J10" i="202"/>
  <c r="K8" i="202"/>
  <c r="N6" i="202"/>
  <c r="K5" i="202"/>
  <c r="N16" i="202" l="1"/>
  <c r="C22" i="202"/>
  <c r="G19" i="201"/>
  <c r="N34" i="201"/>
  <c r="N31" i="201"/>
  <c r="N32" i="201" s="1"/>
  <c r="N27" i="201"/>
  <c r="K27" i="201"/>
  <c r="O24" i="201"/>
  <c r="M24" i="201"/>
  <c r="Q23" i="201"/>
  <c r="J23" i="201"/>
  <c r="J24" i="201" s="1"/>
  <c r="I23" i="201"/>
  <c r="Q22" i="201"/>
  <c r="N22" i="201"/>
  <c r="I22" i="201"/>
  <c r="M21" i="201"/>
  <c r="L21" i="201"/>
  <c r="Q20" i="201"/>
  <c r="O20" i="201"/>
  <c r="N19" i="201"/>
  <c r="M19" i="201"/>
  <c r="M20" i="201" s="1"/>
  <c r="J19" i="201"/>
  <c r="C19" i="201"/>
  <c r="O18" i="201"/>
  <c r="J18" i="201"/>
  <c r="Q17" i="201"/>
  <c r="O17" i="201"/>
  <c r="J17" i="201"/>
  <c r="M16" i="201"/>
  <c r="K15" i="201"/>
  <c r="P14" i="201"/>
  <c r="N14" i="201"/>
  <c r="K14" i="201"/>
  <c r="N13" i="201"/>
  <c r="K13" i="201"/>
  <c r="J13" i="201"/>
  <c r="J15" i="201" s="1"/>
  <c r="K12" i="201"/>
  <c r="M11" i="201"/>
  <c r="K11" i="201"/>
  <c r="I11" i="201"/>
  <c r="M10" i="201"/>
  <c r="J10" i="201"/>
  <c r="K8" i="201"/>
  <c r="N6" i="201"/>
  <c r="K5" i="201"/>
  <c r="N16" i="201" l="1"/>
  <c r="C22" i="201"/>
  <c r="N34" i="200"/>
  <c r="N31" i="200"/>
  <c r="N32" i="200" s="1"/>
  <c r="N27" i="200"/>
  <c r="K27" i="200"/>
  <c r="O24" i="200"/>
  <c r="M24" i="200"/>
  <c r="Q23" i="200"/>
  <c r="J23" i="200"/>
  <c r="J24" i="200" s="1"/>
  <c r="I23" i="200"/>
  <c r="Q22" i="200"/>
  <c r="N22" i="200"/>
  <c r="I22" i="200"/>
  <c r="M21" i="200"/>
  <c r="L21" i="200"/>
  <c r="Q20" i="200"/>
  <c r="O20" i="200"/>
  <c r="N19" i="200"/>
  <c r="M19" i="200"/>
  <c r="M20" i="200" s="1"/>
  <c r="J19" i="200"/>
  <c r="G19" i="200"/>
  <c r="C19" i="200"/>
  <c r="O18" i="200"/>
  <c r="J18" i="200"/>
  <c r="Q17" i="200"/>
  <c r="O17" i="200"/>
  <c r="J17" i="200"/>
  <c r="M16" i="200"/>
  <c r="K15" i="200"/>
  <c r="P14" i="200"/>
  <c r="N14" i="200"/>
  <c r="K14" i="200"/>
  <c r="N13" i="200"/>
  <c r="K13" i="200"/>
  <c r="J13" i="200"/>
  <c r="J15" i="200" s="1"/>
  <c r="K12" i="200"/>
  <c r="M11" i="200"/>
  <c r="K11" i="200"/>
  <c r="I11" i="200"/>
  <c r="M10" i="200"/>
  <c r="J10" i="200"/>
  <c r="K8" i="200"/>
  <c r="N6" i="200"/>
  <c r="K5" i="200"/>
  <c r="N16" i="200" l="1"/>
  <c r="C22" i="200"/>
  <c r="N34" i="199"/>
  <c r="N31" i="199"/>
  <c r="N32" i="199" s="1"/>
  <c r="N27" i="199"/>
  <c r="K27" i="199"/>
  <c r="O24" i="199"/>
  <c r="M24" i="199"/>
  <c r="Q23" i="199"/>
  <c r="J23" i="199"/>
  <c r="J24" i="199" s="1"/>
  <c r="I23" i="199"/>
  <c r="Q22" i="199"/>
  <c r="N22" i="199"/>
  <c r="I22" i="199"/>
  <c r="M21" i="199"/>
  <c r="L21" i="199"/>
  <c r="Q20" i="199"/>
  <c r="O20" i="199"/>
  <c r="N19" i="199"/>
  <c r="M19" i="199"/>
  <c r="M20" i="199" s="1"/>
  <c r="J19" i="199"/>
  <c r="G19" i="199"/>
  <c r="O18" i="199"/>
  <c r="J18" i="199"/>
  <c r="Q17" i="199"/>
  <c r="O17" i="199"/>
  <c r="J17" i="199"/>
  <c r="M16" i="199"/>
  <c r="K15" i="199"/>
  <c r="P14" i="199"/>
  <c r="N14" i="199"/>
  <c r="K14" i="199"/>
  <c r="N13" i="199"/>
  <c r="K13" i="199"/>
  <c r="J13" i="199"/>
  <c r="J15" i="199" s="1"/>
  <c r="K12" i="199"/>
  <c r="M11" i="199"/>
  <c r="K11" i="199"/>
  <c r="I11" i="199"/>
  <c r="M10" i="199"/>
  <c r="J10" i="199"/>
  <c r="K8" i="199"/>
  <c r="N6" i="199"/>
  <c r="K5" i="199"/>
  <c r="C19" i="199"/>
  <c r="N16" i="199" l="1"/>
  <c r="C22" i="199"/>
  <c r="J19" i="198"/>
  <c r="J18" i="198"/>
  <c r="J17" i="198" l="1"/>
  <c r="C4" i="198"/>
  <c r="C19" i="198" s="1"/>
  <c r="N34" i="198"/>
  <c r="N31" i="198"/>
  <c r="N32" i="198" s="1"/>
  <c r="N27" i="198"/>
  <c r="K27" i="198"/>
  <c r="O24" i="198"/>
  <c r="M24" i="198"/>
  <c r="Q23" i="198"/>
  <c r="J23" i="198"/>
  <c r="J24" i="198" s="1"/>
  <c r="I23" i="198"/>
  <c r="Q22" i="198"/>
  <c r="N22" i="198"/>
  <c r="I22" i="198"/>
  <c r="M21" i="198"/>
  <c r="L21" i="198"/>
  <c r="Q20" i="198"/>
  <c r="O20" i="198"/>
  <c r="N19" i="198"/>
  <c r="M19" i="198"/>
  <c r="M20" i="198" s="1"/>
  <c r="G19" i="198"/>
  <c r="O18" i="198"/>
  <c r="Q17" i="198"/>
  <c r="O17" i="198"/>
  <c r="M16" i="198"/>
  <c r="K15" i="198"/>
  <c r="P14" i="198"/>
  <c r="N14" i="198"/>
  <c r="K14" i="198"/>
  <c r="N13" i="198"/>
  <c r="K13" i="198"/>
  <c r="J13" i="198"/>
  <c r="J15" i="198" s="1"/>
  <c r="K12" i="198"/>
  <c r="M11" i="198"/>
  <c r="K11" i="198"/>
  <c r="I11" i="198"/>
  <c r="M10" i="198"/>
  <c r="J10" i="198"/>
  <c r="K8" i="198"/>
  <c r="N6" i="198"/>
  <c r="K5" i="198"/>
  <c r="C19" i="197"/>
  <c r="G19" i="197"/>
  <c r="N34" i="197"/>
  <c r="N31" i="197"/>
  <c r="N32" i="197" s="1"/>
  <c r="N27" i="197"/>
  <c r="K27" i="197"/>
  <c r="O24" i="197"/>
  <c r="M24" i="197"/>
  <c r="Q23" i="197"/>
  <c r="J23" i="197"/>
  <c r="J24" i="197" s="1"/>
  <c r="I23" i="197"/>
  <c r="Q22" i="197"/>
  <c r="N22" i="197"/>
  <c r="I22" i="197"/>
  <c r="M21" i="197"/>
  <c r="L21" i="197"/>
  <c r="Q20" i="197"/>
  <c r="O20" i="197"/>
  <c r="J20" i="197"/>
  <c r="N19" i="197"/>
  <c r="M19" i="197"/>
  <c r="M20" i="197" s="1"/>
  <c r="J19" i="197"/>
  <c r="O18" i="197"/>
  <c r="J18" i="197"/>
  <c r="Q17" i="197"/>
  <c r="O17" i="197"/>
  <c r="J17" i="197"/>
  <c r="M16" i="197"/>
  <c r="K15" i="197"/>
  <c r="P14" i="197"/>
  <c r="N14" i="197"/>
  <c r="K14" i="197"/>
  <c r="N13" i="197"/>
  <c r="K13" i="197"/>
  <c r="J13" i="197"/>
  <c r="J15" i="197" s="1"/>
  <c r="K12" i="197"/>
  <c r="M11" i="197"/>
  <c r="K11" i="197"/>
  <c r="I11" i="197"/>
  <c r="M10" i="197"/>
  <c r="J10" i="197"/>
  <c r="K8" i="197"/>
  <c r="N6" i="197"/>
  <c r="K5" i="197"/>
  <c r="N16" i="198" l="1"/>
  <c r="N16" i="197"/>
  <c r="C22" i="198"/>
  <c r="C22" i="197"/>
  <c r="N34" i="196"/>
  <c r="N31" i="196"/>
  <c r="N32" i="196" s="1"/>
  <c r="N27" i="196"/>
  <c r="K27" i="196"/>
  <c r="O24" i="196"/>
  <c r="M24" i="196"/>
  <c r="Q23" i="196"/>
  <c r="J23" i="196"/>
  <c r="J24" i="196" s="1"/>
  <c r="I23" i="196"/>
  <c r="Q22" i="196"/>
  <c r="N22" i="196"/>
  <c r="I22" i="196"/>
  <c r="M21" i="196"/>
  <c r="L21" i="196"/>
  <c r="Q20" i="196"/>
  <c r="O20" i="196"/>
  <c r="J20" i="196"/>
  <c r="N19" i="196"/>
  <c r="M19" i="196"/>
  <c r="M20" i="196" s="1"/>
  <c r="J19" i="196"/>
  <c r="G19" i="196"/>
  <c r="C19" i="196"/>
  <c r="O18" i="196"/>
  <c r="J18" i="196"/>
  <c r="Q17" i="196"/>
  <c r="O17" i="196"/>
  <c r="J17" i="196"/>
  <c r="M16" i="196"/>
  <c r="K15" i="196"/>
  <c r="P14" i="196"/>
  <c r="N14" i="196"/>
  <c r="K14" i="196"/>
  <c r="N13" i="196"/>
  <c r="K13" i="196"/>
  <c r="J13" i="196"/>
  <c r="J15" i="196" s="1"/>
  <c r="K12" i="196"/>
  <c r="M11" i="196"/>
  <c r="K11" i="196"/>
  <c r="I11" i="196"/>
  <c r="M10" i="196"/>
  <c r="J10" i="196"/>
  <c r="K8" i="196"/>
  <c r="N6" i="196"/>
  <c r="K5" i="196"/>
  <c r="N16" i="196" l="1"/>
  <c r="C22" i="196"/>
  <c r="N34" i="195"/>
  <c r="N31" i="195"/>
  <c r="N32" i="195" s="1"/>
  <c r="N27" i="195"/>
  <c r="K27" i="195"/>
  <c r="O24" i="195"/>
  <c r="M24" i="195"/>
  <c r="Q23" i="195"/>
  <c r="J23" i="195"/>
  <c r="J24" i="195" s="1"/>
  <c r="I23" i="195"/>
  <c r="Q22" i="195"/>
  <c r="N22" i="195"/>
  <c r="I22" i="195"/>
  <c r="M21" i="195"/>
  <c r="L21" i="195"/>
  <c r="Q20" i="195"/>
  <c r="O20" i="195"/>
  <c r="J20" i="195"/>
  <c r="N19" i="195"/>
  <c r="M19" i="195"/>
  <c r="M20" i="195" s="1"/>
  <c r="J19" i="195"/>
  <c r="G19" i="195"/>
  <c r="C19" i="195"/>
  <c r="O18" i="195"/>
  <c r="J18" i="195"/>
  <c r="Q17" i="195"/>
  <c r="O17" i="195"/>
  <c r="J17" i="195"/>
  <c r="M16" i="195"/>
  <c r="K15" i="195"/>
  <c r="P14" i="195"/>
  <c r="N14" i="195"/>
  <c r="K14" i="195"/>
  <c r="N13" i="195"/>
  <c r="K13" i="195"/>
  <c r="J13" i="195"/>
  <c r="J15" i="195" s="1"/>
  <c r="K12" i="195"/>
  <c r="M11" i="195"/>
  <c r="K11" i="195"/>
  <c r="I11" i="195"/>
  <c r="M10" i="195"/>
  <c r="J10" i="195"/>
  <c r="K8" i="195"/>
  <c r="N6" i="195"/>
  <c r="K5" i="195"/>
  <c r="N16" i="195" l="1"/>
  <c r="C22" i="195"/>
  <c r="N34" i="194"/>
  <c r="N31" i="194"/>
  <c r="N32" i="194" s="1"/>
  <c r="N27" i="194"/>
  <c r="K27" i="194"/>
  <c r="O24" i="194"/>
  <c r="M24" i="194"/>
  <c r="Q23" i="194"/>
  <c r="J23" i="194"/>
  <c r="J24" i="194" s="1"/>
  <c r="I23" i="194"/>
  <c r="Q22" i="194"/>
  <c r="N22" i="194"/>
  <c r="I22" i="194"/>
  <c r="M21" i="194"/>
  <c r="L21" i="194"/>
  <c r="Q20" i="194"/>
  <c r="O20" i="194"/>
  <c r="J20" i="194"/>
  <c r="N19" i="194"/>
  <c r="M19" i="194"/>
  <c r="M20" i="194" s="1"/>
  <c r="J19" i="194"/>
  <c r="G19" i="194"/>
  <c r="C19" i="194"/>
  <c r="O18" i="194"/>
  <c r="J18" i="194"/>
  <c r="Q17" i="194"/>
  <c r="O17" i="194"/>
  <c r="J17" i="194"/>
  <c r="M16" i="194"/>
  <c r="K15" i="194"/>
  <c r="P14" i="194"/>
  <c r="N14" i="194"/>
  <c r="K14" i="194"/>
  <c r="N13" i="194"/>
  <c r="K13" i="194"/>
  <c r="J13" i="194"/>
  <c r="J15" i="194" s="1"/>
  <c r="K12" i="194"/>
  <c r="M11" i="194"/>
  <c r="K11" i="194"/>
  <c r="I11" i="194"/>
  <c r="M10" i="194"/>
  <c r="J10" i="194"/>
  <c r="K8" i="194"/>
  <c r="N6" i="194"/>
  <c r="K5" i="194"/>
  <c r="N16" i="194" l="1"/>
  <c r="C22" i="194"/>
  <c r="N34" i="193"/>
  <c r="N31" i="193"/>
  <c r="N32" i="193" s="1"/>
  <c r="N27" i="193"/>
  <c r="K27" i="193"/>
  <c r="O24" i="193"/>
  <c r="M24" i="193"/>
  <c r="Q23" i="193"/>
  <c r="J23" i="193"/>
  <c r="J24" i="193" s="1"/>
  <c r="I23" i="193"/>
  <c r="Q22" i="193"/>
  <c r="N22" i="193"/>
  <c r="I22" i="193"/>
  <c r="M21" i="193"/>
  <c r="L21" i="193"/>
  <c r="Q20" i="193"/>
  <c r="O20" i="193"/>
  <c r="J20" i="193"/>
  <c r="N19" i="193"/>
  <c r="M19" i="193"/>
  <c r="M20" i="193" s="1"/>
  <c r="J19" i="193"/>
  <c r="G19" i="193"/>
  <c r="C19" i="193"/>
  <c r="O18" i="193"/>
  <c r="J18" i="193"/>
  <c r="Q17" i="193"/>
  <c r="O17" i="193"/>
  <c r="J17" i="193"/>
  <c r="M16" i="193"/>
  <c r="K15" i="193"/>
  <c r="P14" i="193"/>
  <c r="N14" i="193"/>
  <c r="K14" i="193"/>
  <c r="N13" i="193"/>
  <c r="K13" i="193"/>
  <c r="J13" i="193"/>
  <c r="J15" i="193" s="1"/>
  <c r="K12" i="193"/>
  <c r="M11" i="193"/>
  <c r="K11" i="193"/>
  <c r="I11" i="193"/>
  <c r="M10" i="193"/>
  <c r="J10" i="193"/>
  <c r="K8" i="193"/>
  <c r="N6" i="193"/>
  <c r="K5" i="193"/>
  <c r="N16" i="193" l="1"/>
  <c r="C22" i="193"/>
  <c r="N34" i="192"/>
  <c r="N31" i="192"/>
  <c r="N32" i="192" s="1"/>
  <c r="N27" i="192"/>
  <c r="K27" i="192"/>
  <c r="O24" i="192"/>
  <c r="M24" i="192"/>
  <c r="Q23" i="192"/>
  <c r="J23" i="192"/>
  <c r="J24" i="192" s="1"/>
  <c r="I23" i="192"/>
  <c r="Q22" i="192"/>
  <c r="N22" i="192"/>
  <c r="I22" i="192"/>
  <c r="M21" i="192"/>
  <c r="L21" i="192"/>
  <c r="Q20" i="192"/>
  <c r="O20" i="192"/>
  <c r="J20" i="192"/>
  <c r="N19" i="192"/>
  <c r="M19" i="192"/>
  <c r="M20" i="192" s="1"/>
  <c r="J19" i="192"/>
  <c r="G19" i="192"/>
  <c r="C19" i="192"/>
  <c r="O18" i="192"/>
  <c r="J18" i="192"/>
  <c r="Q17" i="192"/>
  <c r="O17" i="192"/>
  <c r="J17" i="192"/>
  <c r="M16" i="192"/>
  <c r="K15" i="192"/>
  <c r="P14" i="192"/>
  <c r="N14" i="192"/>
  <c r="K14" i="192"/>
  <c r="N13" i="192"/>
  <c r="K13" i="192"/>
  <c r="J13" i="192"/>
  <c r="J15" i="192" s="1"/>
  <c r="K12" i="192"/>
  <c r="M11" i="192"/>
  <c r="K11" i="192"/>
  <c r="I11" i="192"/>
  <c r="M10" i="192"/>
  <c r="J10" i="192"/>
  <c r="K8" i="192"/>
  <c r="N6" i="192"/>
  <c r="K5" i="192"/>
  <c r="N16" i="192" l="1"/>
  <c r="C22" i="192"/>
  <c r="N34" i="191"/>
  <c r="N31" i="191"/>
  <c r="N32" i="191" s="1"/>
  <c r="N27" i="191"/>
  <c r="K27" i="191"/>
  <c r="O24" i="191"/>
  <c r="M24" i="191"/>
  <c r="Q23" i="191"/>
  <c r="J23" i="191"/>
  <c r="J24" i="191" s="1"/>
  <c r="I23" i="191"/>
  <c r="Q22" i="191"/>
  <c r="N22" i="191"/>
  <c r="I22" i="191"/>
  <c r="M21" i="191"/>
  <c r="L21" i="191"/>
  <c r="Q20" i="191"/>
  <c r="O20" i="191"/>
  <c r="J20" i="191"/>
  <c r="N19" i="191"/>
  <c r="M19" i="191"/>
  <c r="M20" i="191" s="1"/>
  <c r="J19" i="191"/>
  <c r="G19" i="191"/>
  <c r="C19" i="191"/>
  <c r="O18" i="191"/>
  <c r="J18" i="191"/>
  <c r="Q17" i="191"/>
  <c r="O17" i="191"/>
  <c r="J17" i="191"/>
  <c r="M16" i="191"/>
  <c r="K15" i="191"/>
  <c r="P14" i="191"/>
  <c r="N14" i="191"/>
  <c r="K14" i="191"/>
  <c r="N13" i="191"/>
  <c r="K13" i="191"/>
  <c r="J13" i="191"/>
  <c r="J15" i="191" s="1"/>
  <c r="K12" i="191"/>
  <c r="M11" i="191"/>
  <c r="K11" i="191"/>
  <c r="I11" i="191"/>
  <c r="M10" i="191"/>
  <c r="J10" i="191"/>
  <c r="K8" i="191"/>
  <c r="N6" i="191"/>
  <c r="K5" i="191"/>
  <c r="N16" i="191" l="1"/>
  <c r="C22" i="191"/>
  <c r="N34" i="190"/>
  <c r="N31" i="190"/>
  <c r="N32" i="190" s="1"/>
  <c r="N27" i="190"/>
  <c r="K27" i="190"/>
  <c r="O24" i="190"/>
  <c r="M24" i="190"/>
  <c r="Q23" i="190"/>
  <c r="J23" i="190"/>
  <c r="J24" i="190" s="1"/>
  <c r="I23" i="190"/>
  <c r="Q22" i="190"/>
  <c r="N22" i="190"/>
  <c r="I22" i="190"/>
  <c r="M21" i="190"/>
  <c r="L21" i="190"/>
  <c r="Q20" i="190"/>
  <c r="O20" i="190"/>
  <c r="J20" i="190"/>
  <c r="N19" i="190"/>
  <c r="M19" i="190"/>
  <c r="M20" i="190" s="1"/>
  <c r="J19" i="190"/>
  <c r="G19" i="190"/>
  <c r="C19" i="190"/>
  <c r="O18" i="190"/>
  <c r="J18" i="190"/>
  <c r="Q17" i="190"/>
  <c r="O17" i="190"/>
  <c r="J17" i="190"/>
  <c r="M16" i="190"/>
  <c r="K15" i="190"/>
  <c r="P14" i="190"/>
  <c r="N14" i="190"/>
  <c r="K14" i="190"/>
  <c r="N13" i="190"/>
  <c r="K13" i="190"/>
  <c r="J13" i="190"/>
  <c r="J15" i="190" s="1"/>
  <c r="K12" i="190"/>
  <c r="M11" i="190"/>
  <c r="K11" i="190"/>
  <c r="I11" i="190"/>
  <c r="M10" i="190"/>
  <c r="J10" i="190"/>
  <c r="K8" i="190"/>
  <c r="N6" i="190"/>
  <c r="K5" i="190"/>
  <c r="N16" i="190" l="1"/>
  <c r="C22" i="190"/>
  <c r="N34" i="189"/>
  <c r="N31" i="189"/>
  <c r="N32" i="189" s="1"/>
  <c r="N27" i="189"/>
  <c r="K27" i="189"/>
  <c r="O24" i="189"/>
  <c r="M24" i="189"/>
  <c r="Q23" i="189"/>
  <c r="J23" i="189"/>
  <c r="J24" i="189" s="1"/>
  <c r="I23" i="189"/>
  <c r="Q22" i="189"/>
  <c r="N22" i="189"/>
  <c r="I22" i="189"/>
  <c r="M21" i="189"/>
  <c r="L21" i="189"/>
  <c r="Q20" i="189"/>
  <c r="O20" i="189"/>
  <c r="J20" i="189"/>
  <c r="N19" i="189"/>
  <c r="M19" i="189"/>
  <c r="M20" i="189" s="1"/>
  <c r="J19" i="189"/>
  <c r="G19" i="189"/>
  <c r="C19" i="189"/>
  <c r="O18" i="189"/>
  <c r="J18" i="189"/>
  <c r="Q17" i="189"/>
  <c r="O17" i="189"/>
  <c r="J17" i="189"/>
  <c r="M16" i="189"/>
  <c r="K15" i="189"/>
  <c r="P14" i="189"/>
  <c r="N14" i="189"/>
  <c r="K14" i="189"/>
  <c r="N13" i="189"/>
  <c r="K13" i="189"/>
  <c r="J13" i="189"/>
  <c r="J15" i="189" s="1"/>
  <c r="K12" i="189"/>
  <c r="M11" i="189"/>
  <c r="K11" i="189"/>
  <c r="I11" i="189"/>
  <c r="M10" i="189"/>
  <c r="J10" i="189"/>
  <c r="K8" i="189"/>
  <c r="N6" i="189"/>
  <c r="K5" i="189"/>
  <c r="N16" i="189" l="1"/>
  <c r="C22" i="189"/>
  <c r="N34" i="188"/>
  <c r="N31" i="188"/>
  <c r="N32" i="188" s="1"/>
  <c r="N27" i="188"/>
  <c r="K27" i="188"/>
  <c r="O24" i="188"/>
  <c r="M24" i="188"/>
  <c r="Q23" i="188"/>
  <c r="J23" i="188"/>
  <c r="J24" i="188" s="1"/>
  <c r="I23" i="188"/>
  <c r="Q22" i="188"/>
  <c r="N22" i="188"/>
  <c r="I22" i="188"/>
  <c r="M21" i="188"/>
  <c r="L21" i="188"/>
  <c r="Q20" i="188"/>
  <c r="O20" i="188"/>
  <c r="J20" i="188"/>
  <c r="N19" i="188"/>
  <c r="M19" i="188"/>
  <c r="M20" i="188" s="1"/>
  <c r="J19" i="188"/>
  <c r="G19" i="188"/>
  <c r="C19" i="188"/>
  <c r="O18" i="188"/>
  <c r="J18" i="188"/>
  <c r="Q17" i="188"/>
  <c r="O17" i="188"/>
  <c r="J17" i="188"/>
  <c r="M16" i="188"/>
  <c r="K15" i="188"/>
  <c r="P14" i="188"/>
  <c r="N14" i="188"/>
  <c r="K14" i="188"/>
  <c r="N13" i="188"/>
  <c r="K13" i="188"/>
  <c r="J13" i="188"/>
  <c r="J15" i="188" s="1"/>
  <c r="K12" i="188"/>
  <c r="M11" i="188"/>
  <c r="K11" i="188"/>
  <c r="I11" i="188"/>
  <c r="M10" i="188"/>
  <c r="J10" i="188"/>
  <c r="K8" i="188"/>
  <c r="N6" i="188"/>
  <c r="K5" i="188"/>
  <c r="N16" i="188" l="1"/>
  <c r="C22" i="188"/>
  <c r="N34" i="187"/>
  <c r="N31" i="187"/>
  <c r="N32" i="187" s="1"/>
  <c r="N27" i="187"/>
  <c r="K27" i="187"/>
  <c r="O24" i="187"/>
  <c r="M24" i="187"/>
  <c r="Q23" i="187"/>
  <c r="J23" i="187"/>
  <c r="J24" i="187" s="1"/>
  <c r="I23" i="187"/>
  <c r="Q22" i="187"/>
  <c r="N22" i="187"/>
  <c r="I22" i="187"/>
  <c r="M21" i="187"/>
  <c r="L21" i="187"/>
  <c r="Q20" i="187"/>
  <c r="O20" i="187"/>
  <c r="J20" i="187"/>
  <c r="N19" i="187"/>
  <c r="M19" i="187"/>
  <c r="M20" i="187" s="1"/>
  <c r="J19" i="187"/>
  <c r="G19" i="187"/>
  <c r="C19" i="187"/>
  <c r="O18" i="187"/>
  <c r="J18" i="187"/>
  <c r="Q17" i="187"/>
  <c r="O17" i="187"/>
  <c r="J17" i="187"/>
  <c r="M16" i="187"/>
  <c r="K15" i="187"/>
  <c r="P14" i="187"/>
  <c r="N14" i="187"/>
  <c r="K14" i="187"/>
  <c r="N13" i="187"/>
  <c r="K13" i="187"/>
  <c r="J13" i="187"/>
  <c r="J15" i="187" s="1"/>
  <c r="K12" i="187"/>
  <c r="M11" i="187"/>
  <c r="K11" i="187"/>
  <c r="I11" i="187"/>
  <c r="M10" i="187"/>
  <c r="J10" i="187"/>
  <c r="K8" i="187"/>
  <c r="N6" i="187"/>
  <c r="K5" i="187"/>
  <c r="N16" i="187" l="1"/>
  <c r="C22" i="187"/>
  <c r="N34" i="186"/>
  <c r="N31" i="186"/>
  <c r="N32" i="186" s="1"/>
  <c r="N27" i="186"/>
  <c r="K27" i="186"/>
  <c r="O24" i="186"/>
  <c r="M24" i="186"/>
  <c r="Q23" i="186"/>
  <c r="J23" i="186"/>
  <c r="J24" i="186" s="1"/>
  <c r="I23" i="186"/>
  <c r="Q22" i="186"/>
  <c r="N22" i="186"/>
  <c r="I22" i="186"/>
  <c r="M21" i="186"/>
  <c r="L21" i="186"/>
  <c r="Q20" i="186"/>
  <c r="O20" i="186"/>
  <c r="J20" i="186"/>
  <c r="N19" i="186"/>
  <c r="M19" i="186"/>
  <c r="M20" i="186" s="1"/>
  <c r="J19" i="186"/>
  <c r="G19" i="186"/>
  <c r="C19" i="186"/>
  <c r="O18" i="186"/>
  <c r="J18" i="186"/>
  <c r="Q17" i="186"/>
  <c r="O17" i="186"/>
  <c r="J17" i="186"/>
  <c r="M16" i="186"/>
  <c r="K15" i="186"/>
  <c r="P14" i="186"/>
  <c r="N14" i="186"/>
  <c r="K14" i="186"/>
  <c r="N13" i="186"/>
  <c r="K13" i="186"/>
  <c r="J13" i="186"/>
  <c r="J15" i="186" s="1"/>
  <c r="K12" i="186"/>
  <c r="M11" i="186"/>
  <c r="K11" i="186"/>
  <c r="I11" i="186"/>
  <c r="M10" i="186"/>
  <c r="J10" i="186"/>
  <c r="K8" i="186"/>
  <c r="N6" i="186"/>
  <c r="K5" i="186"/>
  <c r="N16" i="186" l="1"/>
  <c r="C22" i="186"/>
  <c r="N34" i="185"/>
  <c r="N31" i="185"/>
  <c r="N32" i="185" s="1"/>
  <c r="N27" i="185"/>
  <c r="K27" i="185"/>
  <c r="O24" i="185"/>
  <c r="M24" i="185"/>
  <c r="Q23" i="185"/>
  <c r="J23" i="185"/>
  <c r="J24" i="185" s="1"/>
  <c r="I23" i="185"/>
  <c r="Q22" i="185"/>
  <c r="N22" i="185"/>
  <c r="I22" i="185"/>
  <c r="M21" i="185"/>
  <c r="L21" i="185"/>
  <c r="Q20" i="185"/>
  <c r="O20" i="185"/>
  <c r="J20" i="185"/>
  <c r="N19" i="185"/>
  <c r="M19" i="185"/>
  <c r="M20" i="185" s="1"/>
  <c r="J19" i="185"/>
  <c r="G19" i="185"/>
  <c r="C19" i="185"/>
  <c r="O18" i="185"/>
  <c r="J18" i="185"/>
  <c r="Q17" i="185"/>
  <c r="O17" i="185"/>
  <c r="J17" i="185"/>
  <c r="M16" i="185"/>
  <c r="K15" i="185"/>
  <c r="P14" i="185"/>
  <c r="N14" i="185"/>
  <c r="K14" i="185"/>
  <c r="N13" i="185"/>
  <c r="K13" i="185"/>
  <c r="J13" i="185"/>
  <c r="J15" i="185" s="1"/>
  <c r="K12" i="185"/>
  <c r="M11" i="185"/>
  <c r="K11" i="185"/>
  <c r="I11" i="185"/>
  <c r="M10" i="185"/>
  <c r="J10" i="185"/>
  <c r="K8" i="185"/>
  <c r="N6" i="185"/>
  <c r="K5" i="185"/>
  <c r="N16" i="185" l="1"/>
  <c r="C22" i="185"/>
  <c r="I23" i="184"/>
  <c r="I22" i="184"/>
  <c r="C4" i="184"/>
  <c r="C19" i="184" s="1"/>
  <c r="N34" i="184"/>
  <c r="N31" i="184"/>
  <c r="N32" i="184" s="1"/>
  <c r="N27" i="184"/>
  <c r="K27" i="184"/>
  <c r="O24" i="184"/>
  <c r="M24" i="184"/>
  <c r="Q23" i="184"/>
  <c r="J23" i="184"/>
  <c r="J24" i="184" s="1"/>
  <c r="Q22" i="184"/>
  <c r="N22" i="184"/>
  <c r="M21" i="184"/>
  <c r="L21" i="184"/>
  <c r="Q20" i="184"/>
  <c r="O20" i="184"/>
  <c r="J20" i="184"/>
  <c r="N19" i="184"/>
  <c r="M19" i="184"/>
  <c r="M20" i="184" s="1"/>
  <c r="J19" i="184"/>
  <c r="G19" i="184"/>
  <c r="O18" i="184"/>
  <c r="J18" i="184"/>
  <c r="Q17" i="184"/>
  <c r="O17" i="184"/>
  <c r="J17" i="184"/>
  <c r="M16" i="184"/>
  <c r="K15" i="184"/>
  <c r="P14" i="184"/>
  <c r="N14" i="184"/>
  <c r="K14" i="184"/>
  <c r="N13" i="184"/>
  <c r="K13" i="184"/>
  <c r="J13" i="184"/>
  <c r="J15" i="184" s="1"/>
  <c r="K12" i="184"/>
  <c r="M11" i="184"/>
  <c r="K11" i="184"/>
  <c r="I11" i="184"/>
  <c r="M10" i="184"/>
  <c r="J10" i="184"/>
  <c r="K8" i="184"/>
  <c r="N6" i="184"/>
  <c r="K5" i="184"/>
  <c r="N16" i="184" l="1"/>
  <c r="C22" i="184"/>
  <c r="N34" i="183"/>
  <c r="N31" i="183"/>
  <c r="N32" i="183" s="1"/>
  <c r="N27" i="183"/>
  <c r="K27" i="183"/>
  <c r="O24" i="183"/>
  <c r="M24" i="183"/>
  <c r="Q23" i="183"/>
  <c r="J23" i="183"/>
  <c r="J24" i="183" s="1"/>
  <c r="Q22" i="183"/>
  <c r="N22" i="183"/>
  <c r="M21" i="183"/>
  <c r="L21" i="183"/>
  <c r="Q20" i="183"/>
  <c r="O20" i="183"/>
  <c r="J20" i="183"/>
  <c r="N19" i="183"/>
  <c r="M19" i="183"/>
  <c r="M20" i="183" s="1"/>
  <c r="J19" i="183"/>
  <c r="G19" i="183"/>
  <c r="C19" i="183"/>
  <c r="O18" i="183"/>
  <c r="J18" i="183"/>
  <c r="Q17" i="183"/>
  <c r="O17" i="183"/>
  <c r="J17" i="183"/>
  <c r="M16" i="183"/>
  <c r="K15" i="183"/>
  <c r="P14" i="183"/>
  <c r="N14" i="183"/>
  <c r="K14" i="183"/>
  <c r="N13" i="183"/>
  <c r="K13" i="183"/>
  <c r="J13" i="183"/>
  <c r="J15" i="183" s="1"/>
  <c r="K12" i="183"/>
  <c r="M11" i="183"/>
  <c r="K11" i="183"/>
  <c r="I11" i="183"/>
  <c r="M10" i="183"/>
  <c r="J10" i="183"/>
  <c r="K8" i="183"/>
  <c r="N6" i="183"/>
  <c r="K5" i="183"/>
  <c r="N16" i="183" l="1"/>
  <c r="C22" i="183"/>
  <c r="N34" i="182"/>
  <c r="N31" i="182"/>
  <c r="N32" i="182" s="1"/>
  <c r="N27" i="182"/>
  <c r="K27" i="182"/>
  <c r="O24" i="182"/>
  <c r="M24" i="182"/>
  <c r="Q23" i="182"/>
  <c r="J23" i="182"/>
  <c r="J24" i="182" s="1"/>
  <c r="Q22" i="182"/>
  <c r="N22" i="182"/>
  <c r="M21" i="182"/>
  <c r="L21" i="182"/>
  <c r="Q20" i="182"/>
  <c r="O20" i="182"/>
  <c r="J20" i="182"/>
  <c r="N19" i="182"/>
  <c r="M19" i="182"/>
  <c r="M20" i="182" s="1"/>
  <c r="J19" i="182"/>
  <c r="G19" i="182"/>
  <c r="C19" i="182"/>
  <c r="O18" i="182"/>
  <c r="J18" i="182"/>
  <c r="Q17" i="182"/>
  <c r="O17" i="182"/>
  <c r="J17" i="182"/>
  <c r="M16" i="182"/>
  <c r="K15" i="182"/>
  <c r="P14" i="182"/>
  <c r="N14" i="182"/>
  <c r="K14" i="182"/>
  <c r="N13" i="182"/>
  <c r="K13" i="182"/>
  <c r="J13" i="182"/>
  <c r="J15" i="182" s="1"/>
  <c r="K12" i="182"/>
  <c r="M11" i="182"/>
  <c r="K11" i="182"/>
  <c r="I11" i="182"/>
  <c r="M10" i="182"/>
  <c r="J10" i="182"/>
  <c r="K8" i="182"/>
  <c r="N6" i="182"/>
  <c r="K5" i="182"/>
  <c r="N34" i="181"/>
  <c r="N31" i="181"/>
  <c r="N32" i="181" s="1"/>
  <c r="N27" i="181"/>
  <c r="K27" i="181"/>
  <c r="O24" i="181"/>
  <c r="M24" i="181"/>
  <c r="Q23" i="181"/>
  <c r="J23" i="181"/>
  <c r="J24" i="181" s="1"/>
  <c r="Q22" i="181"/>
  <c r="N22" i="181"/>
  <c r="M21" i="181"/>
  <c r="L21" i="181"/>
  <c r="Q20" i="181"/>
  <c r="O20" i="181"/>
  <c r="J20" i="181"/>
  <c r="N19" i="181"/>
  <c r="M19" i="181"/>
  <c r="M20" i="181" s="1"/>
  <c r="J19" i="181"/>
  <c r="G19" i="181"/>
  <c r="C19" i="181"/>
  <c r="O18" i="181"/>
  <c r="J18" i="181"/>
  <c r="Q17" i="181"/>
  <c r="O17" i="181"/>
  <c r="J17" i="181"/>
  <c r="M16" i="181"/>
  <c r="K15" i="181"/>
  <c r="P14" i="181"/>
  <c r="N14" i="181"/>
  <c r="K14" i="181"/>
  <c r="N13" i="181"/>
  <c r="K13" i="181"/>
  <c r="J13" i="181"/>
  <c r="J15" i="181" s="1"/>
  <c r="K12" i="181"/>
  <c r="M11" i="181"/>
  <c r="K11" i="181"/>
  <c r="I11" i="181"/>
  <c r="M10" i="181"/>
  <c r="J10" i="181"/>
  <c r="K8" i="181"/>
  <c r="N6" i="181"/>
  <c r="K5" i="181"/>
  <c r="N16" i="182" l="1"/>
  <c r="N16" i="181"/>
  <c r="C22" i="182"/>
  <c r="C22" i="181"/>
  <c r="N34" i="180"/>
  <c r="N31" i="180"/>
  <c r="N32" i="180" s="1"/>
  <c r="N27" i="180"/>
  <c r="K27" i="180"/>
  <c r="O24" i="180"/>
  <c r="M24" i="180"/>
  <c r="Q23" i="180"/>
  <c r="J23" i="180"/>
  <c r="J24" i="180" s="1"/>
  <c r="Q22" i="180"/>
  <c r="N22" i="180"/>
  <c r="M21" i="180"/>
  <c r="L21" i="180"/>
  <c r="Q20" i="180"/>
  <c r="O20" i="180"/>
  <c r="J20" i="180"/>
  <c r="N19" i="180"/>
  <c r="M19" i="180"/>
  <c r="M20" i="180" s="1"/>
  <c r="J19" i="180"/>
  <c r="G19" i="180"/>
  <c r="C19" i="180"/>
  <c r="O18" i="180"/>
  <c r="J18" i="180"/>
  <c r="Q17" i="180"/>
  <c r="O17" i="180"/>
  <c r="J17" i="180"/>
  <c r="M16" i="180"/>
  <c r="K15" i="180"/>
  <c r="P14" i="180"/>
  <c r="N14" i="180"/>
  <c r="K14" i="180"/>
  <c r="N13" i="180"/>
  <c r="K13" i="180"/>
  <c r="J13" i="180"/>
  <c r="J15" i="180" s="1"/>
  <c r="K12" i="180"/>
  <c r="M11" i="180"/>
  <c r="K11" i="180"/>
  <c r="I11" i="180"/>
  <c r="M10" i="180"/>
  <c r="J10" i="180"/>
  <c r="K8" i="180"/>
  <c r="N6" i="180"/>
  <c r="K5" i="180"/>
  <c r="N16" i="180" l="1"/>
  <c r="C22" i="180"/>
  <c r="C19" i="179"/>
  <c r="J23" i="179"/>
  <c r="J24" i="179" s="1"/>
  <c r="N34" i="179"/>
  <c r="N31" i="179"/>
  <c r="N32" i="179" s="1"/>
  <c r="N27" i="179"/>
  <c r="K27" i="179"/>
  <c r="O24" i="179"/>
  <c r="M24" i="179"/>
  <c r="Q23" i="179"/>
  <c r="Q22" i="179"/>
  <c r="N22" i="179"/>
  <c r="M21" i="179"/>
  <c r="L21" i="179"/>
  <c r="Q20" i="179"/>
  <c r="O20" i="179"/>
  <c r="J20" i="179"/>
  <c r="N19" i="179"/>
  <c r="M19" i="179"/>
  <c r="M20" i="179" s="1"/>
  <c r="J19" i="179"/>
  <c r="G19" i="179"/>
  <c r="O18" i="179"/>
  <c r="J18" i="179"/>
  <c r="Q17" i="179"/>
  <c r="O17" i="179"/>
  <c r="J17" i="179"/>
  <c r="M16" i="179"/>
  <c r="K15" i="179"/>
  <c r="P14" i="179"/>
  <c r="N14" i="179"/>
  <c r="K14" i="179"/>
  <c r="N13" i="179"/>
  <c r="K13" i="179"/>
  <c r="J13" i="179"/>
  <c r="J15" i="179" s="1"/>
  <c r="K12" i="179"/>
  <c r="M11" i="179"/>
  <c r="K11" i="179"/>
  <c r="I11" i="179"/>
  <c r="M10" i="179"/>
  <c r="J10" i="179"/>
  <c r="K8" i="179"/>
  <c r="N6" i="179"/>
  <c r="K5" i="179"/>
  <c r="N16" i="179" l="1"/>
  <c r="C22" i="179"/>
  <c r="C4" i="178"/>
  <c r="C6" i="178"/>
  <c r="N34" i="178"/>
  <c r="N31" i="178"/>
  <c r="N32" i="178" s="1"/>
  <c r="N27" i="178"/>
  <c r="K27" i="178"/>
  <c r="O24" i="178"/>
  <c r="M24" i="178"/>
  <c r="J24" i="178"/>
  <c r="Q23" i="178"/>
  <c r="J23" i="178"/>
  <c r="Q22" i="178"/>
  <c r="N22" i="178"/>
  <c r="M21" i="178"/>
  <c r="L21" i="178"/>
  <c r="Q20" i="178"/>
  <c r="O20" i="178"/>
  <c r="M20" i="178"/>
  <c r="J20" i="178"/>
  <c r="N19" i="178"/>
  <c r="M19" i="178"/>
  <c r="J19" i="178"/>
  <c r="G19" i="178"/>
  <c r="O18" i="178"/>
  <c r="J18" i="178"/>
  <c r="Q17" i="178"/>
  <c r="O17" i="178"/>
  <c r="J17" i="178"/>
  <c r="M16" i="178"/>
  <c r="K15" i="178"/>
  <c r="P14" i="178"/>
  <c r="N14" i="178"/>
  <c r="K14" i="178"/>
  <c r="N13" i="178"/>
  <c r="K13" i="178"/>
  <c r="J13" i="178"/>
  <c r="J15" i="178" s="1"/>
  <c r="K12" i="178"/>
  <c r="M11" i="178"/>
  <c r="K11" i="178"/>
  <c r="I11" i="178"/>
  <c r="M10" i="178"/>
  <c r="J10" i="178"/>
  <c r="K8" i="178"/>
  <c r="N6" i="178"/>
  <c r="K5" i="178"/>
  <c r="C19" i="178" l="1"/>
  <c r="C22" i="178" s="1"/>
  <c r="N16" i="178"/>
  <c r="N34" i="177"/>
  <c r="N31" i="177"/>
  <c r="N32" i="177" s="1"/>
  <c r="N27" i="177"/>
  <c r="K27" i="177"/>
  <c r="O24" i="177"/>
  <c r="M24" i="177"/>
  <c r="J24" i="177"/>
  <c r="Q23" i="177"/>
  <c r="J23" i="177"/>
  <c r="Q22" i="177"/>
  <c r="N22" i="177"/>
  <c r="M21" i="177"/>
  <c r="L21" i="177"/>
  <c r="Q20" i="177"/>
  <c r="O20" i="177"/>
  <c r="J20" i="177"/>
  <c r="N19" i="177"/>
  <c r="M19" i="177"/>
  <c r="M20" i="177" s="1"/>
  <c r="J19" i="177"/>
  <c r="G19" i="177"/>
  <c r="C19" i="177"/>
  <c r="O18" i="177"/>
  <c r="J18" i="177"/>
  <c r="Q17" i="177"/>
  <c r="O17" i="177"/>
  <c r="J17" i="177"/>
  <c r="M16" i="177"/>
  <c r="K15" i="177"/>
  <c r="P14" i="177"/>
  <c r="N14" i="177"/>
  <c r="K14" i="177"/>
  <c r="N13" i="177"/>
  <c r="K13" i="177"/>
  <c r="J13" i="177"/>
  <c r="J15" i="177" s="1"/>
  <c r="K12" i="177"/>
  <c r="M11" i="177"/>
  <c r="K11" i="177"/>
  <c r="I11" i="177"/>
  <c r="M10" i="177"/>
  <c r="J10" i="177"/>
  <c r="K8" i="177"/>
  <c r="N6" i="177"/>
  <c r="K5" i="177"/>
  <c r="N16" i="177" l="1"/>
  <c r="C22" i="177"/>
  <c r="N34" i="176"/>
  <c r="N31" i="176"/>
  <c r="N32" i="176" s="1"/>
  <c r="N27" i="176"/>
  <c r="K27" i="176"/>
  <c r="O24" i="176"/>
  <c r="M24" i="176"/>
  <c r="J24" i="176"/>
  <c r="Q23" i="176"/>
  <c r="J23" i="176"/>
  <c r="Q22" i="176"/>
  <c r="N22" i="176"/>
  <c r="M21" i="176"/>
  <c r="L21" i="176"/>
  <c r="Q20" i="176"/>
  <c r="O20" i="176"/>
  <c r="J20" i="176"/>
  <c r="N19" i="176"/>
  <c r="M19" i="176"/>
  <c r="M20" i="176" s="1"/>
  <c r="J19" i="176"/>
  <c r="G19" i="176"/>
  <c r="C19" i="176"/>
  <c r="O18" i="176"/>
  <c r="J18" i="176"/>
  <c r="Q17" i="176"/>
  <c r="O17" i="176"/>
  <c r="J17" i="176"/>
  <c r="M16" i="176"/>
  <c r="K15" i="176"/>
  <c r="P14" i="176"/>
  <c r="N14" i="176"/>
  <c r="K14" i="176"/>
  <c r="N13" i="176"/>
  <c r="K13" i="176"/>
  <c r="J13" i="176"/>
  <c r="J15" i="176" s="1"/>
  <c r="K12" i="176"/>
  <c r="M11" i="176"/>
  <c r="K11" i="176"/>
  <c r="I11" i="176"/>
  <c r="M10" i="176"/>
  <c r="J10" i="176"/>
  <c r="K8" i="176"/>
  <c r="N6" i="176"/>
  <c r="K5" i="176"/>
  <c r="N16" i="176" l="1"/>
  <c r="C22" i="176"/>
  <c r="G19" i="175"/>
  <c r="N34" i="175"/>
  <c r="N31" i="175"/>
  <c r="N32" i="175" s="1"/>
  <c r="N27" i="175"/>
  <c r="K27" i="175"/>
  <c r="O24" i="175"/>
  <c r="M24" i="175"/>
  <c r="J24" i="175"/>
  <c r="Q23" i="175"/>
  <c r="J23" i="175"/>
  <c r="Q22" i="175"/>
  <c r="N22" i="175"/>
  <c r="M21" i="175"/>
  <c r="L21" i="175"/>
  <c r="Q20" i="175"/>
  <c r="O20" i="175"/>
  <c r="J20" i="175"/>
  <c r="N19" i="175"/>
  <c r="M19" i="175"/>
  <c r="M20" i="175" s="1"/>
  <c r="J19" i="175"/>
  <c r="C19" i="175"/>
  <c r="O18" i="175"/>
  <c r="J18" i="175"/>
  <c r="Q17" i="175"/>
  <c r="O17" i="175"/>
  <c r="J17" i="175"/>
  <c r="M16" i="175"/>
  <c r="K15" i="175"/>
  <c r="P14" i="175"/>
  <c r="N14" i="175"/>
  <c r="K14" i="175"/>
  <c r="N13" i="175"/>
  <c r="K13" i="175"/>
  <c r="J13" i="175"/>
  <c r="J15" i="175" s="1"/>
  <c r="K12" i="175"/>
  <c r="M11" i="175"/>
  <c r="K11" i="175"/>
  <c r="I11" i="175"/>
  <c r="M10" i="175"/>
  <c r="J10" i="175"/>
  <c r="K8" i="175"/>
  <c r="N6" i="175"/>
  <c r="K5" i="175"/>
  <c r="N34" i="174"/>
  <c r="N31" i="174"/>
  <c r="N32" i="174" s="1"/>
  <c r="N27" i="174"/>
  <c r="K27" i="174"/>
  <c r="O24" i="174"/>
  <c r="M24" i="174"/>
  <c r="J24" i="174"/>
  <c r="Q23" i="174"/>
  <c r="J23" i="174"/>
  <c r="Q22" i="174"/>
  <c r="N22" i="174"/>
  <c r="M21" i="174"/>
  <c r="L21" i="174"/>
  <c r="Q20" i="174"/>
  <c r="O20" i="174"/>
  <c r="J20" i="174"/>
  <c r="N19" i="174"/>
  <c r="M19" i="174"/>
  <c r="M20" i="174" s="1"/>
  <c r="J19" i="174"/>
  <c r="G19" i="174"/>
  <c r="O18" i="174"/>
  <c r="J18" i="174"/>
  <c r="Q17" i="174"/>
  <c r="O17" i="174"/>
  <c r="J17" i="174"/>
  <c r="M16" i="174"/>
  <c r="K15" i="174"/>
  <c r="P14" i="174"/>
  <c r="N14" i="174"/>
  <c r="K14" i="174"/>
  <c r="N13" i="174"/>
  <c r="K13" i="174"/>
  <c r="J13" i="174"/>
  <c r="J15" i="174" s="1"/>
  <c r="K12" i="174"/>
  <c r="M11" i="174"/>
  <c r="K11" i="174"/>
  <c r="I11" i="174"/>
  <c r="M10" i="174"/>
  <c r="J10" i="174"/>
  <c r="K8" i="174"/>
  <c r="N6" i="174"/>
  <c r="C19" i="174"/>
  <c r="K5" i="174"/>
  <c r="N16" i="174" l="1"/>
  <c r="N16" i="175"/>
  <c r="C22" i="175"/>
  <c r="C22" i="174"/>
  <c r="I11" i="173"/>
  <c r="C6" i="173"/>
  <c r="C19" i="173" s="1"/>
  <c r="N34" i="173"/>
  <c r="N31" i="173"/>
  <c r="N32" i="173" s="1"/>
  <c r="N27" i="173"/>
  <c r="K27" i="173"/>
  <c r="O24" i="173"/>
  <c r="M24" i="173"/>
  <c r="J24" i="173"/>
  <c r="Q23" i="173"/>
  <c r="J23" i="173"/>
  <c r="Q22" i="173"/>
  <c r="N22" i="173"/>
  <c r="M21" i="173"/>
  <c r="L21" i="173"/>
  <c r="Q20" i="173"/>
  <c r="O20" i="173"/>
  <c r="J20" i="173"/>
  <c r="N19" i="173"/>
  <c r="M19" i="173"/>
  <c r="M20" i="173" s="1"/>
  <c r="J19" i="173"/>
  <c r="G19" i="173"/>
  <c r="O18" i="173"/>
  <c r="J18" i="173"/>
  <c r="Q17" i="173"/>
  <c r="O17" i="173"/>
  <c r="J17" i="173"/>
  <c r="M16" i="173"/>
  <c r="K15" i="173"/>
  <c r="P14" i="173"/>
  <c r="N14" i="173"/>
  <c r="K14" i="173"/>
  <c r="N13" i="173"/>
  <c r="K13" i="173"/>
  <c r="J13" i="173"/>
  <c r="J15" i="173" s="1"/>
  <c r="K12" i="173"/>
  <c r="M11" i="173"/>
  <c r="K11" i="173"/>
  <c r="M10" i="173"/>
  <c r="J10" i="173"/>
  <c r="K8" i="173"/>
  <c r="N6" i="173"/>
  <c r="K5" i="173"/>
  <c r="N16" i="173" l="1"/>
  <c r="C22" i="173"/>
  <c r="N34" i="172"/>
  <c r="N31" i="172"/>
  <c r="N32" i="172" s="1"/>
  <c r="N27" i="172"/>
  <c r="K27" i="172"/>
  <c r="O24" i="172"/>
  <c r="M24" i="172"/>
  <c r="J24" i="172"/>
  <c r="Q23" i="172"/>
  <c r="J23" i="172"/>
  <c r="Q22" i="172"/>
  <c r="N22" i="172"/>
  <c r="M21" i="172"/>
  <c r="L21" i="172"/>
  <c r="Q20" i="172"/>
  <c r="O20" i="172"/>
  <c r="J20" i="172"/>
  <c r="N19" i="172"/>
  <c r="M19" i="172"/>
  <c r="M20" i="172" s="1"/>
  <c r="J19" i="172"/>
  <c r="G19" i="172"/>
  <c r="C19" i="172"/>
  <c r="O18" i="172"/>
  <c r="J18" i="172"/>
  <c r="Q17" i="172"/>
  <c r="O17" i="172"/>
  <c r="J17" i="172"/>
  <c r="M16" i="172"/>
  <c r="K15" i="172"/>
  <c r="P14" i="172"/>
  <c r="N14" i="172"/>
  <c r="K14" i="172"/>
  <c r="N13" i="172"/>
  <c r="K13" i="172"/>
  <c r="J13" i="172"/>
  <c r="J15" i="172" s="1"/>
  <c r="K12" i="172"/>
  <c r="M11" i="172"/>
  <c r="K11" i="172"/>
  <c r="M10" i="172"/>
  <c r="J10" i="172"/>
  <c r="K8" i="172"/>
  <c r="N6" i="172"/>
  <c r="K5" i="172"/>
  <c r="N16" i="172" l="1"/>
  <c r="C22" i="172"/>
  <c r="N34" i="171"/>
  <c r="N31" i="171"/>
  <c r="N32" i="171" s="1"/>
  <c r="N27" i="171"/>
  <c r="K27" i="171"/>
  <c r="O24" i="171"/>
  <c r="M24" i="171"/>
  <c r="J24" i="171"/>
  <c r="Q23" i="171"/>
  <c r="J23" i="171"/>
  <c r="Q22" i="171"/>
  <c r="N22" i="171"/>
  <c r="M21" i="171"/>
  <c r="L21" i="171"/>
  <c r="Q20" i="171"/>
  <c r="O20" i="171"/>
  <c r="J20" i="171"/>
  <c r="N19" i="171"/>
  <c r="M19" i="171"/>
  <c r="M20" i="171" s="1"/>
  <c r="J19" i="171"/>
  <c r="G19" i="171"/>
  <c r="C19" i="171"/>
  <c r="O18" i="171"/>
  <c r="J18" i="171"/>
  <c r="Q17" i="171"/>
  <c r="O17" i="171"/>
  <c r="J17" i="171"/>
  <c r="M16" i="171"/>
  <c r="K15" i="171"/>
  <c r="P14" i="171"/>
  <c r="N14" i="171"/>
  <c r="K14" i="171"/>
  <c r="N13" i="171"/>
  <c r="K13" i="171"/>
  <c r="J13" i="171"/>
  <c r="J15" i="171" s="1"/>
  <c r="K12" i="171"/>
  <c r="M11" i="171"/>
  <c r="K11" i="171"/>
  <c r="M10" i="171"/>
  <c r="J10" i="171"/>
  <c r="K8" i="171"/>
  <c r="N6" i="171"/>
  <c r="K5" i="171"/>
  <c r="N16" i="171" l="1"/>
  <c r="C22" i="171"/>
  <c r="F22" i="170"/>
  <c r="N34" i="170"/>
  <c r="N31" i="170"/>
  <c r="N32" i="170" s="1"/>
  <c r="N27" i="170"/>
  <c r="K27" i="170"/>
  <c r="O24" i="170"/>
  <c r="M24" i="170"/>
  <c r="J24" i="170"/>
  <c r="I24" i="170"/>
  <c r="H24" i="170"/>
  <c r="Q23" i="170"/>
  <c r="J23" i="170"/>
  <c r="Q22" i="170"/>
  <c r="N22" i="170"/>
  <c r="M21" i="170"/>
  <c r="L21" i="170"/>
  <c r="I21" i="170"/>
  <c r="Q20" i="170"/>
  <c r="O20" i="170"/>
  <c r="J20" i="170"/>
  <c r="I20" i="170"/>
  <c r="N19" i="170"/>
  <c r="M19" i="170"/>
  <c r="M20" i="170" s="1"/>
  <c r="J19" i="170"/>
  <c r="G19" i="170"/>
  <c r="C19" i="170"/>
  <c r="O18" i="170"/>
  <c r="J18" i="170"/>
  <c r="Q17" i="170"/>
  <c r="O17" i="170"/>
  <c r="J17" i="170"/>
  <c r="M16" i="170"/>
  <c r="K15" i="170"/>
  <c r="P14" i="170"/>
  <c r="N14" i="170"/>
  <c r="K14" i="170"/>
  <c r="N13" i="170"/>
  <c r="K13" i="170"/>
  <c r="J13" i="170"/>
  <c r="J15" i="170" s="1"/>
  <c r="K12" i="170"/>
  <c r="I12" i="170"/>
  <c r="M11" i="170"/>
  <c r="K11" i="170"/>
  <c r="M10" i="170"/>
  <c r="J10" i="170"/>
  <c r="K8" i="170"/>
  <c r="N6" i="170"/>
  <c r="K5" i="170"/>
  <c r="N16" i="170" l="1"/>
  <c r="C22" i="170"/>
  <c r="J17" i="169"/>
  <c r="N34" i="169" l="1"/>
  <c r="N31" i="169"/>
  <c r="N32" i="169" s="1"/>
  <c r="N27" i="169"/>
  <c r="K27" i="169"/>
  <c r="O24" i="169"/>
  <c r="M24" i="169"/>
  <c r="J24" i="169"/>
  <c r="I24" i="169"/>
  <c r="H24" i="169"/>
  <c r="Q23" i="169"/>
  <c r="J23" i="169"/>
  <c r="Q22" i="169"/>
  <c r="N22" i="169"/>
  <c r="M21" i="169"/>
  <c r="L21" i="169"/>
  <c r="I21" i="169"/>
  <c r="Q20" i="169"/>
  <c r="O20" i="169"/>
  <c r="J20" i="169"/>
  <c r="I20" i="169"/>
  <c r="N19" i="169"/>
  <c r="M19" i="169"/>
  <c r="M20" i="169" s="1"/>
  <c r="J19" i="169"/>
  <c r="G19" i="169"/>
  <c r="C19" i="169"/>
  <c r="O18" i="169"/>
  <c r="J18" i="169"/>
  <c r="Q17" i="169"/>
  <c r="O17" i="169"/>
  <c r="M16" i="169"/>
  <c r="K15" i="169"/>
  <c r="P14" i="169"/>
  <c r="N14" i="169"/>
  <c r="K14" i="169"/>
  <c r="N13" i="169"/>
  <c r="K13" i="169"/>
  <c r="J13" i="169"/>
  <c r="J15" i="169" s="1"/>
  <c r="K12" i="169"/>
  <c r="I12" i="169"/>
  <c r="M11" i="169"/>
  <c r="K11" i="169"/>
  <c r="M10" i="169"/>
  <c r="J10" i="169"/>
  <c r="K8" i="169"/>
  <c r="N6" i="169"/>
  <c r="K5" i="169"/>
  <c r="N16" i="169" l="1"/>
  <c r="C22" i="169"/>
  <c r="N34" i="168"/>
  <c r="N31" i="168"/>
  <c r="N32" i="168" s="1"/>
  <c r="N27" i="168"/>
  <c r="K27" i="168"/>
  <c r="O24" i="168"/>
  <c r="M24" i="168"/>
  <c r="J24" i="168"/>
  <c r="I24" i="168"/>
  <c r="H24" i="168"/>
  <c r="Q23" i="168"/>
  <c r="J23" i="168"/>
  <c r="Q22" i="168"/>
  <c r="N22" i="168"/>
  <c r="M21" i="168"/>
  <c r="L21" i="168"/>
  <c r="I21" i="168"/>
  <c r="Q20" i="168"/>
  <c r="O20" i="168"/>
  <c r="J20" i="168"/>
  <c r="I20" i="168"/>
  <c r="N19" i="168"/>
  <c r="M19" i="168"/>
  <c r="M20" i="168" s="1"/>
  <c r="J19" i="168"/>
  <c r="G19" i="168"/>
  <c r="C19" i="168"/>
  <c r="O18" i="168"/>
  <c r="J18" i="168"/>
  <c r="Q17" i="168"/>
  <c r="O17" i="168"/>
  <c r="M16" i="168"/>
  <c r="K15" i="168"/>
  <c r="P14" i="168"/>
  <c r="N14" i="168"/>
  <c r="K14" i="168"/>
  <c r="N13" i="168"/>
  <c r="K13" i="168"/>
  <c r="J13" i="168"/>
  <c r="J15" i="168" s="1"/>
  <c r="K12" i="168"/>
  <c r="I12" i="168"/>
  <c r="M11" i="168"/>
  <c r="K11" i="168"/>
  <c r="M10" i="168"/>
  <c r="J10" i="168"/>
  <c r="K8" i="168"/>
  <c r="N6" i="168"/>
  <c r="K5" i="168"/>
  <c r="N16" i="168" l="1"/>
  <c r="C22" i="168"/>
  <c r="N34" i="167"/>
  <c r="N31" i="167"/>
  <c r="N32" i="167" s="1"/>
  <c r="N27" i="167"/>
  <c r="K27" i="167"/>
  <c r="O24" i="167"/>
  <c r="M24" i="167"/>
  <c r="J24" i="167"/>
  <c r="I24" i="167"/>
  <c r="H24" i="167"/>
  <c r="Q23" i="167"/>
  <c r="J23" i="167"/>
  <c r="Q22" i="167"/>
  <c r="N22" i="167"/>
  <c r="M21" i="167"/>
  <c r="L21" i="167"/>
  <c r="I21" i="167"/>
  <c r="Q20" i="167"/>
  <c r="O20" i="167"/>
  <c r="J20" i="167"/>
  <c r="I20" i="167"/>
  <c r="N19" i="167"/>
  <c r="M19" i="167"/>
  <c r="M20" i="167" s="1"/>
  <c r="J19" i="167"/>
  <c r="G19" i="167"/>
  <c r="C19" i="167"/>
  <c r="O18" i="167"/>
  <c r="J18" i="167"/>
  <c r="Q17" i="167"/>
  <c r="O17" i="167"/>
  <c r="M16" i="167"/>
  <c r="K15" i="167"/>
  <c r="P14" i="167"/>
  <c r="N14" i="167"/>
  <c r="K14" i="167"/>
  <c r="N13" i="167"/>
  <c r="K13" i="167"/>
  <c r="J13" i="167"/>
  <c r="J15" i="167" s="1"/>
  <c r="K12" i="167"/>
  <c r="I12" i="167"/>
  <c r="M11" i="167"/>
  <c r="K11" i="167"/>
  <c r="M10" i="167"/>
  <c r="J10" i="167"/>
  <c r="K8" i="167"/>
  <c r="N6" i="167"/>
  <c r="K5" i="167"/>
  <c r="N16" i="167" l="1"/>
  <c r="C22" i="167"/>
  <c r="N34" i="166"/>
  <c r="N31" i="166"/>
  <c r="N32" i="166" s="1"/>
  <c r="N27" i="166"/>
  <c r="K27" i="166"/>
  <c r="O24" i="166"/>
  <c r="M24" i="166"/>
  <c r="J24" i="166"/>
  <c r="I24" i="166"/>
  <c r="H24" i="166"/>
  <c r="Q23" i="166"/>
  <c r="J23" i="166"/>
  <c r="Q22" i="166"/>
  <c r="N22" i="166"/>
  <c r="M21" i="166"/>
  <c r="L21" i="166"/>
  <c r="I21" i="166"/>
  <c r="Q20" i="166"/>
  <c r="O20" i="166"/>
  <c r="J20" i="166"/>
  <c r="I20" i="166"/>
  <c r="N19" i="166"/>
  <c r="M19" i="166"/>
  <c r="M20" i="166" s="1"/>
  <c r="J19" i="166"/>
  <c r="G19" i="166"/>
  <c r="C19" i="166"/>
  <c r="O18" i="166"/>
  <c r="J18" i="166"/>
  <c r="Q17" i="166"/>
  <c r="O17" i="166"/>
  <c r="M16" i="166"/>
  <c r="K15" i="166"/>
  <c r="P14" i="166"/>
  <c r="N14" i="166"/>
  <c r="K14" i="166"/>
  <c r="N13" i="166"/>
  <c r="K13" i="166"/>
  <c r="J13" i="166"/>
  <c r="J15" i="166" s="1"/>
  <c r="K12" i="166"/>
  <c r="I12" i="166"/>
  <c r="M11" i="166"/>
  <c r="K11" i="166"/>
  <c r="M10" i="166"/>
  <c r="J10" i="166"/>
  <c r="K8" i="166"/>
  <c r="N6" i="166"/>
  <c r="K5" i="166"/>
  <c r="N16" i="166" l="1"/>
  <c r="C22" i="166"/>
  <c r="N34" i="165"/>
  <c r="N31" i="165"/>
  <c r="N32" i="165" s="1"/>
  <c r="N27" i="165"/>
  <c r="K27" i="165"/>
  <c r="O24" i="165"/>
  <c r="M24" i="165"/>
  <c r="J24" i="165"/>
  <c r="I24" i="165"/>
  <c r="H24" i="165"/>
  <c r="Q23" i="165"/>
  <c r="J23" i="165"/>
  <c r="Q22" i="165"/>
  <c r="N22" i="165"/>
  <c r="M21" i="165"/>
  <c r="L21" i="165"/>
  <c r="I21" i="165"/>
  <c r="Q20" i="165"/>
  <c r="O20" i="165"/>
  <c r="J20" i="165"/>
  <c r="I20" i="165"/>
  <c r="N19" i="165"/>
  <c r="M19" i="165"/>
  <c r="M20" i="165" s="1"/>
  <c r="J19" i="165"/>
  <c r="G19" i="165"/>
  <c r="C19" i="165"/>
  <c r="O18" i="165"/>
  <c r="J18" i="165"/>
  <c r="Q17" i="165"/>
  <c r="O17" i="165"/>
  <c r="M16" i="165"/>
  <c r="K15" i="165"/>
  <c r="P14" i="165"/>
  <c r="N14" i="165"/>
  <c r="K14" i="165"/>
  <c r="N13" i="165"/>
  <c r="K13" i="165"/>
  <c r="J13" i="165"/>
  <c r="J15" i="165" s="1"/>
  <c r="K12" i="165"/>
  <c r="I12" i="165"/>
  <c r="M11" i="165"/>
  <c r="K11" i="165"/>
  <c r="M10" i="165"/>
  <c r="J10" i="165"/>
  <c r="K8" i="165"/>
  <c r="N6" i="165"/>
  <c r="K5" i="165"/>
  <c r="N16" i="165" l="1"/>
  <c r="C22" i="165"/>
  <c r="N34" i="164"/>
  <c r="N31" i="164"/>
  <c r="N32" i="164" s="1"/>
  <c r="N27" i="164"/>
  <c r="K27" i="164"/>
  <c r="O24" i="164"/>
  <c r="M24" i="164"/>
  <c r="J24" i="164"/>
  <c r="I24" i="164"/>
  <c r="H24" i="164"/>
  <c r="Q23" i="164"/>
  <c r="J23" i="164"/>
  <c r="Q22" i="164"/>
  <c r="N22" i="164"/>
  <c r="M21" i="164"/>
  <c r="L21" i="164"/>
  <c r="I21" i="164"/>
  <c r="Q20" i="164"/>
  <c r="O20" i="164"/>
  <c r="J20" i="164"/>
  <c r="I20" i="164"/>
  <c r="N19" i="164"/>
  <c r="M19" i="164"/>
  <c r="M20" i="164" s="1"/>
  <c r="J19" i="164"/>
  <c r="G19" i="164"/>
  <c r="C19" i="164"/>
  <c r="O18" i="164"/>
  <c r="J18" i="164"/>
  <c r="Q17" i="164"/>
  <c r="O17" i="164"/>
  <c r="M16" i="164"/>
  <c r="K15" i="164"/>
  <c r="P14" i="164"/>
  <c r="N14" i="164"/>
  <c r="K14" i="164"/>
  <c r="N13" i="164"/>
  <c r="K13" i="164"/>
  <c r="J13" i="164"/>
  <c r="J15" i="164" s="1"/>
  <c r="K12" i="164"/>
  <c r="I12" i="164"/>
  <c r="M11" i="164"/>
  <c r="K11" i="164"/>
  <c r="M10" i="164"/>
  <c r="J10" i="164"/>
  <c r="K8" i="164"/>
  <c r="N6" i="164"/>
  <c r="K5" i="164"/>
  <c r="N16" i="164" l="1"/>
  <c r="C22" i="164"/>
  <c r="N34" i="163"/>
  <c r="N31" i="163"/>
  <c r="N32" i="163" s="1"/>
  <c r="N27" i="163"/>
  <c r="K27" i="163"/>
  <c r="O24" i="163"/>
  <c r="M24" i="163"/>
  <c r="J24" i="163"/>
  <c r="I24" i="163"/>
  <c r="H24" i="163"/>
  <c r="Q23" i="163"/>
  <c r="J23" i="163"/>
  <c r="Q22" i="163"/>
  <c r="N22" i="163"/>
  <c r="M21" i="163"/>
  <c r="L21" i="163"/>
  <c r="I21" i="163"/>
  <c r="Q20" i="163"/>
  <c r="O20" i="163"/>
  <c r="J20" i="163"/>
  <c r="I20" i="163"/>
  <c r="N19" i="163"/>
  <c r="M19" i="163"/>
  <c r="M20" i="163" s="1"/>
  <c r="J19" i="163"/>
  <c r="G19" i="163"/>
  <c r="C19" i="163"/>
  <c r="O18" i="163"/>
  <c r="J18" i="163"/>
  <c r="Q17" i="163"/>
  <c r="O17" i="163"/>
  <c r="M16" i="163"/>
  <c r="K15" i="163"/>
  <c r="P14" i="163"/>
  <c r="N14" i="163"/>
  <c r="K14" i="163"/>
  <c r="N13" i="163"/>
  <c r="K13" i="163"/>
  <c r="J13" i="163"/>
  <c r="J15" i="163" s="1"/>
  <c r="K12" i="163"/>
  <c r="I12" i="163"/>
  <c r="M11" i="163"/>
  <c r="K11" i="163"/>
  <c r="M10" i="163"/>
  <c r="J10" i="163"/>
  <c r="K8" i="163"/>
  <c r="N6" i="163"/>
  <c r="K5" i="163"/>
  <c r="N16" i="163" l="1"/>
  <c r="C22" i="163"/>
  <c r="G19" i="162"/>
  <c r="N34" i="162"/>
  <c r="N31" i="162"/>
  <c r="N32" i="162" s="1"/>
  <c r="N27" i="162"/>
  <c r="K27" i="162"/>
  <c r="O24" i="162"/>
  <c r="M24" i="162"/>
  <c r="J24" i="162"/>
  <c r="I24" i="162"/>
  <c r="H24" i="162"/>
  <c r="Q23" i="162"/>
  <c r="J23" i="162"/>
  <c r="Q22" i="162"/>
  <c r="N22" i="162"/>
  <c r="M21" i="162"/>
  <c r="L21" i="162"/>
  <c r="I21" i="162"/>
  <c r="Q20" i="162"/>
  <c r="O20" i="162"/>
  <c r="J20" i="162"/>
  <c r="I20" i="162"/>
  <c r="N19" i="162"/>
  <c r="M19" i="162"/>
  <c r="M20" i="162" s="1"/>
  <c r="J19" i="162"/>
  <c r="C19" i="162"/>
  <c r="O18" i="162"/>
  <c r="J18" i="162"/>
  <c r="Q17" i="162"/>
  <c r="O17" i="162"/>
  <c r="M16" i="162"/>
  <c r="K15" i="162"/>
  <c r="P14" i="162"/>
  <c r="N14" i="162"/>
  <c r="K14" i="162"/>
  <c r="N13" i="162"/>
  <c r="K13" i="162"/>
  <c r="J13" i="162"/>
  <c r="J15" i="162" s="1"/>
  <c r="K12" i="162"/>
  <c r="I12" i="162"/>
  <c r="M11" i="162"/>
  <c r="K11" i="162"/>
  <c r="M10" i="162"/>
  <c r="J10" i="162"/>
  <c r="K8" i="162"/>
  <c r="N6" i="162"/>
  <c r="K5" i="162"/>
  <c r="N16" i="162" l="1"/>
  <c r="C22" i="162"/>
  <c r="N34" i="161"/>
  <c r="N31" i="161"/>
  <c r="N32" i="161" s="1"/>
  <c r="N27" i="161"/>
  <c r="K27" i="161"/>
  <c r="O24" i="161"/>
  <c r="M24" i="161"/>
  <c r="J24" i="161"/>
  <c r="I24" i="161"/>
  <c r="H24" i="161"/>
  <c r="Q23" i="161"/>
  <c r="J23" i="161"/>
  <c r="Q22" i="161"/>
  <c r="N22" i="161"/>
  <c r="M21" i="161"/>
  <c r="L21" i="161"/>
  <c r="I21" i="161"/>
  <c r="Q20" i="161"/>
  <c r="O20" i="161"/>
  <c r="J20" i="161"/>
  <c r="I20" i="161"/>
  <c r="N19" i="161"/>
  <c r="M19" i="161"/>
  <c r="M20" i="161" s="1"/>
  <c r="J19" i="161"/>
  <c r="G19" i="161"/>
  <c r="C19" i="161"/>
  <c r="O18" i="161"/>
  <c r="J18" i="161"/>
  <c r="Q17" i="161"/>
  <c r="O17" i="161"/>
  <c r="M16" i="161"/>
  <c r="K15" i="161"/>
  <c r="P14" i="161"/>
  <c r="N14" i="161"/>
  <c r="K14" i="161"/>
  <c r="N13" i="161"/>
  <c r="K13" i="161"/>
  <c r="J13" i="161"/>
  <c r="J15" i="161" s="1"/>
  <c r="K12" i="161"/>
  <c r="I12" i="161"/>
  <c r="M11" i="161"/>
  <c r="K11" i="161"/>
  <c r="M10" i="161"/>
  <c r="J10" i="161"/>
  <c r="K8" i="161"/>
  <c r="N6" i="161"/>
  <c r="K5" i="161"/>
  <c r="N16" i="161" l="1"/>
  <c r="C22" i="161"/>
  <c r="N34" i="160"/>
  <c r="N31" i="160"/>
  <c r="N32" i="160" s="1"/>
  <c r="N27" i="160"/>
  <c r="K27" i="160"/>
  <c r="O24" i="160"/>
  <c r="M24" i="160"/>
  <c r="J24" i="160"/>
  <c r="I24" i="160"/>
  <c r="H24" i="160"/>
  <c r="Q23" i="160"/>
  <c r="J23" i="160"/>
  <c r="Q22" i="160"/>
  <c r="N22" i="160"/>
  <c r="M21" i="160"/>
  <c r="L21" i="160"/>
  <c r="I21" i="160"/>
  <c r="Q20" i="160"/>
  <c r="O20" i="160"/>
  <c r="J20" i="160"/>
  <c r="I20" i="160"/>
  <c r="N19" i="160"/>
  <c r="M19" i="160"/>
  <c r="M20" i="160" s="1"/>
  <c r="J19" i="160"/>
  <c r="G19" i="160"/>
  <c r="C19" i="160"/>
  <c r="O18" i="160"/>
  <c r="J18" i="160"/>
  <c r="Q17" i="160"/>
  <c r="O17" i="160"/>
  <c r="M16" i="160"/>
  <c r="K15" i="160"/>
  <c r="P14" i="160"/>
  <c r="N14" i="160"/>
  <c r="K14" i="160"/>
  <c r="N13" i="160"/>
  <c r="K13" i="160"/>
  <c r="J13" i="160"/>
  <c r="J15" i="160" s="1"/>
  <c r="K12" i="160"/>
  <c r="I12" i="160"/>
  <c r="M11" i="160"/>
  <c r="K11" i="160"/>
  <c r="M10" i="160"/>
  <c r="J10" i="160"/>
  <c r="K8" i="160"/>
  <c r="N6" i="160"/>
  <c r="K5" i="160"/>
  <c r="N16" i="160" l="1"/>
  <c r="C22" i="160"/>
  <c r="N34" i="159"/>
  <c r="N31" i="159"/>
  <c r="N32" i="159" s="1"/>
  <c r="N27" i="159"/>
  <c r="K27" i="159"/>
  <c r="O24" i="159"/>
  <c r="M24" i="159"/>
  <c r="J24" i="159"/>
  <c r="I24" i="159"/>
  <c r="H24" i="159"/>
  <c r="Q23" i="159"/>
  <c r="J23" i="159"/>
  <c r="Q22" i="159"/>
  <c r="N22" i="159"/>
  <c r="M21" i="159"/>
  <c r="L21" i="159"/>
  <c r="I21" i="159"/>
  <c r="Q20" i="159"/>
  <c r="O20" i="159"/>
  <c r="J20" i="159"/>
  <c r="I20" i="159"/>
  <c r="N19" i="159"/>
  <c r="M19" i="159"/>
  <c r="M20" i="159" s="1"/>
  <c r="J19" i="159"/>
  <c r="G19" i="159"/>
  <c r="C19" i="159"/>
  <c r="O18" i="159"/>
  <c r="J18" i="159"/>
  <c r="Q17" i="159"/>
  <c r="O17" i="159"/>
  <c r="M16" i="159"/>
  <c r="K15" i="159"/>
  <c r="P14" i="159"/>
  <c r="N14" i="159"/>
  <c r="K14" i="159"/>
  <c r="N13" i="159"/>
  <c r="K13" i="159"/>
  <c r="J13" i="159"/>
  <c r="J15" i="159" s="1"/>
  <c r="K12" i="159"/>
  <c r="I12" i="159"/>
  <c r="M11" i="159"/>
  <c r="K11" i="159"/>
  <c r="M10" i="159"/>
  <c r="J10" i="159"/>
  <c r="K8" i="159"/>
  <c r="N6" i="159"/>
  <c r="K5" i="159"/>
  <c r="N16" i="159" l="1"/>
  <c r="C22" i="159"/>
  <c r="G19" i="158"/>
  <c r="C19" i="158"/>
  <c r="N34" i="158"/>
  <c r="N31" i="158"/>
  <c r="N32" i="158" s="1"/>
  <c r="N27" i="158"/>
  <c r="K27" i="158"/>
  <c r="O24" i="158"/>
  <c r="M24" i="158"/>
  <c r="J24" i="158"/>
  <c r="I24" i="158"/>
  <c r="H24" i="158"/>
  <c r="Q23" i="158"/>
  <c r="J23" i="158"/>
  <c r="Q22" i="158"/>
  <c r="N22" i="158"/>
  <c r="M21" i="158"/>
  <c r="L21" i="158"/>
  <c r="I21" i="158"/>
  <c r="Q20" i="158"/>
  <c r="O20" i="158"/>
  <c r="J20" i="158"/>
  <c r="I20" i="158"/>
  <c r="N19" i="158"/>
  <c r="M19" i="158"/>
  <c r="M20" i="158" s="1"/>
  <c r="J19" i="158"/>
  <c r="O18" i="158"/>
  <c r="J18" i="158"/>
  <c r="Q17" i="158"/>
  <c r="O17" i="158"/>
  <c r="M16" i="158"/>
  <c r="K15" i="158"/>
  <c r="P14" i="158"/>
  <c r="N14" i="158"/>
  <c r="K14" i="158"/>
  <c r="N13" i="158"/>
  <c r="K13" i="158"/>
  <c r="J13" i="158"/>
  <c r="J15" i="158" s="1"/>
  <c r="K12" i="158"/>
  <c r="I12" i="158"/>
  <c r="M11" i="158"/>
  <c r="K11" i="158"/>
  <c r="M10" i="158"/>
  <c r="J10" i="158"/>
  <c r="K8" i="158"/>
  <c r="N6" i="158"/>
  <c r="K5" i="158"/>
  <c r="C22" i="158" l="1"/>
  <c r="N16" i="158"/>
  <c r="N34" i="157"/>
  <c r="N31" i="157"/>
  <c r="N32" i="157" s="1"/>
  <c r="N27" i="157"/>
  <c r="K27" i="157"/>
  <c r="O24" i="157"/>
  <c r="M24" i="157"/>
  <c r="J24" i="157"/>
  <c r="I24" i="157"/>
  <c r="H24" i="157"/>
  <c r="Q23" i="157"/>
  <c r="J23" i="157"/>
  <c r="Q22" i="157"/>
  <c r="N22" i="157"/>
  <c r="M21" i="157"/>
  <c r="L21" i="157"/>
  <c r="I21" i="157"/>
  <c r="Q20" i="157"/>
  <c r="O20" i="157"/>
  <c r="J20" i="157"/>
  <c r="I20" i="157"/>
  <c r="N19" i="157"/>
  <c r="M19" i="157"/>
  <c r="M20" i="157" s="1"/>
  <c r="J19" i="157"/>
  <c r="G19" i="157"/>
  <c r="C19" i="157"/>
  <c r="O18" i="157"/>
  <c r="J18" i="157"/>
  <c r="Q17" i="157"/>
  <c r="O17" i="157"/>
  <c r="M16" i="157"/>
  <c r="K15" i="157"/>
  <c r="P14" i="157"/>
  <c r="N14" i="157"/>
  <c r="K14" i="157"/>
  <c r="N13" i="157"/>
  <c r="K13" i="157"/>
  <c r="J13" i="157"/>
  <c r="J15" i="157" s="1"/>
  <c r="K12" i="157"/>
  <c r="I12" i="157"/>
  <c r="M11" i="157"/>
  <c r="K11" i="157"/>
  <c r="M10" i="157"/>
  <c r="J10" i="157"/>
  <c r="K8" i="157"/>
  <c r="N6" i="157"/>
  <c r="K5" i="157"/>
  <c r="N16" i="157" l="1"/>
  <c r="C22" i="157"/>
  <c r="N34" i="156"/>
  <c r="N31" i="156"/>
  <c r="N32" i="156" s="1"/>
  <c r="N27" i="156"/>
  <c r="K27" i="156"/>
  <c r="O24" i="156"/>
  <c r="M24" i="156"/>
  <c r="J24" i="156"/>
  <c r="I24" i="156"/>
  <c r="H24" i="156"/>
  <c r="Q23" i="156"/>
  <c r="J23" i="156"/>
  <c r="Q22" i="156"/>
  <c r="N22" i="156"/>
  <c r="M21" i="156"/>
  <c r="L21" i="156"/>
  <c r="I21" i="156"/>
  <c r="Q20" i="156"/>
  <c r="O20" i="156"/>
  <c r="J20" i="156"/>
  <c r="I20" i="156"/>
  <c r="N19" i="156"/>
  <c r="M19" i="156"/>
  <c r="M20" i="156" s="1"/>
  <c r="J19" i="156"/>
  <c r="G19" i="156"/>
  <c r="C19" i="156"/>
  <c r="O18" i="156"/>
  <c r="J18" i="156"/>
  <c r="Q17" i="156"/>
  <c r="O17" i="156"/>
  <c r="M16" i="156"/>
  <c r="K15" i="156"/>
  <c r="P14" i="156"/>
  <c r="N14" i="156"/>
  <c r="K14" i="156"/>
  <c r="N13" i="156"/>
  <c r="K13" i="156"/>
  <c r="J13" i="156"/>
  <c r="J15" i="156" s="1"/>
  <c r="K12" i="156"/>
  <c r="I12" i="156"/>
  <c r="M11" i="156"/>
  <c r="K11" i="156"/>
  <c r="M10" i="156"/>
  <c r="J10" i="156"/>
  <c r="K8" i="156"/>
  <c r="N6" i="156"/>
  <c r="K5" i="156"/>
  <c r="N16" i="156" l="1"/>
  <c r="C22" i="156"/>
  <c r="N34" i="155"/>
  <c r="N31" i="155"/>
  <c r="N32" i="155" s="1"/>
  <c r="N27" i="155"/>
  <c r="K27" i="155"/>
  <c r="O24" i="155"/>
  <c r="M24" i="155"/>
  <c r="J24" i="155"/>
  <c r="I24" i="155"/>
  <c r="H24" i="155"/>
  <c r="Q23" i="155"/>
  <c r="J23" i="155"/>
  <c r="Q22" i="155"/>
  <c r="N22" i="155"/>
  <c r="M21" i="155"/>
  <c r="L21" i="155"/>
  <c r="I21" i="155"/>
  <c r="Q20" i="155"/>
  <c r="O20" i="155"/>
  <c r="J20" i="155"/>
  <c r="I20" i="155"/>
  <c r="N19" i="155"/>
  <c r="M19" i="155"/>
  <c r="M20" i="155" s="1"/>
  <c r="J19" i="155"/>
  <c r="G19" i="155"/>
  <c r="C19" i="155"/>
  <c r="O18" i="155"/>
  <c r="J18" i="155"/>
  <c r="Q17" i="155"/>
  <c r="O17" i="155"/>
  <c r="M16" i="155"/>
  <c r="K15" i="155"/>
  <c r="P14" i="155"/>
  <c r="N14" i="155"/>
  <c r="K14" i="155"/>
  <c r="N13" i="155"/>
  <c r="K13" i="155"/>
  <c r="J13" i="155"/>
  <c r="J15" i="155" s="1"/>
  <c r="K12" i="155"/>
  <c r="I12" i="155"/>
  <c r="M11" i="155"/>
  <c r="K11" i="155"/>
  <c r="M10" i="155"/>
  <c r="J10" i="155"/>
  <c r="K8" i="155"/>
  <c r="N6" i="155"/>
  <c r="K5" i="155"/>
  <c r="N16" i="155" l="1"/>
  <c r="C22" i="155"/>
  <c r="N34" i="154"/>
  <c r="N31" i="154"/>
  <c r="N32" i="154" s="1"/>
  <c r="N27" i="154"/>
  <c r="K27" i="154"/>
  <c r="O24" i="154"/>
  <c r="M24" i="154"/>
  <c r="J24" i="154"/>
  <c r="I24" i="154"/>
  <c r="H24" i="154"/>
  <c r="Q23" i="154"/>
  <c r="J23" i="154"/>
  <c r="Q22" i="154"/>
  <c r="N22" i="154"/>
  <c r="M21" i="154"/>
  <c r="L21" i="154"/>
  <c r="I21" i="154"/>
  <c r="Q20" i="154"/>
  <c r="O20" i="154"/>
  <c r="J20" i="154"/>
  <c r="I20" i="154"/>
  <c r="N19" i="154"/>
  <c r="M19" i="154"/>
  <c r="M20" i="154" s="1"/>
  <c r="J19" i="154"/>
  <c r="G19" i="154"/>
  <c r="C19" i="154"/>
  <c r="O18" i="154"/>
  <c r="J18" i="154"/>
  <c r="Q17" i="154"/>
  <c r="O17" i="154"/>
  <c r="M16" i="154"/>
  <c r="K15" i="154"/>
  <c r="P14" i="154"/>
  <c r="N14" i="154"/>
  <c r="K14" i="154"/>
  <c r="N13" i="154"/>
  <c r="K13" i="154"/>
  <c r="J13" i="154"/>
  <c r="J15" i="154" s="1"/>
  <c r="K12" i="154"/>
  <c r="I12" i="154"/>
  <c r="M11" i="154"/>
  <c r="K11" i="154"/>
  <c r="M10" i="154"/>
  <c r="J10" i="154"/>
  <c r="K8" i="154"/>
  <c r="N6" i="154"/>
  <c r="K5" i="154"/>
  <c r="N16" i="154" l="1"/>
  <c r="C22" i="154"/>
  <c r="N34" i="153"/>
  <c r="N31" i="153"/>
  <c r="N32" i="153" s="1"/>
  <c r="N27" i="153"/>
  <c r="K27" i="153"/>
  <c r="O24" i="153"/>
  <c r="M24" i="153"/>
  <c r="J24" i="153"/>
  <c r="I24" i="153"/>
  <c r="H24" i="153"/>
  <c r="Q23" i="153"/>
  <c r="J23" i="153"/>
  <c r="Q22" i="153"/>
  <c r="N22" i="153"/>
  <c r="M21" i="153"/>
  <c r="L21" i="153"/>
  <c r="I21" i="153"/>
  <c r="Q20" i="153"/>
  <c r="O20" i="153"/>
  <c r="J20" i="153"/>
  <c r="I20" i="153"/>
  <c r="N19" i="153"/>
  <c r="M19" i="153"/>
  <c r="M20" i="153" s="1"/>
  <c r="J19" i="153"/>
  <c r="G19" i="153"/>
  <c r="C19" i="153"/>
  <c r="O18" i="153"/>
  <c r="J18" i="153"/>
  <c r="Q17" i="153"/>
  <c r="O17" i="153"/>
  <c r="M16" i="153"/>
  <c r="K15" i="153"/>
  <c r="P14" i="153"/>
  <c r="N14" i="153"/>
  <c r="K14" i="153"/>
  <c r="N13" i="153"/>
  <c r="K13" i="153"/>
  <c r="J13" i="153"/>
  <c r="J15" i="153" s="1"/>
  <c r="K12" i="153"/>
  <c r="I12" i="153"/>
  <c r="M11" i="153"/>
  <c r="K11" i="153"/>
  <c r="M10" i="153"/>
  <c r="J10" i="153"/>
  <c r="K8" i="153"/>
  <c r="N6" i="153"/>
  <c r="K5" i="153"/>
  <c r="N16" i="153" l="1"/>
  <c r="C22" i="153"/>
  <c r="N34" i="152"/>
  <c r="N31" i="152"/>
  <c r="N32" i="152" s="1"/>
  <c r="N27" i="152"/>
  <c r="K27" i="152"/>
  <c r="O24" i="152"/>
  <c r="M24" i="152"/>
  <c r="J24" i="152"/>
  <c r="I24" i="152"/>
  <c r="H24" i="152"/>
  <c r="Q23" i="152"/>
  <c r="J23" i="152"/>
  <c r="Q22" i="152"/>
  <c r="N22" i="152"/>
  <c r="M21" i="152"/>
  <c r="L21" i="152"/>
  <c r="I21" i="152"/>
  <c r="Q20" i="152"/>
  <c r="O20" i="152"/>
  <c r="J20" i="152"/>
  <c r="I20" i="152"/>
  <c r="N19" i="152"/>
  <c r="M19" i="152"/>
  <c r="M20" i="152" s="1"/>
  <c r="J19" i="152"/>
  <c r="G19" i="152"/>
  <c r="C19" i="152"/>
  <c r="O18" i="152"/>
  <c r="J18" i="152"/>
  <c r="Q17" i="152"/>
  <c r="O17" i="152"/>
  <c r="M16" i="152"/>
  <c r="K15" i="152"/>
  <c r="P14" i="152"/>
  <c r="N14" i="152"/>
  <c r="K14" i="152"/>
  <c r="N13" i="152"/>
  <c r="K13" i="152"/>
  <c r="J13" i="152"/>
  <c r="J15" i="152" s="1"/>
  <c r="K12" i="152"/>
  <c r="I12" i="152"/>
  <c r="M11" i="152"/>
  <c r="K11" i="152"/>
  <c r="M10" i="152"/>
  <c r="J10" i="152"/>
  <c r="K8" i="152"/>
  <c r="N6" i="152"/>
  <c r="K5" i="152"/>
  <c r="N16" i="152" l="1"/>
  <c r="C22" i="152"/>
  <c r="N34" i="151"/>
  <c r="N31" i="151"/>
  <c r="N32" i="151" s="1"/>
  <c r="N27" i="151"/>
  <c r="K27" i="151"/>
  <c r="F25" i="151"/>
  <c r="O24" i="151"/>
  <c r="M24" i="151"/>
  <c r="J24" i="151"/>
  <c r="I24" i="151"/>
  <c r="H24" i="151"/>
  <c r="Q23" i="151"/>
  <c r="J23" i="151"/>
  <c r="F23" i="151"/>
  <c r="Q22" i="151"/>
  <c r="N22" i="151"/>
  <c r="M21" i="151"/>
  <c r="L21" i="151"/>
  <c r="I21" i="151"/>
  <c r="Q20" i="151"/>
  <c r="O20" i="151"/>
  <c r="J20" i="151"/>
  <c r="I20" i="151"/>
  <c r="N19" i="151"/>
  <c r="M19" i="151"/>
  <c r="M20" i="151" s="1"/>
  <c r="J19" i="151"/>
  <c r="G19" i="151"/>
  <c r="C19" i="151"/>
  <c r="O18" i="151"/>
  <c r="J18" i="151"/>
  <c r="Q17" i="151"/>
  <c r="O17" i="151"/>
  <c r="M16" i="151"/>
  <c r="K15" i="151"/>
  <c r="P14" i="151"/>
  <c r="N14" i="151"/>
  <c r="K14" i="151"/>
  <c r="N13" i="151"/>
  <c r="K13" i="151"/>
  <c r="J13" i="151"/>
  <c r="J15" i="151" s="1"/>
  <c r="K12" i="151"/>
  <c r="I12" i="151"/>
  <c r="M11" i="151"/>
  <c r="K11" i="151"/>
  <c r="M10" i="151"/>
  <c r="J10" i="151"/>
  <c r="K8" i="151"/>
  <c r="N6" i="151"/>
  <c r="K5" i="151"/>
  <c r="J18" i="150"/>
  <c r="F23" i="150"/>
  <c r="N34" i="150"/>
  <c r="N31" i="150"/>
  <c r="N32" i="150" s="1"/>
  <c r="N27" i="150"/>
  <c r="K27" i="150"/>
  <c r="F25" i="150"/>
  <c r="O24" i="150"/>
  <c r="M24" i="150"/>
  <c r="J24" i="150"/>
  <c r="I24" i="150"/>
  <c r="H24" i="150"/>
  <c r="Q23" i="150"/>
  <c r="J23" i="150"/>
  <c r="Q22" i="150"/>
  <c r="N22" i="150"/>
  <c r="M21" i="150"/>
  <c r="L21" i="150"/>
  <c r="I21" i="150"/>
  <c r="Q20" i="150"/>
  <c r="O20" i="150"/>
  <c r="J20" i="150"/>
  <c r="I20" i="150"/>
  <c r="N19" i="150"/>
  <c r="M19" i="150"/>
  <c r="M20" i="150" s="1"/>
  <c r="J19" i="150"/>
  <c r="G19" i="150"/>
  <c r="O18" i="150"/>
  <c r="Q17" i="150"/>
  <c r="O17" i="150"/>
  <c r="M16" i="150"/>
  <c r="K15" i="150"/>
  <c r="P14" i="150"/>
  <c r="N14" i="150"/>
  <c r="K14" i="150"/>
  <c r="N13" i="150"/>
  <c r="K13" i="150"/>
  <c r="J13" i="150"/>
  <c r="J15" i="150" s="1"/>
  <c r="K12" i="150"/>
  <c r="I12" i="150"/>
  <c r="M11" i="150"/>
  <c r="K11" i="150"/>
  <c r="M10" i="150"/>
  <c r="J10" i="150"/>
  <c r="K8" i="150"/>
  <c r="N6" i="150"/>
  <c r="K5" i="150"/>
  <c r="C19" i="150"/>
  <c r="N16" i="151" l="1"/>
  <c r="N16" i="150"/>
  <c r="C22" i="151"/>
  <c r="C22" i="150"/>
  <c r="F25" i="149"/>
  <c r="J24" i="149"/>
  <c r="C4" i="149"/>
  <c r="C19" i="149" s="1"/>
  <c r="N34" i="149"/>
  <c r="N31" i="149"/>
  <c r="N32" i="149" s="1"/>
  <c r="N27" i="149"/>
  <c r="K27" i="149"/>
  <c r="O24" i="149"/>
  <c r="M24" i="149"/>
  <c r="I24" i="149"/>
  <c r="H24" i="149"/>
  <c r="Q23" i="149"/>
  <c r="J23" i="149"/>
  <c r="Q22" i="149"/>
  <c r="N22" i="149"/>
  <c r="M21" i="149"/>
  <c r="L21" i="149"/>
  <c r="I21" i="149"/>
  <c r="Q20" i="149"/>
  <c r="O20" i="149"/>
  <c r="J20" i="149"/>
  <c r="I20" i="149"/>
  <c r="N19" i="149"/>
  <c r="M19" i="149"/>
  <c r="M20" i="149" s="1"/>
  <c r="J19" i="149"/>
  <c r="G19" i="149"/>
  <c r="O18" i="149"/>
  <c r="Q17" i="149"/>
  <c r="O17" i="149"/>
  <c r="M16" i="149"/>
  <c r="K15" i="149"/>
  <c r="P14" i="149"/>
  <c r="N14" i="149"/>
  <c r="K14" i="149"/>
  <c r="N13" i="149"/>
  <c r="K13" i="149"/>
  <c r="J13" i="149"/>
  <c r="J15" i="149" s="1"/>
  <c r="K12" i="149"/>
  <c r="I12" i="149"/>
  <c r="M11" i="149"/>
  <c r="K11" i="149"/>
  <c r="M10" i="149"/>
  <c r="J10" i="149"/>
  <c r="K8" i="149"/>
  <c r="N6" i="149"/>
  <c r="K5" i="149"/>
  <c r="N16" i="149" l="1"/>
  <c r="C22" i="149"/>
  <c r="N34" i="148"/>
  <c r="N31" i="148"/>
  <c r="N32" i="148" s="1"/>
  <c r="N27" i="148"/>
  <c r="K27" i="148"/>
  <c r="O24" i="148"/>
  <c r="M24" i="148"/>
  <c r="I24" i="148"/>
  <c r="H24" i="148"/>
  <c r="Q23" i="148"/>
  <c r="J23" i="148"/>
  <c r="Q22" i="148"/>
  <c r="N22" i="148"/>
  <c r="M21" i="148"/>
  <c r="L21" i="148"/>
  <c r="I21" i="148"/>
  <c r="Q20" i="148"/>
  <c r="O20" i="148"/>
  <c r="J20" i="148"/>
  <c r="I20" i="148"/>
  <c r="N19" i="148"/>
  <c r="M19" i="148"/>
  <c r="M20" i="148" s="1"/>
  <c r="J19" i="148"/>
  <c r="G19" i="148"/>
  <c r="C19" i="148"/>
  <c r="O18" i="148"/>
  <c r="Q17" i="148"/>
  <c r="O17" i="148"/>
  <c r="M16" i="148"/>
  <c r="K15" i="148"/>
  <c r="P14" i="148"/>
  <c r="N14" i="148"/>
  <c r="K14" i="148"/>
  <c r="N13" i="148"/>
  <c r="K13" i="148"/>
  <c r="J13" i="148"/>
  <c r="J15" i="148" s="1"/>
  <c r="K12" i="148"/>
  <c r="I12" i="148"/>
  <c r="M11" i="148"/>
  <c r="K11" i="148"/>
  <c r="M10" i="148"/>
  <c r="J10" i="148"/>
  <c r="K8" i="148"/>
  <c r="N6" i="148"/>
  <c r="K5" i="148"/>
  <c r="N16" i="148" l="1"/>
  <c r="C22" i="148"/>
  <c r="N34" i="146" l="1"/>
  <c r="N31" i="146"/>
  <c r="N32" i="146" s="1"/>
  <c r="N27" i="146"/>
  <c r="K27" i="146"/>
  <c r="O24" i="146"/>
  <c r="M24" i="146"/>
  <c r="I24" i="146"/>
  <c r="H24" i="146"/>
  <c r="Q23" i="146"/>
  <c r="J23" i="146"/>
  <c r="Q22" i="146"/>
  <c r="N22" i="146"/>
  <c r="M21" i="146"/>
  <c r="L21" i="146"/>
  <c r="I21" i="146"/>
  <c r="Q20" i="146"/>
  <c r="O20" i="146"/>
  <c r="J20" i="146"/>
  <c r="I20" i="146"/>
  <c r="N19" i="146"/>
  <c r="M19" i="146"/>
  <c r="M20" i="146" s="1"/>
  <c r="J19" i="146"/>
  <c r="G19" i="146"/>
  <c r="C19" i="146"/>
  <c r="O18" i="146"/>
  <c r="Q17" i="146"/>
  <c r="O17" i="146"/>
  <c r="M16" i="146"/>
  <c r="K15" i="146"/>
  <c r="P14" i="146"/>
  <c r="N14" i="146"/>
  <c r="K14" i="146"/>
  <c r="N13" i="146"/>
  <c r="K13" i="146"/>
  <c r="J13" i="146"/>
  <c r="J15" i="146" s="1"/>
  <c r="K12" i="146"/>
  <c r="I12" i="146"/>
  <c r="M11" i="146"/>
  <c r="K11" i="146"/>
  <c r="M10" i="146"/>
  <c r="J10" i="146"/>
  <c r="K8" i="146"/>
  <c r="N6" i="146"/>
  <c r="K5" i="146"/>
  <c r="N34" i="145"/>
  <c r="N31" i="145"/>
  <c r="N32" i="145" s="1"/>
  <c r="N27" i="145"/>
  <c r="K27" i="145"/>
  <c r="O24" i="145"/>
  <c r="M24" i="145"/>
  <c r="I24" i="145"/>
  <c r="H24" i="145"/>
  <c r="Q23" i="145"/>
  <c r="J23" i="145"/>
  <c r="Q22" i="145"/>
  <c r="N22" i="145"/>
  <c r="M21" i="145"/>
  <c r="L21" i="145"/>
  <c r="I21" i="145"/>
  <c r="Q20" i="145"/>
  <c r="O20" i="145"/>
  <c r="J20" i="145"/>
  <c r="I20" i="145"/>
  <c r="N19" i="145"/>
  <c r="M19" i="145"/>
  <c r="M20" i="145" s="1"/>
  <c r="J19" i="145"/>
  <c r="G19" i="145"/>
  <c r="C19" i="145"/>
  <c r="O18" i="145"/>
  <c r="Q17" i="145"/>
  <c r="O17" i="145"/>
  <c r="M16" i="145"/>
  <c r="K15" i="145"/>
  <c r="P14" i="145"/>
  <c r="N14" i="145"/>
  <c r="K14" i="145"/>
  <c r="N13" i="145"/>
  <c r="K13" i="145"/>
  <c r="J13" i="145"/>
  <c r="J15" i="145" s="1"/>
  <c r="K12" i="145"/>
  <c r="I12" i="145"/>
  <c r="M11" i="145"/>
  <c r="K11" i="145"/>
  <c r="M10" i="145"/>
  <c r="J10" i="145"/>
  <c r="K8" i="145"/>
  <c r="N6" i="145"/>
  <c r="K5" i="145"/>
  <c r="J13" i="144"/>
  <c r="J15" i="144" s="1"/>
  <c r="N16" i="145" l="1"/>
  <c r="N16" i="146"/>
  <c r="C22" i="146"/>
  <c r="C22" i="145"/>
  <c r="N34" i="144"/>
  <c r="N31" i="144"/>
  <c r="N32" i="144" s="1"/>
  <c r="N27" i="144"/>
  <c r="K27" i="144"/>
  <c r="O24" i="144"/>
  <c r="M24" i="144"/>
  <c r="I24" i="144"/>
  <c r="H24" i="144"/>
  <c r="Q23" i="144"/>
  <c r="J23" i="144"/>
  <c r="Q22" i="144"/>
  <c r="N22" i="144"/>
  <c r="M21" i="144"/>
  <c r="L21" i="144"/>
  <c r="I21" i="144"/>
  <c r="Q20" i="144"/>
  <c r="O20" i="144"/>
  <c r="J20" i="144"/>
  <c r="I20" i="144"/>
  <c r="N19" i="144"/>
  <c r="M19" i="144"/>
  <c r="M20" i="144" s="1"/>
  <c r="J19" i="144"/>
  <c r="G19" i="144"/>
  <c r="C19" i="144"/>
  <c r="O18" i="144"/>
  <c r="Q17" i="144"/>
  <c r="O17" i="144"/>
  <c r="M16" i="144"/>
  <c r="K15" i="144"/>
  <c r="P14" i="144"/>
  <c r="N14" i="144"/>
  <c r="K14" i="144"/>
  <c r="N13" i="144"/>
  <c r="K13" i="144"/>
  <c r="K12" i="144"/>
  <c r="I12" i="144"/>
  <c r="M11" i="144"/>
  <c r="K11" i="144"/>
  <c r="M10" i="144"/>
  <c r="J10" i="144"/>
  <c r="K8" i="144"/>
  <c r="N6" i="144"/>
  <c r="K5" i="144"/>
  <c r="N16" i="144" l="1"/>
  <c r="C22" i="144"/>
  <c r="N34" i="143"/>
  <c r="N31" i="143"/>
  <c r="N32" i="143" s="1"/>
  <c r="N27" i="143"/>
  <c r="K27" i="143"/>
  <c r="O24" i="143"/>
  <c r="M24" i="143"/>
  <c r="I24" i="143"/>
  <c r="H24" i="143"/>
  <c r="Q23" i="143"/>
  <c r="J23" i="143"/>
  <c r="Q22" i="143"/>
  <c r="N22" i="143"/>
  <c r="M21" i="143"/>
  <c r="L21" i="143"/>
  <c r="I21" i="143"/>
  <c r="Q20" i="143"/>
  <c r="O20" i="143"/>
  <c r="J20" i="143"/>
  <c r="I20" i="143"/>
  <c r="N19" i="143"/>
  <c r="M19" i="143"/>
  <c r="M20" i="143" s="1"/>
  <c r="J19" i="143"/>
  <c r="G19" i="143"/>
  <c r="C19" i="143"/>
  <c r="O18" i="143"/>
  <c r="Q17" i="143"/>
  <c r="O17" i="143"/>
  <c r="M16" i="143"/>
  <c r="K15" i="143"/>
  <c r="P14" i="143"/>
  <c r="N14" i="143"/>
  <c r="K14" i="143"/>
  <c r="N13" i="143"/>
  <c r="K13" i="143"/>
  <c r="K12" i="143"/>
  <c r="I12" i="143"/>
  <c r="M11" i="143"/>
  <c r="K11" i="143"/>
  <c r="M10" i="143"/>
  <c r="J10" i="143"/>
  <c r="K8" i="143"/>
  <c r="N6" i="143"/>
  <c r="K5" i="143"/>
  <c r="N16" i="143" l="1"/>
  <c r="C22" i="143"/>
  <c r="N34" i="142"/>
  <c r="N31" i="142"/>
  <c r="N32" i="142" s="1"/>
  <c r="N27" i="142"/>
  <c r="K27" i="142"/>
  <c r="O24" i="142"/>
  <c r="M24" i="142"/>
  <c r="I24" i="142"/>
  <c r="H24" i="142"/>
  <c r="Q23" i="142"/>
  <c r="J23" i="142"/>
  <c r="Q22" i="142"/>
  <c r="N22" i="142"/>
  <c r="M21" i="142"/>
  <c r="L21" i="142"/>
  <c r="I21" i="142"/>
  <c r="Q20" i="142"/>
  <c r="O20" i="142"/>
  <c r="J20" i="142"/>
  <c r="I20" i="142"/>
  <c r="N19" i="142"/>
  <c r="M19" i="142"/>
  <c r="M20" i="142" s="1"/>
  <c r="J19" i="142"/>
  <c r="G19" i="142"/>
  <c r="C19" i="142"/>
  <c r="O18" i="142"/>
  <c r="Q17" i="142"/>
  <c r="O17" i="142"/>
  <c r="M16" i="142"/>
  <c r="K15" i="142"/>
  <c r="P14" i="142"/>
  <c r="N14" i="142"/>
  <c r="K14" i="142"/>
  <c r="N13" i="142"/>
  <c r="K13" i="142"/>
  <c r="K12" i="142"/>
  <c r="I12" i="142"/>
  <c r="M11" i="142"/>
  <c r="K11" i="142"/>
  <c r="M10" i="142"/>
  <c r="J10" i="142"/>
  <c r="K8" i="142"/>
  <c r="N6" i="142"/>
  <c r="K5" i="142"/>
  <c r="N16" i="142" l="1"/>
  <c r="C22" i="142"/>
  <c r="N34" i="141"/>
  <c r="N31" i="141"/>
  <c r="N32" i="141" s="1"/>
  <c r="N27" i="141"/>
  <c r="K27" i="141"/>
  <c r="O24" i="141"/>
  <c r="M24" i="141"/>
  <c r="I24" i="141"/>
  <c r="H24" i="141"/>
  <c r="Q23" i="141"/>
  <c r="J23" i="141"/>
  <c r="Q22" i="141"/>
  <c r="N22" i="141"/>
  <c r="M21" i="141"/>
  <c r="L21" i="141"/>
  <c r="I21" i="141"/>
  <c r="Q20" i="141"/>
  <c r="O20" i="141"/>
  <c r="J20" i="141"/>
  <c r="I20" i="141"/>
  <c r="N19" i="141"/>
  <c r="M19" i="141"/>
  <c r="M20" i="141" s="1"/>
  <c r="J19" i="141"/>
  <c r="G19" i="141"/>
  <c r="C19" i="141"/>
  <c r="O18" i="141"/>
  <c r="Q17" i="141"/>
  <c r="O17" i="141"/>
  <c r="M16" i="141"/>
  <c r="K15" i="141"/>
  <c r="P14" i="141"/>
  <c r="N14" i="141"/>
  <c r="K14" i="141"/>
  <c r="N13" i="141"/>
  <c r="K13" i="141"/>
  <c r="K12" i="141"/>
  <c r="I12" i="141"/>
  <c r="M11" i="141"/>
  <c r="K11" i="141"/>
  <c r="M10" i="141"/>
  <c r="J10" i="141"/>
  <c r="K8" i="141"/>
  <c r="N6" i="141"/>
  <c r="K5" i="141"/>
  <c r="N16" i="141" l="1"/>
  <c r="C22" i="141"/>
  <c r="N34" i="140"/>
  <c r="N31" i="140"/>
  <c r="N32" i="140" s="1"/>
  <c r="N27" i="140"/>
  <c r="K27" i="140"/>
  <c r="O24" i="140"/>
  <c r="M24" i="140"/>
  <c r="I24" i="140"/>
  <c r="H24" i="140"/>
  <c r="Q23" i="140"/>
  <c r="J23" i="140"/>
  <c r="Q22" i="140"/>
  <c r="N22" i="140"/>
  <c r="M21" i="140"/>
  <c r="L21" i="140"/>
  <c r="I21" i="140"/>
  <c r="Q20" i="140"/>
  <c r="O20" i="140"/>
  <c r="J20" i="140"/>
  <c r="I20" i="140"/>
  <c r="N19" i="140"/>
  <c r="M19" i="140"/>
  <c r="M20" i="140" s="1"/>
  <c r="J19" i="140"/>
  <c r="G19" i="140"/>
  <c r="C19" i="140"/>
  <c r="O18" i="140"/>
  <c r="Q17" i="140"/>
  <c r="O17" i="140"/>
  <c r="M16" i="140"/>
  <c r="K15" i="140"/>
  <c r="P14" i="140"/>
  <c r="N14" i="140"/>
  <c r="K14" i="140"/>
  <c r="N13" i="140"/>
  <c r="K13" i="140"/>
  <c r="K12" i="140"/>
  <c r="I12" i="140"/>
  <c r="M11" i="140"/>
  <c r="K11" i="140"/>
  <c r="M10" i="140"/>
  <c r="J10" i="140"/>
  <c r="K8" i="140"/>
  <c r="N6" i="140"/>
  <c r="K5" i="140"/>
  <c r="N16" i="140" l="1"/>
  <c r="C22" i="140"/>
  <c r="J20" i="139"/>
  <c r="J19" i="139"/>
  <c r="G16" i="139"/>
  <c r="G19" i="139" s="1"/>
  <c r="C6" i="139"/>
  <c r="C4" i="139"/>
  <c r="N34" i="139"/>
  <c r="N31" i="139"/>
  <c r="N32" i="139" s="1"/>
  <c r="N27" i="139"/>
  <c r="K27" i="139"/>
  <c r="O24" i="139"/>
  <c r="M24" i="139"/>
  <c r="I24" i="139"/>
  <c r="H24" i="139"/>
  <c r="Q23" i="139"/>
  <c r="J23" i="139"/>
  <c r="Q22" i="139"/>
  <c r="N22" i="139"/>
  <c r="M21" i="139"/>
  <c r="L21" i="139"/>
  <c r="I21" i="139"/>
  <c r="Q20" i="139"/>
  <c r="O20" i="139"/>
  <c r="I20" i="139"/>
  <c r="N19" i="139"/>
  <c r="M19" i="139"/>
  <c r="M20" i="139" s="1"/>
  <c r="O18" i="139"/>
  <c r="Q17" i="139"/>
  <c r="O17" i="139"/>
  <c r="M16" i="139"/>
  <c r="K15" i="139"/>
  <c r="P14" i="139"/>
  <c r="N14" i="139"/>
  <c r="K14" i="139"/>
  <c r="N13" i="139"/>
  <c r="K13" i="139"/>
  <c r="K12" i="139"/>
  <c r="I12" i="139"/>
  <c r="M11" i="139"/>
  <c r="K11" i="139"/>
  <c r="M10" i="139"/>
  <c r="J10" i="139"/>
  <c r="K8" i="139"/>
  <c r="N6" i="139"/>
  <c r="K5" i="139"/>
  <c r="C19" i="139" l="1"/>
  <c r="C22" i="139" s="1"/>
  <c r="N16" i="139"/>
  <c r="N34" i="138"/>
  <c r="N31" i="138"/>
  <c r="N32" i="138" s="1"/>
  <c r="N27" i="138"/>
  <c r="K27" i="138"/>
  <c r="O24" i="138"/>
  <c r="M24" i="138"/>
  <c r="I24" i="138"/>
  <c r="H24" i="138"/>
  <c r="Q23" i="138"/>
  <c r="J23" i="138"/>
  <c r="Q22" i="138"/>
  <c r="N22" i="138"/>
  <c r="M21" i="138"/>
  <c r="L21" i="138"/>
  <c r="I21" i="138"/>
  <c r="Q20" i="138"/>
  <c r="O20" i="138"/>
  <c r="I20" i="138"/>
  <c r="N19" i="138"/>
  <c r="M19" i="138"/>
  <c r="M20" i="138" s="1"/>
  <c r="G19" i="138"/>
  <c r="C19" i="138"/>
  <c r="O18" i="138"/>
  <c r="Q17" i="138"/>
  <c r="O17" i="138"/>
  <c r="M16" i="138"/>
  <c r="K15" i="138"/>
  <c r="P14" i="138"/>
  <c r="N14" i="138"/>
  <c r="K14" i="138"/>
  <c r="N13" i="138"/>
  <c r="K13" i="138"/>
  <c r="K12" i="138"/>
  <c r="I12" i="138"/>
  <c r="M11" i="138"/>
  <c r="K11" i="138"/>
  <c r="M10" i="138"/>
  <c r="J10" i="138"/>
  <c r="K8" i="138"/>
  <c r="N6" i="138"/>
  <c r="K5" i="138"/>
  <c r="N16" i="138" l="1"/>
  <c r="C22" i="138"/>
  <c r="N34" i="137"/>
  <c r="N31" i="137"/>
  <c r="N32" i="137" s="1"/>
  <c r="N27" i="137"/>
  <c r="K27" i="137"/>
  <c r="O24" i="137"/>
  <c r="M24" i="137"/>
  <c r="I24" i="137"/>
  <c r="H24" i="137"/>
  <c r="Q23" i="137"/>
  <c r="J23" i="137"/>
  <c r="Q22" i="137"/>
  <c r="N22" i="137"/>
  <c r="M21" i="137"/>
  <c r="L21" i="137"/>
  <c r="I21" i="137"/>
  <c r="Q20" i="137"/>
  <c r="O20" i="137"/>
  <c r="I20" i="137"/>
  <c r="N19" i="137"/>
  <c r="M19" i="137"/>
  <c r="M20" i="137" s="1"/>
  <c r="G19" i="137"/>
  <c r="C19" i="137"/>
  <c r="O18" i="137"/>
  <c r="Q17" i="137"/>
  <c r="O17" i="137"/>
  <c r="M16" i="137"/>
  <c r="K15" i="137"/>
  <c r="P14" i="137"/>
  <c r="N14" i="137"/>
  <c r="K14" i="137"/>
  <c r="N13" i="137"/>
  <c r="K13" i="137"/>
  <c r="K12" i="137"/>
  <c r="I12" i="137"/>
  <c r="M11" i="137"/>
  <c r="K11" i="137"/>
  <c r="M10" i="137"/>
  <c r="J10" i="137"/>
  <c r="K8" i="137"/>
  <c r="N6" i="137"/>
  <c r="K5" i="137"/>
  <c r="N16" i="137" l="1"/>
  <c r="C22" i="137"/>
  <c r="N34" i="136" l="1"/>
  <c r="N31" i="136"/>
  <c r="N32" i="136" s="1"/>
  <c r="N27" i="136"/>
  <c r="K27" i="136"/>
  <c r="O24" i="136"/>
  <c r="M24" i="136"/>
  <c r="I24" i="136"/>
  <c r="H24" i="136"/>
  <c r="Q23" i="136"/>
  <c r="J23" i="136"/>
  <c r="Q22" i="136"/>
  <c r="N22" i="136"/>
  <c r="M21" i="136"/>
  <c r="L21" i="136"/>
  <c r="I21" i="136"/>
  <c r="Q20" i="136"/>
  <c r="O20" i="136"/>
  <c r="I20" i="136"/>
  <c r="N19" i="136"/>
  <c r="M19" i="136"/>
  <c r="M20" i="136" s="1"/>
  <c r="G19" i="136"/>
  <c r="C19" i="136"/>
  <c r="O18" i="136"/>
  <c r="Q17" i="136"/>
  <c r="O17" i="136"/>
  <c r="M16" i="136"/>
  <c r="K15" i="136"/>
  <c r="P14" i="136"/>
  <c r="N14" i="136"/>
  <c r="K14" i="136"/>
  <c r="N13" i="136"/>
  <c r="K13" i="136"/>
  <c r="K12" i="136"/>
  <c r="I12" i="136"/>
  <c r="M11" i="136"/>
  <c r="K11" i="136"/>
  <c r="M10" i="136"/>
  <c r="J10" i="136"/>
  <c r="K8" i="136"/>
  <c r="N6" i="136"/>
  <c r="K5" i="136"/>
  <c r="N16" i="136" l="1"/>
  <c r="C22" i="136"/>
  <c r="N34" i="135"/>
  <c r="N31" i="135"/>
  <c r="N32" i="135" s="1"/>
  <c r="N27" i="135"/>
  <c r="K27" i="135"/>
  <c r="O24" i="135"/>
  <c r="M24" i="135"/>
  <c r="I24" i="135"/>
  <c r="H24" i="135"/>
  <c r="Q23" i="135"/>
  <c r="J23" i="135"/>
  <c r="Q22" i="135"/>
  <c r="N22" i="135"/>
  <c r="M21" i="135"/>
  <c r="L21" i="135"/>
  <c r="I21" i="135"/>
  <c r="Q20" i="135"/>
  <c r="O20" i="135"/>
  <c r="I20" i="135"/>
  <c r="N19" i="135"/>
  <c r="M19" i="135"/>
  <c r="M20" i="135" s="1"/>
  <c r="G19" i="135"/>
  <c r="C19" i="135"/>
  <c r="O18" i="135"/>
  <c r="Q17" i="135"/>
  <c r="O17" i="135"/>
  <c r="M16" i="135"/>
  <c r="K15" i="135"/>
  <c r="P14" i="135"/>
  <c r="N14" i="135"/>
  <c r="K14" i="135"/>
  <c r="N13" i="135"/>
  <c r="K13" i="135"/>
  <c r="K12" i="135"/>
  <c r="I12" i="135"/>
  <c r="M11" i="135"/>
  <c r="K11" i="135"/>
  <c r="M10" i="135"/>
  <c r="J10" i="135"/>
  <c r="K8" i="135"/>
  <c r="N6" i="135"/>
  <c r="K5" i="135"/>
  <c r="N16" i="135" l="1"/>
  <c r="C22" i="135"/>
  <c r="N34" i="134"/>
  <c r="N31" i="134"/>
  <c r="N32" i="134" s="1"/>
  <c r="N27" i="134"/>
  <c r="O24" i="134"/>
  <c r="M24" i="134"/>
  <c r="I24" i="134"/>
  <c r="H24" i="134"/>
  <c r="Q23" i="134"/>
  <c r="J23" i="134"/>
  <c r="H23" i="134"/>
  <c r="Q22" i="134"/>
  <c r="N22" i="134"/>
  <c r="M21" i="134"/>
  <c r="L21" i="134"/>
  <c r="I21" i="134"/>
  <c r="O20" i="134"/>
  <c r="I20" i="134"/>
  <c r="N19" i="134"/>
  <c r="M19" i="134"/>
  <c r="M20" i="134" s="1"/>
  <c r="K19" i="134"/>
  <c r="K27" i="134" s="1"/>
  <c r="G19" i="134"/>
  <c r="C19" i="134"/>
  <c r="P18" i="134"/>
  <c r="O18" i="134"/>
  <c r="O17" i="134"/>
  <c r="M16" i="134"/>
  <c r="K15" i="134"/>
  <c r="P14" i="134"/>
  <c r="K14" i="134"/>
  <c r="K13" i="134"/>
  <c r="K12" i="134"/>
  <c r="I12" i="134"/>
  <c r="M11" i="134"/>
  <c r="K11" i="134"/>
  <c r="M10" i="134"/>
  <c r="J10" i="134"/>
  <c r="K8" i="134"/>
  <c r="N6" i="134"/>
  <c r="K5" i="134"/>
  <c r="C22" i="134" l="1"/>
  <c r="N34" i="133"/>
  <c r="N31" i="133"/>
  <c r="N32" i="133" s="1"/>
  <c r="N27" i="133"/>
  <c r="O24" i="133"/>
  <c r="M24" i="133"/>
  <c r="I24" i="133"/>
  <c r="H24" i="133"/>
  <c r="Q23" i="133"/>
  <c r="J23" i="133"/>
  <c r="H23" i="133"/>
  <c r="Q22" i="133"/>
  <c r="N22" i="133"/>
  <c r="M21" i="133"/>
  <c r="L21" i="133"/>
  <c r="I21" i="133"/>
  <c r="O20" i="133"/>
  <c r="I20" i="133"/>
  <c r="N19" i="133"/>
  <c r="M19" i="133"/>
  <c r="M20" i="133" s="1"/>
  <c r="K19" i="133"/>
  <c r="K27" i="133" s="1"/>
  <c r="G19" i="133"/>
  <c r="C19" i="133"/>
  <c r="P18" i="133"/>
  <c r="O18" i="133"/>
  <c r="O17" i="133"/>
  <c r="M16" i="133"/>
  <c r="K15" i="133"/>
  <c r="P14" i="133"/>
  <c r="K14" i="133"/>
  <c r="K13" i="133"/>
  <c r="K12" i="133"/>
  <c r="I12" i="133"/>
  <c r="M11" i="133"/>
  <c r="K11" i="133"/>
  <c r="M10" i="133"/>
  <c r="J10" i="133"/>
  <c r="K8" i="133"/>
  <c r="N6" i="133"/>
  <c r="K5" i="133"/>
  <c r="C22" i="133" l="1"/>
  <c r="N34" i="132"/>
  <c r="N31" i="132"/>
  <c r="N32" i="132" s="1"/>
  <c r="N27" i="132"/>
  <c r="O24" i="132"/>
  <c r="M24" i="132"/>
  <c r="I24" i="132"/>
  <c r="H24" i="132"/>
  <c r="Q23" i="132"/>
  <c r="J23" i="132"/>
  <c r="H23" i="132"/>
  <c r="Q22" i="132"/>
  <c r="N22" i="132"/>
  <c r="M21" i="132"/>
  <c r="L21" i="132"/>
  <c r="I21" i="132"/>
  <c r="O20" i="132"/>
  <c r="I20" i="132"/>
  <c r="N19" i="132"/>
  <c r="M19" i="132"/>
  <c r="M20" i="132" s="1"/>
  <c r="K19" i="132"/>
  <c r="K27" i="132" s="1"/>
  <c r="G19" i="132"/>
  <c r="C19" i="132"/>
  <c r="P18" i="132"/>
  <c r="O18" i="132"/>
  <c r="O17" i="132"/>
  <c r="M16" i="132"/>
  <c r="K15" i="132"/>
  <c r="P14" i="132"/>
  <c r="K14" i="132"/>
  <c r="K13" i="132"/>
  <c r="K12" i="132"/>
  <c r="I12" i="132"/>
  <c r="M11" i="132"/>
  <c r="K11" i="132"/>
  <c r="M10" i="132"/>
  <c r="J10" i="132"/>
  <c r="K8" i="132"/>
  <c r="N6" i="132"/>
  <c r="K5" i="132"/>
  <c r="C22" i="132" l="1"/>
  <c r="H23" i="131"/>
  <c r="H24" i="131"/>
  <c r="N34" i="131"/>
  <c r="N31" i="131"/>
  <c r="N32" i="131" s="1"/>
  <c r="N27" i="131"/>
  <c r="O24" i="131"/>
  <c r="M24" i="131"/>
  <c r="I24" i="131"/>
  <c r="Q23" i="131"/>
  <c r="J23" i="131"/>
  <c r="Q22" i="131"/>
  <c r="N22" i="131"/>
  <c r="M21" i="131"/>
  <c r="L21" i="131"/>
  <c r="I21" i="131"/>
  <c r="O20" i="131"/>
  <c r="I20" i="131"/>
  <c r="N19" i="131"/>
  <c r="M19" i="131"/>
  <c r="M20" i="131" s="1"/>
  <c r="K19" i="131"/>
  <c r="K27" i="131" s="1"/>
  <c r="G19" i="131"/>
  <c r="C19" i="131"/>
  <c r="P18" i="131"/>
  <c r="O18" i="131"/>
  <c r="O17" i="131"/>
  <c r="M16" i="131"/>
  <c r="K15" i="131"/>
  <c r="P14" i="131"/>
  <c r="K14" i="131"/>
  <c r="K13" i="131"/>
  <c r="K12" i="131"/>
  <c r="I12" i="131"/>
  <c r="M11" i="131"/>
  <c r="K11" i="131"/>
  <c r="M10" i="131"/>
  <c r="J10" i="131"/>
  <c r="K8" i="131"/>
  <c r="N6" i="131"/>
  <c r="K5" i="131"/>
  <c r="C22" i="131" l="1"/>
  <c r="K19" i="130"/>
  <c r="K27" i="130" s="1"/>
  <c r="K15" i="130"/>
  <c r="N34" i="130"/>
  <c r="N31" i="130"/>
  <c r="N32" i="130" s="1"/>
  <c r="N27" i="130"/>
  <c r="O24" i="130"/>
  <c r="M24" i="130"/>
  <c r="I24" i="130"/>
  <c r="H24" i="130"/>
  <c r="Q23" i="130"/>
  <c r="J23" i="130"/>
  <c r="Q22" i="130"/>
  <c r="N22" i="130"/>
  <c r="M21" i="130"/>
  <c r="L21" i="130"/>
  <c r="I21" i="130"/>
  <c r="O20" i="130"/>
  <c r="I20" i="130"/>
  <c r="N19" i="130"/>
  <c r="M19" i="130"/>
  <c r="M20" i="130" s="1"/>
  <c r="G19" i="130"/>
  <c r="C19" i="130"/>
  <c r="P18" i="130"/>
  <c r="O18" i="130"/>
  <c r="O17" i="130"/>
  <c r="M16" i="130"/>
  <c r="P14" i="130"/>
  <c r="K14" i="130"/>
  <c r="K13" i="130"/>
  <c r="K12" i="130"/>
  <c r="I12" i="130"/>
  <c r="M11" i="130"/>
  <c r="K11" i="130"/>
  <c r="M10" i="130"/>
  <c r="J10" i="130"/>
  <c r="K8" i="130"/>
  <c r="N6" i="130"/>
  <c r="K5" i="130"/>
  <c r="C22" i="130" l="1"/>
  <c r="P18" i="129"/>
  <c r="N34" i="129"/>
  <c r="N31" i="129"/>
  <c r="N32" i="129" s="1"/>
  <c r="N27" i="129"/>
  <c r="K27" i="129"/>
  <c r="O24" i="129"/>
  <c r="M24" i="129"/>
  <c r="I24" i="129"/>
  <c r="H24" i="129"/>
  <c r="Q23" i="129"/>
  <c r="J23" i="129"/>
  <c r="Q22" i="129"/>
  <c r="N22" i="129"/>
  <c r="M21" i="129"/>
  <c r="L21" i="129"/>
  <c r="I21" i="129"/>
  <c r="O20" i="129"/>
  <c r="I20" i="129"/>
  <c r="N19" i="129"/>
  <c r="M19" i="129"/>
  <c r="M20" i="129" s="1"/>
  <c r="G19" i="129"/>
  <c r="C19" i="129"/>
  <c r="O18" i="129"/>
  <c r="O17" i="129"/>
  <c r="M16" i="129"/>
  <c r="K15" i="129"/>
  <c r="P14" i="129"/>
  <c r="K14" i="129"/>
  <c r="K13" i="129"/>
  <c r="K12" i="129"/>
  <c r="I12" i="129"/>
  <c r="M11" i="129"/>
  <c r="K11" i="129"/>
  <c r="M10" i="129"/>
  <c r="J10" i="129"/>
  <c r="K8" i="129"/>
  <c r="N6" i="129"/>
  <c r="K5" i="129"/>
  <c r="C22" i="129" l="1"/>
  <c r="N14" i="128"/>
  <c r="N13" i="128"/>
  <c r="Q20" i="128"/>
  <c r="Q17" i="128"/>
  <c r="N34" i="128"/>
  <c r="N31" i="128"/>
  <c r="N32" i="128" s="1"/>
  <c r="N27" i="128"/>
  <c r="K27" i="128"/>
  <c r="O24" i="128"/>
  <c r="M24" i="128"/>
  <c r="I24" i="128"/>
  <c r="H24" i="128"/>
  <c r="Q23" i="128"/>
  <c r="J23" i="128"/>
  <c r="Q22" i="128"/>
  <c r="N22" i="128"/>
  <c r="M21" i="128"/>
  <c r="L21" i="128"/>
  <c r="I21" i="128"/>
  <c r="O20" i="128"/>
  <c r="I20" i="128"/>
  <c r="N19" i="128"/>
  <c r="M19" i="128"/>
  <c r="M20" i="128" s="1"/>
  <c r="G19" i="128"/>
  <c r="C19" i="128"/>
  <c r="O18" i="128"/>
  <c r="O17" i="128"/>
  <c r="M16" i="128"/>
  <c r="K15" i="128"/>
  <c r="P14" i="128"/>
  <c r="K14" i="128"/>
  <c r="K13" i="128"/>
  <c r="K12" i="128"/>
  <c r="I12" i="128"/>
  <c r="M11" i="128"/>
  <c r="K11" i="128"/>
  <c r="M10" i="128"/>
  <c r="J10" i="128"/>
  <c r="K8" i="128"/>
  <c r="N6" i="128"/>
  <c r="K5" i="128"/>
  <c r="N16" i="128" l="1"/>
  <c r="C22" i="128"/>
  <c r="N34" i="127"/>
  <c r="N31" i="127"/>
  <c r="N32" i="127" s="1"/>
  <c r="N27" i="127"/>
  <c r="K27" i="127"/>
  <c r="O24" i="127"/>
  <c r="M24" i="127"/>
  <c r="I24" i="127"/>
  <c r="H24" i="127"/>
  <c r="Q23" i="127"/>
  <c r="J23" i="127"/>
  <c r="Q22" i="127"/>
  <c r="N22" i="127"/>
  <c r="M21" i="127"/>
  <c r="L21" i="127"/>
  <c r="I21" i="127"/>
  <c r="O20" i="127"/>
  <c r="I20" i="127"/>
  <c r="N19" i="127"/>
  <c r="M19" i="127"/>
  <c r="M20" i="127" s="1"/>
  <c r="G19" i="127"/>
  <c r="C19" i="127"/>
  <c r="O18" i="127"/>
  <c r="O17" i="127"/>
  <c r="M16" i="127"/>
  <c r="K15" i="127"/>
  <c r="P14" i="127"/>
  <c r="K14" i="127"/>
  <c r="K13" i="127"/>
  <c r="K12" i="127"/>
  <c r="I12" i="127"/>
  <c r="M11" i="127"/>
  <c r="K11" i="127"/>
  <c r="M10" i="127"/>
  <c r="J10" i="127"/>
  <c r="K8" i="127"/>
  <c r="N6" i="127"/>
  <c r="K5" i="127"/>
  <c r="C22" i="127" l="1"/>
  <c r="N34" i="126"/>
  <c r="N31" i="126"/>
  <c r="N32" i="126" s="1"/>
  <c r="N27" i="126"/>
  <c r="K27" i="126"/>
  <c r="O24" i="126"/>
  <c r="M24" i="126"/>
  <c r="I24" i="126"/>
  <c r="H24" i="126"/>
  <c r="Q23" i="126"/>
  <c r="J23" i="126"/>
  <c r="Q22" i="126"/>
  <c r="N22" i="126"/>
  <c r="M21" i="126"/>
  <c r="L21" i="126"/>
  <c r="I21" i="126"/>
  <c r="O20" i="126"/>
  <c r="I20" i="126"/>
  <c r="N19" i="126"/>
  <c r="M19" i="126"/>
  <c r="M20" i="126" s="1"/>
  <c r="G19" i="126"/>
  <c r="C19" i="126"/>
  <c r="O18" i="126"/>
  <c r="O17" i="126"/>
  <c r="M16" i="126"/>
  <c r="K15" i="126"/>
  <c r="P14" i="126"/>
  <c r="K14" i="126"/>
  <c r="K13" i="126"/>
  <c r="K12" i="126"/>
  <c r="I12" i="126"/>
  <c r="M11" i="126"/>
  <c r="K11" i="126"/>
  <c r="M10" i="126"/>
  <c r="J10" i="126"/>
  <c r="K8" i="126"/>
  <c r="N6" i="126"/>
  <c r="K5" i="126"/>
  <c r="C22" i="126" l="1"/>
  <c r="G19" i="125"/>
  <c r="N34" i="125"/>
  <c r="N31" i="125"/>
  <c r="N32" i="125" s="1"/>
  <c r="N27" i="125"/>
  <c r="K27" i="125"/>
  <c r="O24" i="125"/>
  <c r="M24" i="125"/>
  <c r="I24" i="125"/>
  <c r="H24" i="125"/>
  <c r="Q23" i="125"/>
  <c r="J23" i="125"/>
  <c r="Q22" i="125"/>
  <c r="N22" i="125"/>
  <c r="M21" i="125"/>
  <c r="L21" i="125"/>
  <c r="I21" i="125"/>
  <c r="O20" i="125"/>
  <c r="I20" i="125"/>
  <c r="N19" i="125"/>
  <c r="M19" i="125"/>
  <c r="M20" i="125" s="1"/>
  <c r="C19" i="125"/>
  <c r="O18" i="125"/>
  <c r="O17" i="125"/>
  <c r="M16" i="125"/>
  <c r="K15" i="125"/>
  <c r="P14" i="125"/>
  <c r="K14" i="125"/>
  <c r="K13" i="125"/>
  <c r="K12" i="125"/>
  <c r="I12" i="125"/>
  <c r="M11" i="125"/>
  <c r="K11" i="125"/>
  <c r="M10" i="125"/>
  <c r="J10" i="125"/>
  <c r="K8" i="125"/>
  <c r="N6" i="125"/>
  <c r="K5" i="125"/>
  <c r="C22" i="125" l="1"/>
  <c r="N34" i="124"/>
  <c r="N31" i="124"/>
  <c r="N32" i="124" s="1"/>
  <c r="N27" i="124"/>
  <c r="K27" i="124"/>
  <c r="O24" i="124"/>
  <c r="M24" i="124"/>
  <c r="I24" i="124"/>
  <c r="H24" i="124"/>
  <c r="Q23" i="124"/>
  <c r="J23" i="124"/>
  <c r="Q22" i="124"/>
  <c r="N22" i="124"/>
  <c r="M21" i="124"/>
  <c r="L21" i="124"/>
  <c r="I21" i="124"/>
  <c r="O20" i="124"/>
  <c r="I20" i="124"/>
  <c r="N19" i="124"/>
  <c r="M19" i="124"/>
  <c r="M20" i="124" s="1"/>
  <c r="G19" i="124"/>
  <c r="C19" i="124"/>
  <c r="O18" i="124"/>
  <c r="O17" i="124"/>
  <c r="M16" i="124"/>
  <c r="K15" i="124"/>
  <c r="P14" i="124"/>
  <c r="K14" i="124"/>
  <c r="K13" i="124"/>
  <c r="K12" i="124"/>
  <c r="I12" i="124"/>
  <c r="M11" i="124"/>
  <c r="K11" i="124"/>
  <c r="M10" i="124"/>
  <c r="J10" i="124"/>
  <c r="K8" i="124"/>
  <c r="N6" i="124"/>
  <c r="K5" i="124"/>
  <c r="C22" i="124" l="1"/>
  <c r="N34" i="123"/>
  <c r="N31" i="123"/>
  <c r="N32" i="123" s="1"/>
  <c r="N27" i="123"/>
  <c r="K27" i="123"/>
  <c r="O24" i="123"/>
  <c r="M24" i="123"/>
  <c r="I24" i="123"/>
  <c r="H24" i="123"/>
  <c r="Q23" i="123"/>
  <c r="J23" i="123"/>
  <c r="Q22" i="123"/>
  <c r="N22" i="123"/>
  <c r="M21" i="123"/>
  <c r="L21" i="123"/>
  <c r="I21" i="123"/>
  <c r="O20" i="123"/>
  <c r="I20" i="123"/>
  <c r="N19" i="123"/>
  <c r="M19" i="123"/>
  <c r="M20" i="123" s="1"/>
  <c r="G19" i="123"/>
  <c r="C19" i="123"/>
  <c r="O18" i="123"/>
  <c r="O17" i="123"/>
  <c r="M16" i="123"/>
  <c r="K15" i="123"/>
  <c r="P14" i="123"/>
  <c r="K14" i="123"/>
  <c r="K13" i="123"/>
  <c r="K12" i="123"/>
  <c r="I12" i="123"/>
  <c r="M11" i="123"/>
  <c r="K11" i="123"/>
  <c r="M10" i="123"/>
  <c r="J10" i="123"/>
  <c r="K8" i="123"/>
  <c r="N6" i="123"/>
  <c r="K5" i="123"/>
  <c r="C22" i="123" l="1"/>
  <c r="N34" i="122"/>
  <c r="N31" i="122"/>
  <c r="N32" i="122" s="1"/>
  <c r="N27" i="122"/>
  <c r="K27" i="122"/>
  <c r="O24" i="122"/>
  <c r="M24" i="122"/>
  <c r="I24" i="122"/>
  <c r="H24" i="122"/>
  <c r="Q23" i="122"/>
  <c r="J23" i="122"/>
  <c r="Q22" i="122"/>
  <c r="N22" i="122"/>
  <c r="M21" i="122"/>
  <c r="L21" i="122"/>
  <c r="I21" i="122"/>
  <c r="O20" i="122"/>
  <c r="I20" i="122"/>
  <c r="N19" i="122"/>
  <c r="M19" i="122"/>
  <c r="M20" i="122" s="1"/>
  <c r="G19" i="122"/>
  <c r="C19" i="122"/>
  <c r="O18" i="122"/>
  <c r="O17" i="122"/>
  <c r="M16" i="122"/>
  <c r="K15" i="122"/>
  <c r="P14" i="122"/>
  <c r="K14" i="122"/>
  <c r="K13" i="122"/>
  <c r="K12" i="122"/>
  <c r="I12" i="122"/>
  <c r="M11" i="122"/>
  <c r="K11" i="122"/>
  <c r="M10" i="122"/>
  <c r="J10" i="122"/>
  <c r="K8" i="122"/>
  <c r="N6" i="122"/>
  <c r="K5" i="122"/>
  <c r="C22" i="122" l="1"/>
  <c r="N34" i="121"/>
  <c r="N31" i="121"/>
  <c r="N32" i="121" s="1"/>
  <c r="N27" i="121"/>
  <c r="K27" i="121"/>
  <c r="O24" i="121"/>
  <c r="M24" i="121"/>
  <c r="I24" i="121"/>
  <c r="H24" i="121"/>
  <c r="Q23" i="121"/>
  <c r="J23" i="121"/>
  <c r="Q22" i="121"/>
  <c r="N22" i="121"/>
  <c r="M21" i="121"/>
  <c r="L21" i="121"/>
  <c r="I21" i="121"/>
  <c r="O20" i="121"/>
  <c r="I20" i="121"/>
  <c r="N19" i="121"/>
  <c r="M19" i="121"/>
  <c r="M20" i="121" s="1"/>
  <c r="G19" i="121"/>
  <c r="C19" i="121"/>
  <c r="O18" i="121"/>
  <c r="O17" i="121"/>
  <c r="M16" i="121"/>
  <c r="K15" i="121"/>
  <c r="P14" i="121"/>
  <c r="K14" i="121"/>
  <c r="K13" i="121"/>
  <c r="K12" i="121"/>
  <c r="I12" i="121"/>
  <c r="M11" i="121"/>
  <c r="K11" i="121"/>
  <c r="M10" i="121"/>
  <c r="J10" i="121"/>
  <c r="K8" i="121"/>
  <c r="N6" i="121"/>
  <c r="K5" i="121"/>
  <c r="C22" i="121" l="1"/>
  <c r="C4" i="120"/>
  <c r="C19" i="120" s="1"/>
  <c r="N34" i="120"/>
  <c r="N31" i="120"/>
  <c r="N32" i="120" s="1"/>
  <c r="N27" i="120"/>
  <c r="K27" i="120"/>
  <c r="O24" i="120"/>
  <c r="M24" i="120"/>
  <c r="I24" i="120"/>
  <c r="H24" i="120"/>
  <c r="Q23" i="120"/>
  <c r="J23" i="120"/>
  <c r="Q22" i="120"/>
  <c r="N22" i="120"/>
  <c r="M21" i="120"/>
  <c r="L21" i="120"/>
  <c r="I21" i="120"/>
  <c r="O20" i="120"/>
  <c r="I20" i="120"/>
  <c r="N19" i="120"/>
  <c r="M19" i="120"/>
  <c r="M20" i="120" s="1"/>
  <c r="G19" i="120"/>
  <c r="O18" i="120"/>
  <c r="O17" i="120"/>
  <c r="M16" i="120"/>
  <c r="K15" i="120"/>
  <c r="P14" i="120"/>
  <c r="K14" i="120"/>
  <c r="K13" i="120"/>
  <c r="K12" i="120"/>
  <c r="I12" i="120"/>
  <c r="M11" i="120"/>
  <c r="K11" i="120"/>
  <c r="M10" i="120"/>
  <c r="J10" i="120"/>
  <c r="K8" i="120"/>
  <c r="N6" i="120"/>
  <c r="K5" i="120"/>
  <c r="C22" i="120" l="1"/>
  <c r="N34" i="119"/>
  <c r="N31" i="119"/>
  <c r="N32" i="119" s="1"/>
  <c r="N27" i="119"/>
  <c r="K27" i="119"/>
  <c r="O24" i="119"/>
  <c r="M24" i="119"/>
  <c r="I24" i="119"/>
  <c r="H24" i="119"/>
  <c r="Q23" i="119"/>
  <c r="J23" i="119"/>
  <c r="Q22" i="119"/>
  <c r="N22" i="119"/>
  <c r="M21" i="119"/>
  <c r="L21" i="119"/>
  <c r="I21" i="119"/>
  <c r="O20" i="119"/>
  <c r="I20" i="119"/>
  <c r="N19" i="119"/>
  <c r="M19" i="119"/>
  <c r="M20" i="119" s="1"/>
  <c r="G19" i="119"/>
  <c r="C19" i="119"/>
  <c r="O18" i="119"/>
  <c r="O17" i="119"/>
  <c r="M16" i="119"/>
  <c r="K15" i="119"/>
  <c r="P14" i="119"/>
  <c r="K14" i="119"/>
  <c r="K13" i="119"/>
  <c r="K12" i="119"/>
  <c r="I12" i="119"/>
  <c r="M11" i="119"/>
  <c r="K11" i="119"/>
  <c r="M10" i="119"/>
  <c r="J10" i="119"/>
  <c r="K8" i="119"/>
  <c r="N6" i="119"/>
  <c r="K5" i="119"/>
  <c r="N34" i="118"/>
  <c r="N31" i="118"/>
  <c r="N32" i="118" s="1"/>
  <c r="N27" i="118"/>
  <c r="K27" i="118"/>
  <c r="O24" i="118"/>
  <c r="M24" i="118"/>
  <c r="I24" i="118"/>
  <c r="H24" i="118"/>
  <c r="Q23" i="118"/>
  <c r="J23" i="118"/>
  <c r="Q22" i="118"/>
  <c r="N22" i="118"/>
  <c r="M21" i="118"/>
  <c r="L21" i="118"/>
  <c r="I21" i="118"/>
  <c r="O20" i="118"/>
  <c r="I20" i="118"/>
  <c r="N19" i="118"/>
  <c r="M19" i="118"/>
  <c r="M20" i="118" s="1"/>
  <c r="G19" i="118"/>
  <c r="C19" i="118"/>
  <c r="O18" i="118"/>
  <c r="O17" i="118"/>
  <c r="M16" i="118"/>
  <c r="K15" i="118"/>
  <c r="P14" i="118"/>
  <c r="K14" i="118"/>
  <c r="K13" i="118"/>
  <c r="K12" i="118"/>
  <c r="I12" i="118"/>
  <c r="M11" i="118"/>
  <c r="K11" i="118"/>
  <c r="M10" i="118"/>
  <c r="J10" i="118"/>
  <c r="K8" i="118"/>
  <c r="N6" i="118"/>
  <c r="K5" i="118"/>
  <c r="C22" i="119" l="1"/>
  <c r="C22" i="118"/>
  <c r="N34" i="117"/>
  <c r="N31" i="117"/>
  <c r="N32" i="117" s="1"/>
  <c r="N27" i="117"/>
  <c r="K27" i="117"/>
  <c r="O24" i="117"/>
  <c r="M24" i="117"/>
  <c r="I24" i="117"/>
  <c r="H24" i="117"/>
  <c r="Q23" i="117"/>
  <c r="J23" i="117"/>
  <c r="Q22" i="117"/>
  <c r="N22" i="117"/>
  <c r="M21" i="117"/>
  <c r="L21" i="117"/>
  <c r="I21" i="117"/>
  <c r="O20" i="117"/>
  <c r="I20" i="117"/>
  <c r="N19" i="117"/>
  <c r="M19" i="117"/>
  <c r="M20" i="117" s="1"/>
  <c r="G19" i="117"/>
  <c r="C19" i="117"/>
  <c r="O18" i="117"/>
  <c r="O17" i="117"/>
  <c r="M16" i="117"/>
  <c r="K15" i="117"/>
  <c r="P14" i="117"/>
  <c r="K14" i="117"/>
  <c r="K13" i="117"/>
  <c r="K12" i="117"/>
  <c r="I12" i="117"/>
  <c r="M11" i="117"/>
  <c r="K11" i="117"/>
  <c r="M10" i="117"/>
  <c r="J10" i="117"/>
  <c r="K8" i="117"/>
  <c r="N6" i="117"/>
  <c r="K5" i="117"/>
  <c r="C22" i="117" l="1"/>
  <c r="N34" i="116"/>
  <c r="N31" i="116"/>
  <c r="N32" i="116" s="1"/>
  <c r="N27" i="116"/>
  <c r="K27" i="116"/>
  <c r="O24" i="116"/>
  <c r="M24" i="116"/>
  <c r="I24" i="116"/>
  <c r="H24" i="116"/>
  <c r="Q23" i="116"/>
  <c r="J23" i="116"/>
  <c r="Q22" i="116"/>
  <c r="N22" i="116"/>
  <c r="M21" i="116"/>
  <c r="L21" i="116"/>
  <c r="I21" i="116"/>
  <c r="O20" i="116"/>
  <c r="I20" i="116"/>
  <c r="N19" i="116"/>
  <c r="M19" i="116"/>
  <c r="M20" i="116" s="1"/>
  <c r="G19" i="116"/>
  <c r="O18" i="116"/>
  <c r="O17" i="116"/>
  <c r="M16" i="116"/>
  <c r="K15" i="116"/>
  <c r="P14" i="116"/>
  <c r="K14" i="116"/>
  <c r="K13" i="116"/>
  <c r="K12" i="116"/>
  <c r="M11" i="116"/>
  <c r="K11" i="116"/>
  <c r="M10" i="116"/>
  <c r="J10" i="116"/>
  <c r="K8" i="116"/>
  <c r="N6" i="116"/>
  <c r="I12" i="116"/>
  <c r="K5" i="116"/>
  <c r="C19" i="116" l="1"/>
  <c r="C22" i="116" s="1"/>
  <c r="N22" i="115"/>
  <c r="M21" i="115" l="1"/>
  <c r="M19" i="115"/>
  <c r="M20" i="115" s="1"/>
  <c r="C6" i="115" l="1"/>
  <c r="C19" i="115" s="1"/>
  <c r="N34" i="115"/>
  <c r="N31" i="115"/>
  <c r="N32" i="115" s="1"/>
  <c r="N27" i="115"/>
  <c r="K27" i="115"/>
  <c r="O24" i="115"/>
  <c r="M24" i="115"/>
  <c r="I24" i="115"/>
  <c r="H24" i="115"/>
  <c r="Q23" i="115"/>
  <c r="J23" i="115"/>
  <c r="Q22" i="115"/>
  <c r="L21" i="115"/>
  <c r="I21" i="115"/>
  <c r="O20" i="115"/>
  <c r="I20" i="115"/>
  <c r="N19" i="115"/>
  <c r="G19" i="115"/>
  <c r="O18" i="115"/>
  <c r="O17" i="115"/>
  <c r="M16" i="115"/>
  <c r="K15" i="115"/>
  <c r="P14" i="115"/>
  <c r="K14" i="115"/>
  <c r="K13" i="115"/>
  <c r="K12" i="115"/>
  <c r="M11" i="115"/>
  <c r="K11" i="115"/>
  <c r="M10" i="115"/>
  <c r="J10" i="115"/>
  <c r="K8" i="115"/>
  <c r="N6" i="115"/>
  <c r="K5" i="115"/>
  <c r="I12" i="115" l="1"/>
  <c r="C22" i="115"/>
  <c r="N34" i="114"/>
  <c r="N31" i="114"/>
  <c r="N32" i="114" s="1"/>
  <c r="N27" i="114"/>
  <c r="K27" i="114"/>
  <c r="O24" i="114"/>
  <c r="M24" i="114"/>
  <c r="I24" i="114"/>
  <c r="H24" i="114"/>
  <c r="Q23" i="114"/>
  <c r="J23" i="114"/>
  <c r="Q22" i="114"/>
  <c r="L21" i="114"/>
  <c r="I21" i="114"/>
  <c r="O20" i="114"/>
  <c r="I20" i="114"/>
  <c r="N19" i="114"/>
  <c r="G19" i="114"/>
  <c r="C19" i="114"/>
  <c r="O18" i="114"/>
  <c r="O17" i="114"/>
  <c r="M16" i="114"/>
  <c r="K15" i="114"/>
  <c r="P14" i="114"/>
  <c r="K14" i="114"/>
  <c r="K13" i="114"/>
  <c r="K12" i="114"/>
  <c r="I12" i="114"/>
  <c r="M11" i="114"/>
  <c r="K11" i="114"/>
  <c r="M10" i="114"/>
  <c r="J10" i="114"/>
  <c r="K8" i="114"/>
  <c r="N6" i="114"/>
  <c r="K5" i="114"/>
  <c r="C22" i="114" l="1"/>
  <c r="J23" i="113"/>
  <c r="N34" i="113"/>
  <c r="N31" i="113"/>
  <c r="N32" i="113" s="1"/>
  <c r="N27" i="113"/>
  <c r="K27" i="113"/>
  <c r="O24" i="113"/>
  <c r="M24" i="113"/>
  <c r="I24" i="113"/>
  <c r="H24" i="113"/>
  <c r="Q23" i="113"/>
  <c r="Q22" i="113"/>
  <c r="L21" i="113"/>
  <c r="I21" i="113"/>
  <c r="O20" i="113"/>
  <c r="I20" i="113"/>
  <c r="N19" i="113"/>
  <c r="G19" i="113"/>
  <c r="C19" i="113"/>
  <c r="O18" i="113"/>
  <c r="O17" i="113"/>
  <c r="M16" i="113"/>
  <c r="K15" i="113"/>
  <c r="P14" i="113"/>
  <c r="K14" i="113"/>
  <c r="K13" i="113"/>
  <c r="K12" i="113"/>
  <c r="I12" i="113"/>
  <c r="M11" i="113"/>
  <c r="K11" i="113"/>
  <c r="M10" i="113"/>
  <c r="J10" i="113"/>
  <c r="K8" i="113"/>
  <c r="N6" i="113"/>
  <c r="K5" i="113"/>
  <c r="C22" i="113" l="1"/>
  <c r="N34" i="112"/>
  <c r="N31" i="112"/>
  <c r="N32" i="112" s="1"/>
  <c r="N27" i="112"/>
  <c r="K27" i="112"/>
  <c r="O24" i="112"/>
  <c r="M24" i="112"/>
  <c r="I24" i="112"/>
  <c r="H24" i="112"/>
  <c r="Q23" i="112"/>
  <c r="Q22" i="112"/>
  <c r="L21" i="112"/>
  <c r="I21" i="112"/>
  <c r="O20" i="112"/>
  <c r="I20" i="112"/>
  <c r="N19" i="112"/>
  <c r="G19" i="112"/>
  <c r="C19" i="112"/>
  <c r="O18" i="112"/>
  <c r="O17" i="112"/>
  <c r="M16" i="112"/>
  <c r="K15" i="112"/>
  <c r="P14" i="112"/>
  <c r="K14" i="112"/>
  <c r="K13" i="112"/>
  <c r="K12" i="112"/>
  <c r="I12" i="112"/>
  <c r="M11" i="112"/>
  <c r="K11" i="112"/>
  <c r="M10" i="112"/>
  <c r="J10" i="112"/>
  <c r="K8" i="112"/>
  <c r="N6" i="112"/>
  <c r="K5" i="112"/>
  <c r="C22" i="112" l="1"/>
  <c r="N34" i="111"/>
  <c r="N31" i="111"/>
  <c r="N32" i="111" s="1"/>
  <c r="N27" i="111"/>
  <c r="K27" i="111"/>
  <c r="O24" i="111"/>
  <c r="M24" i="111"/>
  <c r="I24" i="111"/>
  <c r="H24" i="111"/>
  <c r="Q23" i="111"/>
  <c r="Q22" i="111"/>
  <c r="L21" i="111"/>
  <c r="I21" i="111"/>
  <c r="O20" i="111"/>
  <c r="I20" i="111"/>
  <c r="N19" i="111"/>
  <c r="G19" i="111"/>
  <c r="C19" i="111"/>
  <c r="O18" i="111"/>
  <c r="O17" i="111"/>
  <c r="M16" i="111"/>
  <c r="K15" i="111"/>
  <c r="P14" i="111"/>
  <c r="K14" i="111"/>
  <c r="K13" i="111"/>
  <c r="K12" i="111"/>
  <c r="I12" i="111"/>
  <c r="M11" i="111"/>
  <c r="K11" i="111"/>
  <c r="M10" i="111"/>
  <c r="J10" i="111"/>
  <c r="K8" i="111"/>
  <c r="N6" i="111"/>
  <c r="K5" i="111"/>
  <c r="C22" i="111" l="1"/>
  <c r="N34" i="110"/>
  <c r="N31" i="110"/>
  <c r="N32" i="110" s="1"/>
  <c r="N27" i="110"/>
  <c r="K27" i="110"/>
  <c r="O24" i="110"/>
  <c r="M24" i="110"/>
  <c r="I24" i="110"/>
  <c r="H24" i="110"/>
  <c r="Q23" i="110"/>
  <c r="Q22" i="110"/>
  <c r="L21" i="110"/>
  <c r="I21" i="110"/>
  <c r="O20" i="110"/>
  <c r="I20" i="110"/>
  <c r="N19" i="110"/>
  <c r="G19" i="110"/>
  <c r="C19" i="110"/>
  <c r="O18" i="110"/>
  <c r="O17" i="110"/>
  <c r="M16" i="110"/>
  <c r="K15" i="110"/>
  <c r="P14" i="110"/>
  <c r="K14" i="110"/>
  <c r="K13" i="110"/>
  <c r="K12" i="110"/>
  <c r="I12" i="110"/>
  <c r="M11" i="110"/>
  <c r="K11" i="110"/>
  <c r="M10" i="110"/>
  <c r="J10" i="110"/>
  <c r="K8" i="110"/>
  <c r="N6" i="110"/>
  <c r="K5" i="110"/>
  <c r="C22" i="110" l="1"/>
  <c r="Q23" i="109"/>
  <c r="Q22" i="109"/>
  <c r="N34" i="109"/>
  <c r="N31" i="109"/>
  <c r="N32" i="109" s="1"/>
  <c r="N27" i="109"/>
  <c r="K27" i="109"/>
  <c r="O24" i="109"/>
  <c r="M24" i="109"/>
  <c r="I24" i="109"/>
  <c r="H24" i="109"/>
  <c r="L21" i="109"/>
  <c r="I21" i="109"/>
  <c r="O20" i="109"/>
  <c r="I20" i="109"/>
  <c r="N19" i="109"/>
  <c r="G19" i="109"/>
  <c r="C19" i="109"/>
  <c r="O18" i="109"/>
  <c r="O17" i="109"/>
  <c r="M16" i="109"/>
  <c r="K15" i="109"/>
  <c r="P14" i="109"/>
  <c r="K14" i="109"/>
  <c r="K13" i="109"/>
  <c r="K12" i="109"/>
  <c r="I12" i="109"/>
  <c r="M11" i="109"/>
  <c r="K11" i="109"/>
  <c r="M10" i="109"/>
  <c r="J10" i="109"/>
  <c r="K8" i="109"/>
  <c r="N6" i="109"/>
  <c r="K5" i="109"/>
  <c r="C22" i="109" l="1"/>
  <c r="N34" i="108"/>
  <c r="N31" i="108"/>
  <c r="N32" i="108" s="1"/>
  <c r="N27" i="108"/>
  <c r="K27" i="108"/>
  <c r="O24" i="108"/>
  <c r="M24" i="108"/>
  <c r="I24" i="108"/>
  <c r="H24" i="108"/>
  <c r="L21" i="108"/>
  <c r="I21" i="108"/>
  <c r="O20" i="108"/>
  <c r="I20" i="108"/>
  <c r="N19" i="108"/>
  <c r="G19" i="108"/>
  <c r="C19" i="108"/>
  <c r="O18" i="108"/>
  <c r="O17" i="108"/>
  <c r="M16" i="108"/>
  <c r="K15" i="108"/>
  <c r="P14" i="108"/>
  <c r="K14" i="108"/>
  <c r="K13" i="108"/>
  <c r="K12" i="108"/>
  <c r="I12" i="108"/>
  <c r="M11" i="108"/>
  <c r="K11" i="108"/>
  <c r="M10" i="108"/>
  <c r="J10" i="108"/>
  <c r="K8" i="108"/>
  <c r="N6" i="108"/>
  <c r="K5" i="108"/>
  <c r="C22" i="108" l="1"/>
  <c r="C4" i="107"/>
  <c r="G10" i="107" l="1"/>
  <c r="G19" i="107" s="1"/>
  <c r="N34" i="107"/>
  <c r="N31" i="107"/>
  <c r="N32" i="107" s="1"/>
  <c r="N27" i="107"/>
  <c r="K27" i="107"/>
  <c r="O24" i="107"/>
  <c r="M24" i="107"/>
  <c r="I24" i="107"/>
  <c r="H24" i="107"/>
  <c r="L21" i="107"/>
  <c r="I21" i="107"/>
  <c r="O20" i="107"/>
  <c r="I20" i="107"/>
  <c r="N19" i="107"/>
  <c r="C19" i="107"/>
  <c r="O18" i="107"/>
  <c r="O17" i="107"/>
  <c r="M16" i="107"/>
  <c r="K15" i="107"/>
  <c r="P14" i="107"/>
  <c r="K14" i="107"/>
  <c r="K13" i="107"/>
  <c r="K12" i="107"/>
  <c r="I12" i="107"/>
  <c r="M11" i="107"/>
  <c r="K11" i="107"/>
  <c r="M10" i="107"/>
  <c r="J10" i="107"/>
  <c r="K8" i="107"/>
  <c r="N6" i="107"/>
  <c r="K5" i="107"/>
  <c r="C22" i="107" l="1"/>
  <c r="N34" i="106"/>
  <c r="N31" i="106"/>
  <c r="N32" i="106" s="1"/>
  <c r="N27" i="106"/>
  <c r="K27" i="106"/>
  <c r="O24" i="106"/>
  <c r="M24" i="106"/>
  <c r="I24" i="106"/>
  <c r="H24" i="106"/>
  <c r="L21" i="106"/>
  <c r="I21" i="106"/>
  <c r="O20" i="106"/>
  <c r="I20" i="106"/>
  <c r="N19" i="106"/>
  <c r="G19" i="106"/>
  <c r="C19" i="106"/>
  <c r="O18" i="106"/>
  <c r="O17" i="106"/>
  <c r="M16" i="106"/>
  <c r="K15" i="106"/>
  <c r="P14" i="106"/>
  <c r="K14" i="106"/>
  <c r="K13" i="106"/>
  <c r="K12" i="106"/>
  <c r="I12" i="106"/>
  <c r="M11" i="106"/>
  <c r="K11" i="106"/>
  <c r="M10" i="106"/>
  <c r="J10" i="106"/>
  <c r="K8" i="106"/>
  <c r="N6" i="106"/>
  <c r="K5" i="106"/>
  <c r="C22" i="106" l="1"/>
  <c r="N34" i="105"/>
  <c r="N31" i="105"/>
  <c r="N32" i="105" s="1"/>
  <c r="N27" i="105"/>
  <c r="K27" i="105"/>
  <c r="O24" i="105"/>
  <c r="M24" i="105"/>
  <c r="I24" i="105"/>
  <c r="H24" i="105"/>
  <c r="L21" i="105"/>
  <c r="I21" i="105"/>
  <c r="O20" i="105"/>
  <c r="I20" i="105"/>
  <c r="N19" i="105"/>
  <c r="G19" i="105"/>
  <c r="C19" i="105"/>
  <c r="O18" i="105"/>
  <c r="O17" i="105"/>
  <c r="M16" i="105"/>
  <c r="K15" i="105"/>
  <c r="P14" i="105"/>
  <c r="K14" i="105"/>
  <c r="K13" i="105"/>
  <c r="K12" i="105"/>
  <c r="I12" i="105"/>
  <c r="M11" i="105"/>
  <c r="K11" i="105"/>
  <c r="M10" i="105"/>
  <c r="J10" i="105"/>
  <c r="K8" i="105"/>
  <c r="N6" i="105"/>
  <c r="K5" i="105"/>
  <c r="C22" i="105" l="1"/>
  <c r="N34" i="104"/>
  <c r="N31" i="104"/>
  <c r="N32" i="104" s="1"/>
  <c r="N27" i="104"/>
  <c r="K27" i="104"/>
  <c r="O24" i="104"/>
  <c r="M24" i="104"/>
  <c r="I24" i="104"/>
  <c r="H24" i="104"/>
  <c r="L21" i="104"/>
  <c r="I21" i="104"/>
  <c r="O20" i="104"/>
  <c r="I20" i="104"/>
  <c r="N19" i="104"/>
  <c r="G19" i="104"/>
  <c r="C19" i="104"/>
  <c r="O18" i="104"/>
  <c r="O17" i="104"/>
  <c r="M16" i="104"/>
  <c r="K15" i="104"/>
  <c r="P14" i="104"/>
  <c r="K14" i="104"/>
  <c r="K13" i="104"/>
  <c r="K12" i="104"/>
  <c r="I12" i="104"/>
  <c r="M11" i="104"/>
  <c r="K11" i="104"/>
  <c r="M10" i="104"/>
  <c r="J10" i="104"/>
  <c r="K8" i="104"/>
  <c r="N6" i="104"/>
  <c r="K5" i="104"/>
  <c r="C22" i="104" l="1"/>
  <c r="N34" i="103"/>
  <c r="N31" i="103"/>
  <c r="N32" i="103" s="1"/>
  <c r="N27" i="103"/>
  <c r="K27" i="103"/>
  <c r="O24" i="103"/>
  <c r="M24" i="103"/>
  <c r="I24" i="103"/>
  <c r="H24" i="103"/>
  <c r="L21" i="103"/>
  <c r="I21" i="103"/>
  <c r="O20" i="103"/>
  <c r="I20" i="103"/>
  <c r="N19" i="103"/>
  <c r="G19" i="103"/>
  <c r="C19" i="103"/>
  <c r="O18" i="103"/>
  <c r="O17" i="103"/>
  <c r="M16" i="103"/>
  <c r="K15" i="103"/>
  <c r="P14" i="103"/>
  <c r="K14" i="103"/>
  <c r="K13" i="103"/>
  <c r="K12" i="103"/>
  <c r="I12" i="103"/>
  <c r="M11" i="103"/>
  <c r="K11" i="103"/>
  <c r="M10" i="103"/>
  <c r="J10" i="103"/>
  <c r="K8" i="103"/>
  <c r="N6" i="103"/>
  <c r="K5" i="103"/>
  <c r="C22" i="103" l="1"/>
  <c r="N34" i="102"/>
  <c r="N31" i="102"/>
  <c r="N32" i="102" s="1"/>
  <c r="N27" i="102"/>
  <c r="K27" i="102"/>
  <c r="O24" i="102"/>
  <c r="M24" i="102"/>
  <c r="I24" i="102"/>
  <c r="H24" i="102"/>
  <c r="L21" i="102"/>
  <c r="I21" i="102"/>
  <c r="O20" i="102"/>
  <c r="I20" i="102"/>
  <c r="N19" i="102"/>
  <c r="G19" i="102"/>
  <c r="O18" i="102"/>
  <c r="O17" i="102"/>
  <c r="M16" i="102"/>
  <c r="K15" i="102"/>
  <c r="P14" i="102"/>
  <c r="K14" i="102"/>
  <c r="K13" i="102"/>
  <c r="K12" i="102"/>
  <c r="I12" i="102"/>
  <c r="M11" i="102"/>
  <c r="K11" i="102"/>
  <c r="M10" i="102"/>
  <c r="J10" i="102"/>
  <c r="K8" i="102"/>
  <c r="N6" i="102"/>
  <c r="K5" i="102"/>
  <c r="C19" i="102"/>
  <c r="C22" i="102" l="1"/>
  <c r="O24" i="101"/>
  <c r="C4" i="101"/>
  <c r="C19" i="101" s="1"/>
  <c r="N34" i="101"/>
  <c r="N31" i="101"/>
  <c r="N32" i="101" s="1"/>
  <c r="N27" i="101"/>
  <c r="K27" i="101"/>
  <c r="M24" i="101"/>
  <c r="I24" i="101"/>
  <c r="H24" i="101"/>
  <c r="L21" i="101"/>
  <c r="I21" i="101"/>
  <c r="O20" i="101"/>
  <c r="I20" i="101"/>
  <c r="N19" i="101"/>
  <c r="G19" i="101"/>
  <c r="O18" i="101"/>
  <c r="O17" i="101"/>
  <c r="M16" i="101"/>
  <c r="K15" i="101"/>
  <c r="P14" i="101"/>
  <c r="K14" i="101"/>
  <c r="K13" i="101"/>
  <c r="K12" i="101"/>
  <c r="I12" i="101"/>
  <c r="M11" i="101"/>
  <c r="K11" i="101"/>
  <c r="M10" i="101"/>
  <c r="J10" i="101"/>
  <c r="K8" i="101"/>
  <c r="N6" i="101"/>
  <c r="K5" i="101"/>
  <c r="C22" i="101" l="1"/>
  <c r="J10" i="100"/>
  <c r="N34" i="100"/>
  <c r="N31" i="100"/>
  <c r="N32" i="100" s="1"/>
  <c r="N27" i="100"/>
  <c r="K27" i="100"/>
  <c r="M24" i="100"/>
  <c r="I24" i="100"/>
  <c r="H24" i="100"/>
  <c r="L21" i="100"/>
  <c r="I21" i="100"/>
  <c r="O20" i="100"/>
  <c r="I20" i="100"/>
  <c r="N19" i="100"/>
  <c r="G19" i="100"/>
  <c r="C19" i="100"/>
  <c r="O18" i="100"/>
  <c r="O17" i="100"/>
  <c r="M16" i="100"/>
  <c r="K15" i="100"/>
  <c r="P14" i="100"/>
  <c r="K14" i="100"/>
  <c r="K13" i="100"/>
  <c r="K12" i="100"/>
  <c r="I12" i="100"/>
  <c r="M11" i="100"/>
  <c r="K11" i="100"/>
  <c r="M10" i="100"/>
  <c r="K8" i="100"/>
  <c r="N6" i="100"/>
  <c r="K5" i="100"/>
  <c r="C22" i="100" l="1"/>
  <c r="N34" i="99"/>
  <c r="N31" i="99"/>
  <c r="N32" i="99" s="1"/>
  <c r="N27" i="99"/>
  <c r="K27" i="99"/>
  <c r="M24" i="99"/>
  <c r="I24" i="99"/>
  <c r="H24" i="99"/>
  <c r="L21" i="99"/>
  <c r="I21" i="99"/>
  <c r="O20" i="99"/>
  <c r="I20" i="99"/>
  <c r="N19" i="99"/>
  <c r="G19" i="99"/>
  <c r="C19" i="99"/>
  <c r="O18" i="99"/>
  <c r="O17" i="99"/>
  <c r="M16" i="99"/>
  <c r="K15" i="99"/>
  <c r="P14" i="99"/>
  <c r="K14" i="99"/>
  <c r="K13" i="99"/>
  <c r="K12" i="99"/>
  <c r="I12" i="99"/>
  <c r="M11" i="99"/>
  <c r="K11" i="99"/>
  <c r="M10" i="99"/>
  <c r="K8" i="99"/>
  <c r="N6" i="99"/>
  <c r="K5" i="99"/>
  <c r="C22" i="99" l="1"/>
  <c r="L21" i="98"/>
  <c r="G19" i="98" l="1"/>
  <c r="N34" i="98"/>
  <c r="N31" i="98"/>
  <c r="N32" i="98" s="1"/>
  <c r="N27" i="98"/>
  <c r="K27" i="98"/>
  <c r="M24" i="98"/>
  <c r="I24" i="98"/>
  <c r="H24" i="98"/>
  <c r="I21" i="98"/>
  <c r="O20" i="98"/>
  <c r="I20" i="98"/>
  <c r="N19" i="98"/>
  <c r="C19" i="98"/>
  <c r="O18" i="98"/>
  <c r="O17" i="98"/>
  <c r="M16" i="98"/>
  <c r="K15" i="98"/>
  <c r="P14" i="98"/>
  <c r="K14" i="98"/>
  <c r="K13" i="98"/>
  <c r="K12" i="98"/>
  <c r="I12" i="98"/>
  <c r="M11" i="98"/>
  <c r="K11" i="98"/>
  <c r="M10" i="98"/>
  <c r="K8" i="98"/>
  <c r="N6" i="98"/>
  <c r="K5" i="98"/>
  <c r="C22" i="98" l="1"/>
  <c r="N34" i="97"/>
  <c r="N31" i="97"/>
  <c r="N32" i="97" s="1"/>
  <c r="N27" i="97"/>
  <c r="K27" i="97"/>
  <c r="M24" i="97"/>
  <c r="I24" i="97"/>
  <c r="H24" i="97"/>
  <c r="I21" i="97"/>
  <c r="O20" i="97"/>
  <c r="I20" i="97"/>
  <c r="N19" i="97"/>
  <c r="G19" i="97"/>
  <c r="C19" i="97"/>
  <c r="O18" i="97"/>
  <c r="O17" i="97"/>
  <c r="M16" i="97"/>
  <c r="K15" i="97"/>
  <c r="P14" i="97"/>
  <c r="K14" i="97"/>
  <c r="K13" i="97"/>
  <c r="K12" i="97"/>
  <c r="I12" i="97"/>
  <c r="M11" i="97"/>
  <c r="K11" i="97"/>
  <c r="M10" i="97"/>
  <c r="K8" i="97"/>
  <c r="N6" i="97"/>
  <c r="K5" i="97"/>
  <c r="C22" i="97" l="1"/>
  <c r="N34" i="96"/>
  <c r="N31" i="96"/>
  <c r="N32" i="96" s="1"/>
  <c r="N27" i="96"/>
  <c r="K27" i="96"/>
  <c r="M24" i="96"/>
  <c r="I24" i="96"/>
  <c r="H24" i="96"/>
  <c r="I21" i="96"/>
  <c r="O20" i="96"/>
  <c r="I20" i="96"/>
  <c r="N19" i="96"/>
  <c r="G19" i="96"/>
  <c r="C19" i="96"/>
  <c r="O18" i="96"/>
  <c r="O17" i="96"/>
  <c r="M16" i="96"/>
  <c r="K15" i="96"/>
  <c r="P14" i="96"/>
  <c r="K14" i="96"/>
  <c r="K13" i="96"/>
  <c r="K12" i="96"/>
  <c r="I12" i="96"/>
  <c r="M11" i="96"/>
  <c r="K11" i="96"/>
  <c r="M10" i="96"/>
  <c r="K8" i="96"/>
  <c r="N6" i="96"/>
  <c r="K5" i="96"/>
  <c r="C22" i="96" l="1"/>
  <c r="N34" i="95"/>
  <c r="N31" i="95"/>
  <c r="N32" i="95" s="1"/>
  <c r="N27" i="95"/>
  <c r="K27" i="95"/>
  <c r="M24" i="95"/>
  <c r="I24" i="95"/>
  <c r="H24" i="95"/>
  <c r="I21" i="95"/>
  <c r="O20" i="95"/>
  <c r="I20" i="95"/>
  <c r="N19" i="95"/>
  <c r="G19" i="95"/>
  <c r="C19" i="95"/>
  <c r="O18" i="95"/>
  <c r="O17" i="95"/>
  <c r="M16" i="95"/>
  <c r="K15" i="95"/>
  <c r="P14" i="95"/>
  <c r="K14" i="95"/>
  <c r="K13" i="95"/>
  <c r="K12" i="95"/>
  <c r="I12" i="95"/>
  <c r="M11" i="95"/>
  <c r="K11" i="95"/>
  <c r="M10" i="95"/>
  <c r="K8" i="95"/>
  <c r="N6" i="95"/>
  <c r="K5" i="95"/>
  <c r="C22" i="95" l="1"/>
  <c r="G19" i="94"/>
  <c r="C19" i="94"/>
  <c r="N34" i="94" l="1"/>
  <c r="N31" i="94"/>
  <c r="N32" i="94" s="1"/>
  <c r="N27" i="94"/>
  <c r="K27" i="94"/>
  <c r="M24" i="94"/>
  <c r="I24" i="94"/>
  <c r="H24" i="94"/>
  <c r="I21" i="94"/>
  <c r="O20" i="94"/>
  <c r="I20" i="94"/>
  <c r="N19" i="94"/>
  <c r="O18" i="94"/>
  <c r="O17" i="94"/>
  <c r="M16" i="94"/>
  <c r="K15" i="94"/>
  <c r="P14" i="94"/>
  <c r="K14" i="94"/>
  <c r="K13" i="94"/>
  <c r="K12" i="94"/>
  <c r="I12" i="94"/>
  <c r="M11" i="94"/>
  <c r="K11" i="94"/>
  <c r="M10" i="94"/>
  <c r="K8" i="94"/>
  <c r="N6" i="94"/>
  <c r="K5" i="94"/>
  <c r="C22" i="94" l="1"/>
  <c r="N34" i="93"/>
  <c r="N31" i="93"/>
  <c r="N32" i="93" s="1"/>
  <c r="N27" i="93"/>
  <c r="K27" i="93"/>
  <c r="M24" i="93"/>
  <c r="I24" i="93"/>
  <c r="H24" i="93"/>
  <c r="I21" i="93"/>
  <c r="O20" i="93"/>
  <c r="I20" i="93"/>
  <c r="N19" i="93"/>
  <c r="G19" i="93"/>
  <c r="C19" i="93"/>
  <c r="O18" i="93"/>
  <c r="O17" i="93"/>
  <c r="M16" i="93"/>
  <c r="K15" i="93"/>
  <c r="P14" i="93"/>
  <c r="K14" i="93"/>
  <c r="K13" i="93"/>
  <c r="K12" i="93"/>
  <c r="I12" i="93"/>
  <c r="M11" i="93"/>
  <c r="K11" i="93"/>
  <c r="M10" i="93"/>
  <c r="K8" i="93"/>
  <c r="N6" i="93"/>
  <c r="K5" i="93"/>
  <c r="C22" i="93" l="1"/>
  <c r="N34" i="92"/>
  <c r="N31" i="92"/>
  <c r="N32" i="92" s="1"/>
  <c r="N27" i="92"/>
  <c r="K27" i="92"/>
  <c r="M24" i="92"/>
  <c r="I24" i="92"/>
  <c r="H24" i="92"/>
  <c r="I21" i="92"/>
  <c r="O20" i="92"/>
  <c r="I20" i="92"/>
  <c r="N19" i="92"/>
  <c r="G19" i="92"/>
  <c r="C19" i="92"/>
  <c r="O18" i="92"/>
  <c r="O17" i="92"/>
  <c r="M16" i="92"/>
  <c r="K15" i="92"/>
  <c r="P14" i="92"/>
  <c r="K14" i="92"/>
  <c r="K13" i="92"/>
  <c r="K12" i="92"/>
  <c r="I12" i="92"/>
  <c r="M11" i="92"/>
  <c r="K11" i="92"/>
  <c r="M10" i="92"/>
  <c r="K8" i="92"/>
  <c r="N6" i="92"/>
  <c r="K5" i="92"/>
  <c r="C22" i="92" l="1"/>
  <c r="M16" i="91"/>
  <c r="N34" i="91"/>
  <c r="N31" i="91"/>
  <c r="N32" i="91" s="1"/>
  <c r="N27" i="91"/>
  <c r="K27" i="91"/>
  <c r="M24" i="91"/>
  <c r="I24" i="91"/>
  <c r="H24" i="91"/>
  <c r="I21" i="91"/>
  <c r="O20" i="91"/>
  <c r="I20" i="91"/>
  <c r="N19" i="91"/>
  <c r="G19" i="91"/>
  <c r="C19" i="91"/>
  <c r="O18" i="91"/>
  <c r="O17" i="91"/>
  <c r="K15" i="91"/>
  <c r="P14" i="91"/>
  <c r="K14" i="91"/>
  <c r="K13" i="91"/>
  <c r="K12" i="91"/>
  <c r="I12" i="91"/>
  <c r="M11" i="91"/>
  <c r="K11" i="91"/>
  <c r="M10" i="91"/>
  <c r="K8" i="91"/>
  <c r="N6" i="91"/>
  <c r="K5" i="91"/>
  <c r="N34" i="90"/>
  <c r="N31" i="90"/>
  <c r="N32" i="90" s="1"/>
  <c r="N27" i="90"/>
  <c r="K27" i="90"/>
  <c r="M24" i="90"/>
  <c r="I24" i="90"/>
  <c r="H24" i="90"/>
  <c r="I21" i="90"/>
  <c r="O20" i="90"/>
  <c r="I20" i="90"/>
  <c r="N19" i="90"/>
  <c r="G19" i="90"/>
  <c r="C19" i="90"/>
  <c r="O18" i="90"/>
  <c r="O17" i="90"/>
  <c r="K15" i="90"/>
  <c r="P14" i="90"/>
  <c r="K14" i="90"/>
  <c r="K13" i="90"/>
  <c r="K12" i="90"/>
  <c r="I12" i="90"/>
  <c r="M11" i="90"/>
  <c r="K11" i="90"/>
  <c r="M10" i="90"/>
  <c r="K8" i="90"/>
  <c r="N6" i="90"/>
  <c r="K5" i="90"/>
  <c r="C22" i="91" l="1"/>
  <c r="C22" i="90"/>
  <c r="N34" i="89"/>
  <c r="N31" i="89"/>
  <c r="N32" i="89" s="1"/>
  <c r="N27" i="89"/>
  <c r="K27" i="89"/>
  <c r="M24" i="89"/>
  <c r="I24" i="89"/>
  <c r="H24" i="89"/>
  <c r="I21" i="89"/>
  <c r="O20" i="89"/>
  <c r="I20" i="89"/>
  <c r="N19" i="89"/>
  <c r="G19" i="89"/>
  <c r="C19" i="89"/>
  <c r="O18" i="89"/>
  <c r="O17" i="89"/>
  <c r="K15" i="89"/>
  <c r="P14" i="89"/>
  <c r="K14" i="89"/>
  <c r="K13" i="89"/>
  <c r="K12" i="89"/>
  <c r="I12" i="89"/>
  <c r="M11" i="89"/>
  <c r="K11" i="89"/>
  <c r="M10" i="89"/>
  <c r="K8" i="89"/>
  <c r="N6" i="89"/>
  <c r="K5" i="89"/>
  <c r="C22" i="89" l="1"/>
  <c r="N34" i="88"/>
  <c r="N31" i="88"/>
  <c r="N32" i="88" s="1"/>
  <c r="N27" i="88"/>
  <c r="K27" i="88"/>
  <c r="M24" i="88"/>
  <c r="I24" i="88"/>
  <c r="H24" i="88"/>
  <c r="I21" i="88"/>
  <c r="O20" i="88"/>
  <c r="I20" i="88"/>
  <c r="N19" i="88"/>
  <c r="G19" i="88"/>
  <c r="C19" i="88"/>
  <c r="O18" i="88"/>
  <c r="O17" i="88"/>
  <c r="K15" i="88"/>
  <c r="P14" i="88"/>
  <c r="K14" i="88"/>
  <c r="K13" i="88"/>
  <c r="K12" i="88"/>
  <c r="I12" i="88"/>
  <c r="M11" i="88"/>
  <c r="K11" i="88"/>
  <c r="M10" i="88"/>
  <c r="K8" i="88"/>
  <c r="N6" i="88"/>
  <c r="K5" i="88"/>
  <c r="N34" i="87"/>
  <c r="N31" i="87"/>
  <c r="N32" i="87" s="1"/>
  <c r="N27" i="87"/>
  <c r="K27" i="87"/>
  <c r="M24" i="87"/>
  <c r="I24" i="87"/>
  <c r="H24" i="87"/>
  <c r="I21" i="87"/>
  <c r="O20" i="87"/>
  <c r="I20" i="87"/>
  <c r="N19" i="87"/>
  <c r="G19" i="87"/>
  <c r="C19" i="87"/>
  <c r="O18" i="87"/>
  <c r="O17" i="87"/>
  <c r="K15" i="87"/>
  <c r="P14" i="87"/>
  <c r="K14" i="87"/>
  <c r="K13" i="87"/>
  <c r="K12" i="87"/>
  <c r="I12" i="87"/>
  <c r="M11" i="87"/>
  <c r="K11" i="87"/>
  <c r="M10" i="87"/>
  <c r="K8" i="87"/>
  <c r="N6" i="87"/>
  <c r="K5" i="87"/>
  <c r="C22" i="88" l="1"/>
  <c r="C22" i="87"/>
  <c r="N34" i="86"/>
  <c r="N31" i="86"/>
  <c r="N32" i="86" s="1"/>
  <c r="N27" i="86"/>
  <c r="K27" i="86"/>
  <c r="M24" i="86"/>
  <c r="I24" i="86"/>
  <c r="H24" i="86"/>
  <c r="I21" i="86"/>
  <c r="O20" i="86"/>
  <c r="I20" i="86"/>
  <c r="N19" i="86"/>
  <c r="G19" i="86"/>
  <c r="C19" i="86"/>
  <c r="O18" i="86"/>
  <c r="O17" i="86"/>
  <c r="K15" i="86"/>
  <c r="P14" i="86"/>
  <c r="K14" i="86"/>
  <c r="K13" i="86"/>
  <c r="K12" i="86"/>
  <c r="I12" i="86"/>
  <c r="M11" i="86"/>
  <c r="K11" i="86"/>
  <c r="M10" i="86"/>
  <c r="K8" i="86"/>
  <c r="N6" i="86"/>
  <c r="K5" i="86"/>
  <c r="C22" i="86" l="1"/>
  <c r="C19" i="85"/>
  <c r="K5" i="85"/>
  <c r="N34" i="85"/>
  <c r="N31" i="85"/>
  <c r="N32" i="85" s="1"/>
  <c r="N27" i="85"/>
  <c r="K27" i="85"/>
  <c r="M24" i="85"/>
  <c r="I24" i="85"/>
  <c r="H24" i="85"/>
  <c r="I21" i="85"/>
  <c r="O20" i="85"/>
  <c r="I20" i="85"/>
  <c r="N19" i="85"/>
  <c r="G19" i="85"/>
  <c r="O18" i="85"/>
  <c r="O17" i="85"/>
  <c r="K15" i="85"/>
  <c r="P14" i="85"/>
  <c r="K14" i="85"/>
  <c r="K13" i="85"/>
  <c r="K12" i="85"/>
  <c r="I12" i="85"/>
  <c r="M11" i="85"/>
  <c r="K11" i="85"/>
  <c r="M10" i="85"/>
  <c r="K8" i="85"/>
  <c r="N6" i="85"/>
  <c r="N34" i="84"/>
  <c r="N31" i="84"/>
  <c r="N32" i="84" s="1"/>
  <c r="N27" i="84"/>
  <c r="K27" i="84"/>
  <c r="M24" i="84"/>
  <c r="I24" i="84"/>
  <c r="H24" i="84"/>
  <c r="I21" i="84"/>
  <c r="O20" i="84"/>
  <c r="I20" i="84"/>
  <c r="N19" i="84"/>
  <c r="G19" i="84"/>
  <c r="C19" i="84"/>
  <c r="O18" i="84"/>
  <c r="O17" i="84"/>
  <c r="K15" i="84"/>
  <c r="P14" i="84"/>
  <c r="K14" i="84"/>
  <c r="K13" i="84"/>
  <c r="K12" i="84"/>
  <c r="I12" i="84"/>
  <c r="M11" i="84"/>
  <c r="K11" i="84"/>
  <c r="M10" i="84"/>
  <c r="K8" i="84"/>
  <c r="N6" i="84"/>
  <c r="C22" i="85" l="1"/>
  <c r="C22" i="84"/>
  <c r="N34" i="83"/>
  <c r="N31" i="83"/>
  <c r="N32" i="83" s="1"/>
  <c r="N27" i="83"/>
  <c r="K27" i="83"/>
  <c r="M24" i="83"/>
  <c r="I24" i="83"/>
  <c r="H24" i="83"/>
  <c r="I21" i="83"/>
  <c r="O20" i="83"/>
  <c r="I20" i="83"/>
  <c r="N19" i="83"/>
  <c r="G19" i="83"/>
  <c r="C19" i="83"/>
  <c r="O18" i="83"/>
  <c r="O17" i="83"/>
  <c r="K15" i="83"/>
  <c r="P14" i="83"/>
  <c r="K14" i="83"/>
  <c r="K13" i="83"/>
  <c r="K12" i="83"/>
  <c r="I12" i="83"/>
  <c r="M11" i="83"/>
  <c r="K11" i="83"/>
  <c r="M10" i="83"/>
  <c r="K8" i="83"/>
  <c r="N6" i="83"/>
  <c r="C22" i="83" l="1"/>
  <c r="N34" i="82"/>
  <c r="N31" i="82"/>
  <c r="N32" i="82" s="1"/>
  <c r="N27" i="82"/>
  <c r="K27" i="82"/>
  <c r="M24" i="82"/>
  <c r="I24" i="82"/>
  <c r="H24" i="82"/>
  <c r="I21" i="82"/>
  <c r="O20" i="82"/>
  <c r="I20" i="82"/>
  <c r="N19" i="82"/>
  <c r="G19" i="82"/>
  <c r="C19" i="82"/>
  <c r="O18" i="82"/>
  <c r="O17" i="82"/>
  <c r="K15" i="82"/>
  <c r="P14" i="82"/>
  <c r="K14" i="82"/>
  <c r="K13" i="82"/>
  <c r="K12" i="82"/>
  <c r="I12" i="82"/>
  <c r="M11" i="82"/>
  <c r="K11" i="82"/>
  <c r="M10" i="82"/>
  <c r="K8" i="82"/>
  <c r="N6" i="82"/>
  <c r="C22" i="82" l="1"/>
  <c r="N34" i="81"/>
  <c r="N31" i="81"/>
  <c r="N32" i="81" s="1"/>
  <c r="N27" i="81"/>
  <c r="K27" i="81"/>
  <c r="M24" i="81"/>
  <c r="I24" i="81"/>
  <c r="H24" i="81"/>
  <c r="I21" i="81"/>
  <c r="O20" i="81"/>
  <c r="I20" i="81"/>
  <c r="N19" i="81"/>
  <c r="G19" i="81"/>
  <c r="C19" i="81"/>
  <c r="O18" i="81"/>
  <c r="O17" i="81"/>
  <c r="K15" i="81"/>
  <c r="P14" i="81"/>
  <c r="K14" i="81"/>
  <c r="K13" i="81"/>
  <c r="K12" i="81"/>
  <c r="I12" i="81"/>
  <c r="M11" i="81"/>
  <c r="K11" i="81"/>
  <c r="M10" i="81"/>
  <c r="K8" i="81"/>
  <c r="N6" i="81"/>
  <c r="C22" i="81" l="1"/>
  <c r="N34" i="80"/>
  <c r="N31" i="80"/>
  <c r="N32" i="80" s="1"/>
  <c r="N27" i="80"/>
  <c r="K27" i="80"/>
  <c r="M24" i="80"/>
  <c r="I24" i="80"/>
  <c r="H24" i="80"/>
  <c r="I21" i="80"/>
  <c r="O20" i="80"/>
  <c r="I20" i="80"/>
  <c r="N19" i="80"/>
  <c r="G19" i="80"/>
  <c r="C19" i="80"/>
  <c r="O18" i="80"/>
  <c r="O17" i="80"/>
  <c r="K15" i="80"/>
  <c r="P14" i="80"/>
  <c r="K14" i="80"/>
  <c r="K13" i="80"/>
  <c r="K12" i="80"/>
  <c r="I12" i="80"/>
  <c r="M11" i="80"/>
  <c r="K11" i="80"/>
  <c r="M10" i="80"/>
  <c r="K8" i="80"/>
  <c r="N6" i="80"/>
  <c r="C22" i="80" l="1"/>
  <c r="N34" i="78" l="1"/>
  <c r="N31" i="78"/>
  <c r="N32" i="78" s="1"/>
  <c r="N27" i="78"/>
  <c r="K27" i="78"/>
  <c r="M24" i="78"/>
  <c r="I24" i="78"/>
  <c r="H24" i="78"/>
  <c r="I21" i="78"/>
  <c r="O20" i="78"/>
  <c r="I20" i="78"/>
  <c r="N19" i="78"/>
  <c r="G19" i="78"/>
  <c r="C19" i="78"/>
  <c r="O18" i="78"/>
  <c r="O17" i="78"/>
  <c r="K15" i="78"/>
  <c r="P14" i="78"/>
  <c r="K14" i="78"/>
  <c r="K13" i="78"/>
  <c r="K12" i="78"/>
  <c r="I12" i="78"/>
  <c r="M11" i="78"/>
  <c r="K11" i="78"/>
  <c r="M10" i="78"/>
  <c r="K8" i="78"/>
  <c r="N6" i="78"/>
  <c r="C22" i="78" l="1"/>
  <c r="I12" i="77"/>
  <c r="N34" i="77"/>
  <c r="N31" i="77"/>
  <c r="N32" i="77" s="1"/>
  <c r="N27" i="77"/>
  <c r="K27" i="77"/>
  <c r="M24" i="77"/>
  <c r="I24" i="77"/>
  <c r="H24" i="77"/>
  <c r="I21" i="77"/>
  <c r="O20" i="77"/>
  <c r="I20" i="77"/>
  <c r="N19" i="77"/>
  <c r="C19" i="77"/>
  <c r="O18" i="77"/>
  <c r="O17" i="77"/>
  <c r="K15" i="77"/>
  <c r="P14" i="77"/>
  <c r="K14" i="77"/>
  <c r="K13" i="77"/>
  <c r="K12" i="77"/>
  <c r="M11" i="77"/>
  <c r="K11" i="77"/>
  <c r="M10" i="77"/>
  <c r="G19" i="77"/>
  <c r="K8" i="77"/>
  <c r="N6" i="77"/>
  <c r="C22" i="77" l="1"/>
  <c r="G10" i="76"/>
  <c r="G19" i="76" s="1"/>
  <c r="N34" i="76"/>
  <c r="N31" i="76"/>
  <c r="N32" i="76" s="1"/>
  <c r="N27" i="76"/>
  <c r="K27" i="76"/>
  <c r="M24" i="76"/>
  <c r="I24" i="76"/>
  <c r="H24" i="76"/>
  <c r="I21" i="76"/>
  <c r="O20" i="76"/>
  <c r="I20" i="76"/>
  <c r="N19" i="76"/>
  <c r="C19" i="76"/>
  <c r="O18" i="76"/>
  <c r="O17" i="76"/>
  <c r="K15" i="76"/>
  <c r="P14" i="76"/>
  <c r="K14" i="76"/>
  <c r="K13" i="76"/>
  <c r="K12" i="76"/>
  <c r="M11" i="76"/>
  <c r="K11" i="76"/>
  <c r="M10" i="76"/>
  <c r="K8" i="76"/>
  <c r="N6" i="76"/>
  <c r="C22" i="76" l="1"/>
  <c r="N34" i="75"/>
  <c r="N31" i="75"/>
  <c r="N32" i="75" s="1"/>
  <c r="N27" i="75"/>
  <c r="K27" i="75"/>
  <c r="M24" i="75"/>
  <c r="I24" i="75"/>
  <c r="H24" i="75"/>
  <c r="I21" i="75"/>
  <c r="O20" i="75"/>
  <c r="I20" i="75"/>
  <c r="N19" i="75"/>
  <c r="G19" i="75"/>
  <c r="C19" i="75"/>
  <c r="O18" i="75"/>
  <c r="O17" i="75"/>
  <c r="K15" i="75"/>
  <c r="P14" i="75"/>
  <c r="K14" i="75"/>
  <c r="K13" i="75"/>
  <c r="K12" i="75"/>
  <c r="M11" i="75"/>
  <c r="K11" i="75"/>
  <c r="M10" i="75"/>
  <c r="K8" i="75"/>
  <c r="N6" i="75"/>
  <c r="C22" i="75" l="1"/>
  <c r="N34" i="74"/>
  <c r="N31" i="74"/>
  <c r="N32" i="74" s="1"/>
  <c r="N27" i="74"/>
  <c r="K27" i="74"/>
  <c r="M24" i="74"/>
  <c r="I24" i="74"/>
  <c r="H24" i="74"/>
  <c r="I21" i="74"/>
  <c r="O20" i="74"/>
  <c r="I20" i="74"/>
  <c r="N19" i="74"/>
  <c r="G19" i="74"/>
  <c r="C19" i="74"/>
  <c r="O18" i="74"/>
  <c r="O17" i="74"/>
  <c r="K15" i="74"/>
  <c r="P14" i="74"/>
  <c r="K14" i="74"/>
  <c r="K13" i="74"/>
  <c r="K12" i="74"/>
  <c r="M11" i="74"/>
  <c r="K11" i="74"/>
  <c r="M10" i="74"/>
  <c r="K8" i="74"/>
  <c r="N6" i="74"/>
  <c r="C22" i="74" l="1"/>
  <c r="N34" i="73"/>
  <c r="N31" i="73"/>
  <c r="N32" i="73" s="1"/>
  <c r="N27" i="73"/>
  <c r="K27" i="73"/>
  <c r="M24" i="73"/>
  <c r="I24" i="73"/>
  <c r="H24" i="73"/>
  <c r="I21" i="73"/>
  <c r="O20" i="73"/>
  <c r="I20" i="73"/>
  <c r="N19" i="73"/>
  <c r="G19" i="73"/>
  <c r="C19" i="73"/>
  <c r="O18" i="73"/>
  <c r="O17" i="73"/>
  <c r="K15" i="73"/>
  <c r="P14" i="73"/>
  <c r="K14" i="73"/>
  <c r="K13" i="73"/>
  <c r="K12" i="73"/>
  <c r="M11" i="73"/>
  <c r="K11" i="73"/>
  <c r="M10" i="73"/>
  <c r="K8" i="73"/>
  <c r="N6" i="73"/>
  <c r="C22" i="73" l="1"/>
  <c r="N34" i="72"/>
  <c r="N31" i="72"/>
  <c r="N32" i="72" s="1"/>
  <c r="N27" i="72"/>
  <c r="K27" i="72"/>
  <c r="M24" i="72"/>
  <c r="I24" i="72"/>
  <c r="H24" i="72"/>
  <c r="I21" i="72"/>
  <c r="O20" i="72"/>
  <c r="I20" i="72"/>
  <c r="N19" i="72"/>
  <c r="G19" i="72"/>
  <c r="C19" i="72"/>
  <c r="O18" i="72"/>
  <c r="O17" i="72"/>
  <c r="K15" i="72"/>
  <c r="P14" i="72"/>
  <c r="K14" i="72"/>
  <c r="K13" i="72"/>
  <c r="K12" i="72"/>
  <c r="M11" i="72"/>
  <c r="K11" i="72"/>
  <c r="M10" i="72"/>
  <c r="K8" i="72"/>
  <c r="N6" i="72"/>
  <c r="C22" i="72" l="1"/>
  <c r="N34" i="71"/>
  <c r="N31" i="71"/>
  <c r="N32" i="71" s="1"/>
  <c r="N27" i="71"/>
  <c r="K27" i="71"/>
  <c r="M24" i="71"/>
  <c r="I24" i="71"/>
  <c r="H24" i="71"/>
  <c r="I21" i="71"/>
  <c r="O20" i="71"/>
  <c r="I20" i="71"/>
  <c r="N19" i="71"/>
  <c r="G19" i="71"/>
  <c r="C19" i="71"/>
  <c r="O18" i="71"/>
  <c r="O17" i="71"/>
  <c r="K15" i="71"/>
  <c r="P14" i="71"/>
  <c r="K14" i="71"/>
  <c r="K13" i="71"/>
  <c r="K12" i="71"/>
  <c r="M11" i="71"/>
  <c r="K11" i="71"/>
  <c r="M10" i="71"/>
  <c r="K8" i="71"/>
  <c r="N6" i="71"/>
  <c r="C22" i="71" l="1"/>
  <c r="G15" i="70"/>
  <c r="G19" i="70" s="1"/>
  <c r="N34" i="70"/>
  <c r="N31" i="70"/>
  <c r="N32" i="70" s="1"/>
  <c r="N27" i="70"/>
  <c r="K27" i="70"/>
  <c r="M24" i="70"/>
  <c r="I24" i="70"/>
  <c r="H24" i="70"/>
  <c r="I21" i="70"/>
  <c r="O20" i="70"/>
  <c r="I20" i="70"/>
  <c r="N19" i="70"/>
  <c r="C19" i="70"/>
  <c r="O18" i="70"/>
  <c r="O17" i="70"/>
  <c r="K15" i="70"/>
  <c r="P14" i="70"/>
  <c r="K14" i="70"/>
  <c r="K13" i="70"/>
  <c r="K12" i="70"/>
  <c r="M11" i="70"/>
  <c r="K11" i="70"/>
  <c r="M10" i="70"/>
  <c r="K8" i="70"/>
  <c r="N6" i="70"/>
  <c r="C22" i="70" l="1"/>
  <c r="H24" i="69"/>
  <c r="K11" i="69"/>
  <c r="K8" i="69"/>
  <c r="N6" i="69"/>
  <c r="N34" i="69" l="1"/>
  <c r="N31" i="69"/>
  <c r="N32" i="69" s="1"/>
  <c r="N27" i="69"/>
  <c r="K27" i="69"/>
  <c r="M24" i="69"/>
  <c r="I24" i="69"/>
  <c r="I21" i="69"/>
  <c r="O20" i="69"/>
  <c r="I20" i="69"/>
  <c r="N19" i="69"/>
  <c r="G19" i="69"/>
  <c r="C19" i="69"/>
  <c r="O18" i="69"/>
  <c r="O17" i="69"/>
  <c r="K15" i="69"/>
  <c r="P14" i="69"/>
  <c r="K14" i="69"/>
  <c r="K13" i="69"/>
  <c r="K12" i="69"/>
  <c r="M11" i="69"/>
  <c r="M10" i="69"/>
  <c r="C22" i="69" l="1"/>
  <c r="C6" i="68"/>
  <c r="N34" i="68" l="1"/>
  <c r="N31" i="68"/>
  <c r="N32" i="68" s="1"/>
  <c r="N27" i="68"/>
  <c r="K27" i="68"/>
  <c r="M24" i="68"/>
  <c r="I24" i="68"/>
  <c r="I21" i="68"/>
  <c r="O20" i="68"/>
  <c r="I20" i="68"/>
  <c r="N19" i="68"/>
  <c r="G19" i="68"/>
  <c r="C19" i="68"/>
  <c r="O18" i="68"/>
  <c r="O17" i="68"/>
  <c r="K15" i="68"/>
  <c r="P14" i="68"/>
  <c r="K14" i="68"/>
  <c r="K13" i="68"/>
  <c r="K12" i="68"/>
  <c r="M11" i="68"/>
  <c r="M10" i="68"/>
  <c r="C22" i="68" l="1"/>
  <c r="N34" i="67"/>
  <c r="N31" i="67"/>
  <c r="N32" i="67" s="1"/>
  <c r="N27" i="67"/>
  <c r="K27" i="67"/>
  <c r="M24" i="67"/>
  <c r="I24" i="67"/>
  <c r="I21" i="67"/>
  <c r="O20" i="67"/>
  <c r="I20" i="67"/>
  <c r="N19" i="67"/>
  <c r="G19" i="67"/>
  <c r="C19" i="67"/>
  <c r="O18" i="67"/>
  <c r="O17" i="67"/>
  <c r="K15" i="67"/>
  <c r="P14" i="67"/>
  <c r="K14" i="67"/>
  <c r="K13" i="67"/>
  <c r="K12" i="67"/>
  <c r="M11" i="67"/>
  <c r="M10" i="67"/>
  <c r="C22" i="67" l="1"/>
  <c r="N34" i="66"/>
  <c r="N31" i="66"/>
  <c r="N32" i="66" s="1"/>
  <c r="N27" i="66"/>
  <c r="K27" i="66"/>
  <c r="M24" i="66"/>
  <c r="I24" i="66"/>
  <c r="I21" i="66"/>
  <c r="O20" i="66"/>
  <c r="I20" i="66"/>
  <c r="N19" i="66"/>
  <c r="G19" i="66"/>
  <c r="C19" i="66"/>
  <c r="O18" i="66"/>
  <c r="O17" i="66"/>
  <c r="K15" i="66"/>
  <c r="P14" i="66"/>
  <c r="K14" i="66"/>
  <c r="K13" i="66"/>
  <c r="K12" i="66"/>
  <c r="M11" i="66"/>
  <c r="M10" i="66"/>
  <c r="C22" i="66" l="1"/>
  <c r="N34" i="65"/>
  <c r="N31" i="65"/>
  <c r="N32" i="65" s="1"/>
  <c r="N27" i="65"/>
  <c r="K27" i="65"/>
  <c r="M24" i="65"/>
  <c r="I24" i="65"/>
  <c r="I21" i="65"/>
  <c r="O20" i="65"/>
  <c r="I20" i="65"/>
  <c r="N19" i="65"/>
  <c r="G19" i="65"/>
  <c r="C19" i="65"/>
  <c r="O18" i="65"/>
  <c r="O17" i="65"/>
  <c r="K15" i="65"/>
  <c r="P14" i="65"/>
  <c r="K14" i="65"/>
  <c r="K13" i="65"/>
  <c r="K12" i="65"/>
  <c r="M11" i="65"/>
  <c r="M10" i="65"/>
  <c r="C22" i="65" l="1"/>
  <c r="N34" i="64"/>
  <c r="N31" i="64"/>
  <c r="N32" i="64" s="1"/>
  <c r="N27" i="64"/>
  <c r="K27" i="64"/>
  <c r="M24" i="64"/>
  <c r="I24" i="64"/>
  <c r="I21" i="64"/>
  <c r="O20" i="64"/>
  <c r="I20" i="64"/>
  <c r="N19" i="64"/>
  <c r="G19" i="64"/>
  <c r="C19" i="64"/>
  <c r="O18" i="64"/>
  <c r="O17" i="64"/>
  <c r="K15" i="64"/>
  <c r="P14" i="64"/>
  <c r="K14" i="64"/>
  <c r="K13" i="64"/>
  <c r="K12" i="64"/>
  <c r="M11" i="64"/>
  <c r="M10" i="64"/>
  <c r="C22" i="64" l="1"/>
  <c r="N34" i="63"/>
  <c r="N31" i="63"/>
  <c r="N32" i="63" s="1"/>
  <c r="N27" i="63"/>
  <c r="K27" i="63"/>
  <c r="M24" i="63"/>
  <c r="I24" i="63"/>
  <c r="I21" i="63"/>
  <c r="O20" i="63"/>
  <c r="I20" i="63"/>
  <c r="N19" i="63"/>
  <c r="G19" i="63"/>
  <c r="C19" i="63"/>
  <c r="O18" i="63"/>
  <c r="O17" i="63"/>
  <c r="K15" i="63"/>
  <c r="P14" i="63"/>
  <c r="K14" i="63"/>
  <c r="K13" i="63"/>
  <c r="K12" i="63"/>
  <c r="M11" i="63"/>
  <c r="M10" i="63"/>
  <c r="C22" i="63" l="1"/>
  <c r="M11" i="62"/>
  <c r="M10" i="62"/>
  <c r="N34" i="62"/>
  <c r="N31" i="62"/>
  <c r="N32" i="62" s="1"/>
  <c r="N27" i="62"/>
  <c r="K27" i="62"/>
  <c r="M24" i="62"/>
  <c r="I24" i="62"/>
  <c r="I21" i="62"/>
  <c r="O20" i="62"/>
  <c r="I20" i="62"/>
  <c r="N19" i="62"/>
  <c r="G19" i="62"/>
  <c r="C19" i="62"/>
  <c r="O18" i="62"/>
  <c r="O17" i="62"/>
  <c r="K15" i="62"/>
  <c r="P14" i="62"/>
  <c r="K14" i="62"/>
  <c r="K13" i="62"/>
  <c r="K12" i="62"/>
  <c r="C22" i="62" l="1"/>
  <c r="N34" i="61"/>
  <c r="N31" i="61"/>
  <c r="N32" i="61" s="1"/>
  <c r="N27" i="61"/>
  <c r="K27" i="61"/>
  <c r="M24" i="61"/>
  <c r="I24" i="61"/>
  <c r="I21" i="61"/>
  <c r="O20" i="61"/>
  <c r="I20" i="61"/>
  <c r="N19" i="61"/>
  <c r="G19" i="61"/>
  <c r="C19" i="61"/>
  <c r="O18" i="61"/>
  <c r="O17" i="61"/>
  <c r="K15" i="61"/>
  <c r="P14" i="61"/>
  <c r="K14" i="61"/>
  <c r="K13" i="61"/>
  <c r="K12" i="61"/>
  <c r="C22" i="61" l="1"/>
  <c r="N34" i="60"/>
  <c r="N31" i="60"/>
  <c r="N32" i="60" s="1"/>
  <c r="N27" i="60"/>
  <c r="K27" i="60"/>
  <c r="M24" i="60"/>
  <c r="I24" i="60"/>
  <c r="I21" i="60"/>
  <c r="O20" i="60"/>
  <c r="I20" i="60"/>
  <c r="N19" i="60"/>
  <c r="G19" i="60"/>
  <c r="C19" i="60"/>
  <c r="O18" i="60"/>
  <c r="O17" i="60"/>
  <c r="K15" i="60"/>
  <c r="P14" i="60"/>
  <c r="K14" i="60"/>
  <c r="K13" i="60"/>
  <c r="K12" i="60"/>
  <c r="N34" i="59"/>
  <c r="N31" i="59"/>
  <c r="N32" i="59" s="1"/>
  <c r="N27" i="59"/>
  <c r="K27" i="59"/>
  <c r="M24" i="59"/>
  <c r="I24" i="59"/>
  <c r="I21" i="59"/>
  <c r="O20" i="59"/>
  <c r="I20" i="59"/>
  <c r="N19" i="59"/>
  <c r="G19" i="59"/>
  <c r="C19" i="59"/>
  <c r="O18" i="59"/>
  <c r="O17" i="59"/>
  <c r="K15" i="59"/>
  <c r="P14" i="59"/>
  <c r="K14" i="59"/>
  <c r="K13" i="59"/>
  <c r="K12" i="59"/>
  <c r="C22" i="60" l="1"/>
  <c r="C22" i="59"/>
  <c r="N34" i="58"/>
  <c r="N31" i="58"/>
  <c r="N32" i="58" s="1"/>
  <c r="N27" i="58"/>
  <c r="K27" i="58"/>
  <c r="M24" i="58"/>
  <c r="I24" i="58"/>
  <c r="I21" i="58"/>
  <c r="O20" i="58"/>
  <c r="I20" i="58"/>
  <c r="N19" i="58"/>
  <c r="G19" i="58"/>
  <c r="C19" i="58"/>
  <c r="O18" i="58"/>
  <c r="O17" i="58"/>
  <c r="K15" i="58"/>
  <c r="P14" i="58"/>
  <c r="K14" i="58"/>
  <c r="K13" i="58"/>
  <c r="K12" i="58"/>
  <c r="C22" i="58" l="1"/>
  <c r="P14" i="57"/>
  <c r="N34" i="57" l="1"/>
  <c r="N31" i="57"/>
  <c r="N32" i="57" s="1"/>
  <c r="N27" i="57"/>
  <c r="K27" i="57"/>
  <c r="M24" i="57"/>
  <c r="I24" i="57"/>
  <c r="I21" i="57"/>
  <c r="O20" i="57"/>
  <c r="I20" i="57"/>
  <c r="N19" i="57"/>
  <c r="G19" i="57"/>
  <c r="C19" i="57"/>
  <c r="O18" i="57"/>
  <c r="O17" i="57"/>
  <c r="K15" i="57"/>
  <c r="K14" i="57"/>
  <c r="K13" i="57"/>
  <c r="K12" i="57"/>
  <c r="C22" i="57" l="1"/>
  <c r="M14" i="47"/>
  <c r="N34" i="56" l="1"/>
  <c r="N31" i="56"/>
  <c r="N32" i="56" s="1"/>
  <c r="N27" i="56"/>
  <c r="K27" i="56"/>
  <c r="G27" i="56"/>
  <c r="M24" i="56"/>
  <c r="I24" i="56"/>
  <c r="I21" i="56"/>
  <c r="O20" i="56"/>
  <c r="I20" i="56"/>
  <c r="N19" i="56"/>
  <c r="C19" i="56"/>
  <c r="O18" i="56"/>
  <c r="O17" i="56"/>
  <c r="G19" i="56"/>
  <c r="K15" i="56"/>
  <c r="K14" i="56"/>
  <c r="K13" i="56"/>
  <c r="K12" i="56"/>
  <c r="C22" i="56" l="1"/>
  <c r="G16" i="55"/>
  <c r="G19" i="55" s="1"/>
  <c r="N34" i="55"/>
  <c r="N31" i="55"/>
  <c r="N32" i="55" s="1"/>
  <c r="N27" i="55"/>
  <c r="K27" i="55"/>
  <c r="G27" i="55"/>
  <c r="M24" i="55"/>
  <c r="I24" i="55"/>
  <c r="I21" i="55"/>
  <c r="O20" i="55"/>
  <c r="I20" i="55"/>
  <c r="N19" i="55"/>
  <c r="C19" i="55"/>
  <c r="O18" i="55"/>
  <c r="O17" i="55"/>
  <c r="K15" i="55"/>
  <c r="K14" i="55"/>
  <c r="K13" i="55"/>
  <c r="K12" i="55"/>
  <c r="C22" i="55" l="1"/>
  <c r="N34" i="54"/>
  <c r="N31" i="54"/>
  <c r="N32" i="54" s="1"/>
  <c r="N27" i="54"/>
  <c r="K27" i="54"/>
  <c r="G27" i="54"/>
  <c r="M24" i="54"/>
  <c r="I24" i="54"/>
  <c r="I21" i="54"/>
  <c r="O20" i="54"/>
  <c r="I20" i="54"/>
  <c r="N19" i="54"/>
  <c r="G19" i="54"/>
  <c r="C19" i="54"/>
  <c r="O18" i="54"/>
  <c r="O17" i="54"/>
  <c r="K15" i="54"/>
  <c r="K14" i="54"/>
  <c r="K13" i="54"/>
  <c r="K12" i="54"/>
  <c r="C22" i="54" l="1"/>
  <c r="N34" i="53"/>
  <c r="N31" i="53"/>
  <c r="N32" i="53" s="1"/>
  <c r="N27" i="53"/>
  <c r="K27" i="53"/>
  <c r="G27" i="53"/>
  <c r="M24" i="53"/>
  <c r="I24" i="53"/>
  <c r="I21" i="53"/>
  <c r="O20" i="53"/>
  <c r="I20" i="53"/>
  <c r="N19" i="53"/>
  <c r="G19" i="53"/>
  <c r="C19" i="53"/>
  <c r="O18" i="53"/>
  <c r="O17" i="53"/>
  <c r="K15" i="53"/>
  <c r="K14" i="53"/>
  <c r="K13" i="53"/>
  <c r="K12" i="53"/>
  <c r="N34" i="52"/>
  <c r="N31" i="52"/>
  <c r="N32" i="52" s="1"/>
  <c r="N27" i="52"/>
  <c r="K27" i="52"/>
  <c r="G27" i="52"/>
  <c r="M24" i="52"/>
  <c r="I24" i="52"/>
  <c r="I21" i="52"/>
  <c r="O20" i="52"/>
  <c r="I20" i="52"/>
  <c r="N19" i="52"/>
  <c r="G19" i="52"/>
  <c r="C19" i="52"/>
  <c r="O18" i="52"/>
  <c r="O17" i="52"/>
  <c r="K15" i="52"/>
  <c r="K14" i="52"/>
  <c r="K13" i="52"/>
  <c r="K12" i="52"/>
  <c r="N34" i="51"/>
  <c r="N31" i="51"/>
  <c r="N32" i="51" s="1"/>
  <c r="N27" i="51"/>
  <c r="K27" i="51"/>
  <c r="G27" i="51"/>
  <c r="M24" i="51"/>
  <c r="I24" i="51"/>
  <c r="I21" i="51"/>
  <c r="O20" i="51"/>
  <c r="I20" i="51"/>
  <c r="N19" i="51"/>
  <c r="G19" i="51"/>
  <c r="C19" i="51"/>
  <c r="O18" i="51"/>
  <c r="O17" i="51"/>
  <c r="K15" i="51"/>
  <c r="K14" i="51"/>
  <c r="K13" i="51"/>
  <c r="K12" i="51"/>
  <c r="N34" i="50"/>
  <c r="N31" i="50"/>
  <c r="N32" i="50" s="1"/>
  <c r="N27" i="50"/>
  <c r="K27" i="50"/>
  <c r="G27" i="50"/>
  <c r="M24" i="50"/>
  <c r="I24" i="50"/>
  <c r="I21" i="50"/>
  <c r="O20" i="50"/>
  <c r="I20" i="50"/>
  <c r="N19" i="50"/>
  <c r="G19" i="50"/>
  <c r="C19" i="50"/>
  <c r="O18" i="50"/>
  <c r="O17" i="50"/>
  <c r="K15" i="50"/>
  <c r="K14" i="50"/>
  <c r="K13" i="50"/>
  <c r="K12" i="50"/>
  <c r="N34" i="49"/>
  <c r="N31" i="49"/>
  <c r="N32" i="49" s="1"/>
  <c r="N27" i="49"/>
  <c r="K27" i="49"/>
  <c r="G27" i="49"/>
  <c r="M24" i="49"/>
  <c r="I24" i="49"/>
  <c r="I21" i="49"/>
  <c r="O20" i="49"/>
  <c r="I20" i="49"/>
  <c r="N19" i="49"/>
  <c r="G19" i="49"/>
  <c r="C19" i="49"/>
  <c r="O18" i="49"/>
  <c r="O17" i="49"/>
  <c r="K15" i="49"/>
  <c r="K14" i="49"/>
  <c r="K13" i="49"/>
  <c r="K12" i="49"/>
  <c r="N34" i="48"/>
  <c r="N31" i="48"/>
  <c r="N32" i="48" s="1"/>
  <c r="N27" i="48"/>
  <c r="K27" i="48"/>
  <c r="G27" i="48"/>
  <c r="M24" i="48"/>
  <c r="I24" i="48"/>
  <c r="I21" i="48"/>
  <c r="O20" i="48"/>
  <c r="I20" i="48"/>
  <c r="N19" i="48"/>
  <c r="G19" i="48"/>
  <c r="C19" i="48"/>
  <c r="O18" i="48"/>
  <c r="O17" i="48"/>
  <c r="K15" i="48"/>
  <c r="K14" i="48"/>
  <c r="K13" i="48"/>
  <c r="K12" i="48"/>
  <c r="N34" i="47"/>
  <c r="N31" i="47"/>
  <c r="N32" i="47" s="1"/>
  <c r="N27" i="47"/>
  <c r="K27" i="47"/>
  <c r="G27" i="47"/>
  <c r="M24" i="47"/>
  <c r="I24" i="47"/>
  <c r="I21" i="47"/>
  <c r="O20" i="47"/>
  <c r="I20" i="47"/>
  <c r="G16" i="47"/>
  <c r="G19" i="47" s="1"/>
  <c r="K15" i="47"/>
  <c r="K14" i="47"/>
  <c r="K13" i="47"/>
  <c r="K12" i="47"/>
  <c r="C6" i="47"/>
  <c r="C19" i="47" s="1"/>
  <c r="N34" i="46"/>
  <c r="N31" i="46"/>
  <c r="N32" i="46" s="1"/>
  <c r="N27" i="46"/>
  <c r="K27" i="46"/>
  <c r="G27" i="46"/>
  <c r="M24" i="46"/>
  <c r="I24" i="46"/>
  <c r="O20" i="46"/>
  <c r="N19" i="46"/>
  <c r="G19" i="46"/>
  <c r="C19" i="46"/>
  <c r="O18" i="46"/>
  <c r="O17" i="46"/>
  <c r="K15" i="46"/>
  <c r="K14" i="46"/>
  <c r="K13" i="46"/>
  <c r="K12" i="46"/>
  <c r="N34" i="45"/>
  <c r="N31" i="45"/>
  <c r="N32" i="45" s="1"/>
  <c r="N27" i="45"/>
  <c r="K27" i="45"/>
  <c r="G27" i="45"/>
  <c r="M24" i="45"/>
  <c r="I24" i="45"/>
  <c r="O20" i="45"/>
  <c r="N19" i="45"/>
  <c r="G19" i="45"/>
  <c r="C19" i="45"/>
  <c r="O18" i="45"/>
  <c r="O17" i="45"/>
  <c r="K15" i="45"/>
  <c r="K14" i="45"/>
  <c r="K13" i="45"/>
  <c r="K12" i="45"/>
  <c r="N34" i="44"/>
  <c r="N31" i="44"/>
  <c r="N32" i="44" s="1"/>
  <c r="N27" i="44"/>
  <c r="K27" i="44"/>
  <c r="G27" i="44"/>
  <c r="M24" i="44"/>
  <c r="I24" i="44"/>
  <c r="O20" i="44"/>
  <c r="G19" i="44"/>
  <c r="C19" i="44"/>
  <c r="O18" i="44"/>
  <c r="O17" i="44"/>
  <c r="K15" i="44"/>
  <c r="K14" i="44"/>
  <c r="K13" i="44"/>
  <c r="K12" i="44"/>
  <c r="N34" i="43"/>
  <c r="N31" i="43"/>
  <c r="N32" i="43" s="1"/>
  <c r="N27" i="43"/>
  <c r="K27" i="43"/>
  <c r="G27" i="43"/>
  <c r="M24" i="43"/>
  <c r="I24" i="43"/>
  <c r="O20" i="43"/>
  <c r="G19" i="43"/>
  <c r="C19" i="43"/>
  <c r="O18" i="43"/>
  <c r="O17" i="43"/>
  <c r="K15" i="43"/>
  <c r="K14" i="43"/>
  <c r="K13" i="43"/>
  <c r="K12" i="43"/>
  <c r="N34" i="42"/>
  <c r="N31" i="42"/>
  <c r="N32" i="42" s="1"/>
  <c r="N27" i="42"/>
  <c r="K27" i="42"/>
  <c r="G27" i="42"/>
  <c r="M24" i="42"/>
  <c r="I24" i="42"/>
  <c r="O20" i="42"/>
  <c r="G19" i="42"/>
  <c r="C19" i="42"/>
  <c r="O18" i="42"/>
  <c r="O17" i="42"/>
  <c r="K15" i="42"/>
  <c r="K14" i="42"/>
  <c r="K13" i="42"/>
  <c r="K12" i="42"/>
  <c r="N34" i="41"/>
  <c r="N31" i="41"/>
  <c r="N32" i="41" s="1"/>
  <c r="N27" i="41"/>
  <c r="K27" i="41"/>
  <c r="G27" i="41"/>
  <c r="M24" i="41"/>
  <c r="I24" i="41"/>
  <c r="O20" i="41"/>
  <c r="C19" i="41"/>
  <c r="O18" i="41"/>
  <c r="O17" i="41"/>
  <c r="G16" i="41"/>
  <c r="G19" i="41" s="1"/>
  <c r="K15" i="41"/>
  <c r="K14" i="41"/>
  <c r="K13" i="41"/>
  <c r="K12" i="41"/>
  <c r="N34" i="40"/>
  <c r="N31" i="40"/>
  <c r="N32" i="40" s="1"/>
  <c r="N27" i="40"/>
  <c r="K27" i="40"/>
  <c r="G27" i="40"/>
  <c r="M24" i="40"/>
  <c r="I24" i="40"/>
  <c r="O20" i="40"/>
  <c r="G19" i="40"/>
  <c r="C19" i="40"/>
  <c r="O18" i="40"/>
  <c r="O17" i="40"/>
  <c r="K15" i="40"/>
  <c r="K14" i="40"/>
  <c r="K13" i="40"/>
  <c r="K12" i="40"/>
  <c r="N34" i="39"/>
  <c r="N31" i="39"/>
  <c r="N32" i="39" s="1"/>
  <c r="N27" i="39"/>
  <c r="K27" i="39"/>
  <c r="G27" i="39"/>
  <c r="M24" i="39"/>
  <c r="I24" i="39"/>
  <c r="O20" i="39"/>
  <c r="G19" i="39"/>
  <c r="C19" i="39"/>
  <c r="O18" i="39"/>
  <c r="O17" i="39"/>
  <c r="K15" i="39"/>
  <c r="K14" i="39"/>
  <c r="K13" i="39"/>
  <c r="K12" i="39"/>
  <c r="N34" i="38"/>
  <c r="N31" i="38"/>
  <c r="N32" i="38" s="1"/>
  <c r="N27" i="38"/>
  <c r="K27" i="38"/>
  <c r="G27" i="38"/>
  <c r="M24" i="38"/>
  <c r="I24" i="38"/>
  <c r="O20" i="38"/>
  <c r="G19" i="38"/>
  <c r="C19" i="38"/>
  <c r="K14" i="38"/>
  <c r="N34" i="37"/>
  <c r="N31" i="37"/>
  <c r="N32" i="37" s="1"/>
  <c r="N27" i="37"/>
  <c r="K27" i="37"/>
  <c r="G27" i="37"/>
  <c r="M24" i="37"/>
  <c r="I24" i="37"/>
  <c r="O20" i="37"/>
  <c r="G19" i="37"/>
  <c r="C19" i="37"/>
  <c r="K14" i="37"/>
  <c r="N34" i="36"/>
  <c r="N31" i="36"/>
  <c r="N32" i="36" s="1"/>
  <c r="G19" i="36"/>
  <c r="C19" i="36"/>
  <c r="J23" i="35"/>
  <c r="J22" i="35"/>
  <c r="K20" i="35"/>
  <c r="G19" i="35"/>
  <c r="C19" i="35"/>
  <c r="K18" i="35"/>
  <c r="L17" i="35"/>
  <c r="K17" i="35"/>
  <c r="N14" i="35"/>
  <c r="N13" i="35"/>
  <c r="K7" i="35"/>
  <c r="J23" i="34"/>
  <c r="J22" i="34"/>
  <c r="K20" i="34"/>
  <c r="G19" i="34"/>
  <c r="C19" i="34"/>
  <c r="K18" i="34"/>
  <c r="L17" i="34"/>
  <c r="K17" i="34"/>
  <c r="N14" i="34"/>
  <c r="N13" i="34"/>
  <c r="K7" i="34"/>
  <c r="J23" i="33"/>
  <c r="J22" i="33"/>
  <c r="K20" i="33"/>
  <c r="G19" i="33"/>
  <c r="C19" i="33"/>
  <c r="K18" i="33"/>
  <c r="L17" i="33"/>
  <c r="K17" i="33"/>
  <c r="N14" i="33"/>
  <c r="N13" i="33"/>
  <c r="K7" i="33"/>
  <c r="J23" i="32"/>
  <c r="J22" i="32"/>
  <c r="K20" i="32"/>
  <c r="G19" i="32"/>
  <c r="C19" i="32"/>
  <c r="K18" i="32"/>
  <c r="L17" i="32"/>
  <c r="K17" i="32"/>
  <c r="N14" i="32"/>
  <c r="N13" i="32"/>
  <c r="K7" i="32"/>
  <c r="J23" i="31"/>
  <c r="J22" i="31"/>
  <c r="K20" i="31"/>
  <c r="G19" i="31"/>
  <c r="C19" i="31"/>
  <c r="K18" i="31"/>
  <c r="L17" i="31"/>
  <c r="K17" i="31"/>
  <c r="N14" i="31"/>
  <c r="N13" i="31"/>
  <c r="K7" i="31"/>
  <c r="J23" i="30"/>
  <c r="J22" i="30"/>
  <c r="K20" i="30"/>
  <c r="G19" i="30"/>
  <c r="C19" i="30"/>
  <c r="K18" i="30"/>
  <c r="L17" i="30"/>
  <c r="K17" i="30"/>
  <c r="N14" i="30"/>
  <c r="N13" i="30"/>
  <c r="K7" i="30"/>
  <c r="J23" i="29"/>
  <c r="J22" i="29"/>
  <c r="K20" i="29"/>
  <c r="G19" i="29"/>
  <c r="C19" i="29"/>
  <c r="K18" i="29"/>
  <c r="L17" i="29"/>
  <c r="K17" i="29"/>
  <c r="N14" i="29"/>
  <c r="N13" i="29"/>
  <c r="K7" i="29"/>
  <c r="J23" i="28"/>
  <c r="J22" i="28"/>
  <c r="K20" i="28"/>
  <c r="G19" i="28"/>
  <c r="C19" i="28"/>
  <c r="L17" i="28"/>
  <c r="N14" i="28"/>
  <c r="N13" i="28"/>
  <c r="K7" i="28"/>
  <c r="J23" i="27"/>
  <c r="J22" i="27"/>
  <c r="K20" i="27"/>
  <c r="G19" i="27"/>
  <c r="L17" i="27"/>
  <c r="N14" i="27"/>
  <c r="N13" i="27"/>
  <c r="K7" i="27"/>
  <c r="C4" i="27"/>
  <c r="C19" i="27" s="1"/>
  <c r="J23" i="26"/>
  <c r="J22" i="26"/>
  <c r="K20" i="26"/>
  <c r="G19" i="26"/>
  <c r="C19" i="26"/>
  <c r="L17" i="26"/>
  <c r="N14" i="26"/>
  <c r="N13" i="26"/>
  <c r="K7" i="26"/>
  <c r="J23" i="25"/>
  <c r="J22" i="25"/>
  <c r="K20" i="25"/>
  <c r="G19" i="25"/>
  <c r="C19" i="25"/>
  <c r="L17" i="25"/>
  <c r="N14" i="25"/>
  <c r="N13" i="25"/>
  <c r="K7" i="25"/>
  <c r="J23" i="24"/>
  <c r="J22" i="24"/>
  <c r="K20" i="24"/>
  <c r="G19" i="24"/>
  <c r="C19" i="24"/>
  <c r="L17" i="24"/>
  <c r="N14" i="24"/>
  <c r="N13" i="24"/>
  <c r="K7" i="24"/>
  <c r="J23" i="23"/>
  <c r="J22" i="23"/>
  <c r="K20" i="23"/>
  <c r="G19" i="23"/>
  <c r="C19" i="23"/>
  <c r="L17" i="23"/>
  <c r="N14" i="23"/>
  <c r="N13" i="23"/>
  <c r="K7" i="23"/>
  <c r="J23" i="22"/>
  <c r="J22" i="22"/>
  <c r="K20" i="22"/>
  <c r="G19" i="22"/>
  <c r="C19" i="22"/>
  <c r="L17" i="22"/>
  <c r="N14" i="22"/>
  <c r="N13" i="22"/>
  <c r="K7" i="22"/>
  <c r="J23" i="21"/>
  <c r="J22" i="21"/>
  <c r="K20" i="21"/>
  <c r="G19" i="21"/>
  <c r="C19" i="21"/>
  <c r="L17" i="21"/>
  <c r="K7" i="21"/>
  <c r="J23" i="20"/>
  <c r="J22" i="20"/>
  <c r="K20" i="20"/>
  <c r="G19" i="20"/>
  <c r="C19" i="20"/>
  <c r="L17" i="20"/>
  <c r="K7" i="20"/>
  <c r="J23" i="19"/>
  <c r="J22" i="19"/>
  <c r="K20" i="19"/>
  <c r="G19" i="19"/>
  <c r="C19" i="19"/>
  <c r="L17" i="19"/>
  <c r="K7" i="19"/>
  <c r="J23" i="18"/>
  <c r="J22" i="18"/>
  <c r="K20" i="18"/>
  <c r="G19" i="18"/>
  <c r="C19" i="18"/>
  <c r="L17" i="18"/>
  <c r="K7" i="18"/>
  <c r="J23" i="17"/>
  <c r="J22" i="17"/>
  <c r="K20" i="17"/>
  <c r="G19" i="17"/>
  <c r="C19" i="17"/>
  <c r="L17" i="17"/>
  <c r="K7" i="17"/>
  <c r="J23" i="16"/>
  <c r="J22" i="16"/>
  <c r="K20" i="16"/>
  <c r="G19" i="16"/>
  <c r="C19" i="16"/>
  <c r="L17" i="16"/>
  <c r="K7" i="16"/>
  <c r="J23" i="15"/>
  <c r="J22" i="15"/>
  <c r="K20" i="15"/>
  <c r="G19" i="15"/>
  <c r="C19" i="15"/>
  <c r="L17" i="15"/>
  <c r="K7" i="15"/>
  <c r="J23" i="14"/>
  <c r="J22" i="14"/>
  <c r="K20" i="14"/>
  <c r="G19" i="14"/>
  <c r="C19" i="14"/>
  <c r="L17" i="14"/>
  <c r="K7" i="14"/>
  <c r="J23" i="13"/>
  <c r="J22" i="13"/>
  <c r="K20" i="13"/>
  <c r="G19" i="13"/>
  <c r="C19" i="13"/>
  <c r="L17" i="13"/>
  <c r="K7" i="13"/>
  <c r="J23" i="12"/>
  <c r="J22" i="12"/>
  <c r="K20" i="12"/>
  <c r="G19" i="12"/>
  <c r="C19" i="12"/>
  <c r="K7" i="12"/>
  <c r="K20" i="11"/>
  <c r="G19" i="11"/>
  <c r="C19" i="11"/>
  <c r="K7" i="11"/>
  <c r="K20" i="10"/>
  <c r="G19" i="10"/>
  <c r="K7" i="10"/>
  <c r="C4" i="10"/>
  <c r="C19" i="10" s="1"/>
  <c r="K20" i="9"/>
  <c r="G19" i="9"/>
  <c r="C19" i="9"/>
  <c r="K7" i="9"/>
  <c r="K20" i="8"/>
  <c r="G19" i="8"/>
  <c r="C19" i="8"/>
  <c r="K7" i="8"/>
  <c r="K20" i="7"/>
  <c r="G19" i="7"/>
  <c r="C19" i="7"/>
  <c r="K7" i="7"/>
  <c r="K20" i="6"/>
  <c r="G19" i="6"/>
  <c r="C19" i="6"/>
  <c r="K7" i="6"/>
  <c r="K20" i="5"/>
  <c r="G19" i="5"/>
  <c r="C19" i="5"/>
  <c r="K7" i="5"/>
  <c r="K20" i="4"/>
  <c r="G19" i="4"/>
  <c r="C19" i="4"/>
  <c r="K7" i="4"/>
  <c r="G19" i="3"/>
  <c r="C19" i="3"/>
  <c r="G19" i="2"/>
  <c r="C19" i="2"/>
  <c r="G19" i="1"/>
  <c r="C19" i="1"/>
  <c r="C22" i="14" l="1"/>
  <c r="C22" i="18"/>
  <c r="C22" i="32"/>
  <c r="C22" i="24"/>
  <c r="C22" i="28"/>
  <c r="C22" i="13"/>
  <c r="C22" i="17"/>
  <c r="C22" i="25"/>
  <c r="C22" i="31"/>
  <c r="C22" i="49"/>
  <c r="C22" i="6"/>
  <c r="C22" i="39"/>
  <c r="C22" i="40"/>
  <c r="C22" i="42"/>
  <c r="C22" i="41"/>
  <c r="C22" i="50"/>
  <c r="C22" i="38"/>
  <c r="C22" i="45"/>
  <c r="C22" i="15"/>
  <c r="C22" i="19"/>
  <c r="C22" i="23"/>
  <c r="C22" i="27"/>
  <c r="C22" i="29"/>
  <c r="C22" i="33"/>
  <c r="C22" i="37"/>
  <c r="C22" i="46"/>
  <c r="C22" i="47"/>
  <c r="C22" i="52"/>
  <c r="C22" i="2"/>
  <c r="C22" i="4"/>
  <c r="C22" i="5"/>
  <c r="C22" i="10"/>
  <c r="C22" i="21"/>
  <c r="C22" i="35"/>
  <c r="C22" i="43"/>
  <c r="C22" i="1"/>
  <c r="C22" i="3"/>
  <c r="C22" i="7"/>
  <c r="C22" i="8"/>
  <c r="C22" i="9"/>
  <c r="C22" i="11"/>
  <c r="C22" i="12"/>
  <c r="C22" i="16"/>
  <c r="C22" i="20"/>
  <c r="C22" i="22"/>
  <c r="C22" i="26"/>
  <c r="C22" i="30"/>
  <c r="C22" i="34"/>
  <c r="C22" i="36"/>
  <c r="C22" i="44"/>
  <c r="C22" i="48"/>
  <c r="C22" i="51"/>
  <c r="C22" i="53"/>
</calcChain>
</file>

<file path=xl/sharedStrings.xml><?xml version="1.0" encoding="utf-8"?>
<sst xmlns="http://schemas.openxmlformats.org/spreadsheetml/2006/main" count="20495" uniqueCount="1361">
  <si>
    <t>µt bs</t>
  </si>
  <si>
    <t>weeiY</t>
  </si>
  <si>
    <t>UvKv</t>
  </si>
  <si>
    <t>µ bs</t>
  </si>
  <si>
    <t>bM` UvKv</t>
  </si>
  <si>
    <t xml:space="preserve">Awjw¤úK </t>
  </si>
  <si>
    <t>evKx †g‡gv</t>
  </si>
  <si>
    <t>myavwe›`y</t>
  </si>
  <si>
    <t>jwZd wmK`vi</t>
  </si>
  <si>
    <t>LiP</t>
  </si>
  <si>
    <t>PvR©</t>
  </si>
  <si>
    <t>‡KvK †W‡gR ev` M‡Yk ivq</t>
  </si>
  <si>
    <t>bxU UvKv</t>
  </si>
  <si>
    <t>mwRe</t>
  </si>
  <si>
    <t xml:space="preserve">ZvwiLt </t>
  </si>
  <si>
    <t>16-08-2022Bs</t>
  </si>
  <si>
    <t>‡KvK wi‡Uj</t>
  </si>
  <si>
    <t>GKvD›U †_‡K DËjb</t>
  </si>
  <si>
    <t xml:space="preserve">‡KvK †nvj‡mj </t>
  </si>
  <si>
    <t>AvmgZ Lvb</t>
  </si>
  <si>
    <t>evÆv eve`</t>
  </si>
  <si>
    <t xml:space="preserve">gÄyiæj </t>
  </si>
  <si>
    <t>17-08-2022Bs</t>
  </si>
  <si>
    <t xml:space="preserve">‡gvdv¾j </t>
  </si>
  <si>
    <t xml:space="preserve">iweDj </t>
  </si>
  <si>
    <t xml:space="preserve">myKzgvi </t>
  </si>
  <si>
    <t xml:space="preserve">BbKvg †U· eve` ivbv fvB </t>
  </si>
  <si>
    <t xml:space="preserve">eo fvB </t>
  </si>
  <si>
    <t>bM`</t>
  </si>
  <si>
    <t>19-08-2022Bs</t>
  </si>
  <si>
    <t xml:space="preserve">mvwKj </t>
  </si>
  <si>
    <t>‡KvK †Wwjfvix 140‡Km</t>
  </si>
  <si>
    <t>Lvwj †evZj Avbv 70‡Km</t>
  </si>
  <si>
    <t>Awjw¤úK+‡KvK Mvox bvgv‡bv</t>
  </si>
  <si>
    <t xml:space="preserve">fvwU †Wwjfvix 86evwÛj </t>
  </si>
  <si>
    <t xml:space="preserve">gÄyiæj LiP </t>
  </si>
  <si>
    <t>21-08-2022Bs</t>
  </si>
  <si>
    <t>Awjw¤úK</t>
  </si>
  <si>
    <t xml:space="preserve">‡KvK wi‡Uj </t>
  </si>
  <si>
    <t xml:space="preserve">PvR© </t>
  </si>
  <si>
    <t>BMjy wej</t>
  </si>
  <si>
    <t xml:space="preserve">we`y¨r wej </t>
  </si>
  <si>
    <t>22-08-2022Bs</t>
  </si>
  <si>
    <t>‡KvK †nvj‡mj</t>
  </si>
  <si>
    <t xml:space="preserve">evÆv eve` </t>
  </si>
  <si>
    <t xml:space="preserve">evjwZ wej eve` </t>
  </si>
  <si>
    <t>100UvKvi evwÛ‡j 3wcm Kg</t>
  </si>
  <si>
    <t>23-08-2022Bs</t>
  </si>
  <si>
    <t xml:space="preserve">nvRx †nv‡Uj </t>
  </si>
  <si>
    <t xml:space="preserve"> †gveviK</t>
  </si>
  <si>
    <t xml:space="preserve">iæ‡ej </t>
  </si>
  <si>
    <t>Avãyjøvncyi mvgmyj nK</t>
  </si>
  <si>
    <t xml:space="preserve">BMjyÕwej </t>
  </si>
  <si>
    <t>24-08-2022Bs</t>
  </si>
  <si>
    <t>Kvgiæj †÷vi RyjvB Kwgkb</t>
  </si>
  <si>
    <t>meyR G›Uv. RyjvB Kwgkb</t>
  </si>
  <si>
    <t>25-08-2022Bs</t>
  </si>
  <si>
    <t>Ab©e G›UvicÖvBR</t>
  </si>
  <si>
    <t xml:space="preserve">gvgyb </t>
  </si>
  <si>
    <t>‰PwZ fvex gvwmK ‡eZb</t>
  </si>
  <si>
    <t>‰PwZ fvex gvwmK UvKv</t>
  </si>
  <si>
    <t>mxj evbv‡bv 7wU</t>
  </si>
  <si>
    <t xml:space="preserve">‡gvjøv+MvRx Kwgkb </t>
  </si>
  <si>
    <t>28-08-2022Bs</t>
  </si>
  <si>
    <t xml:space="preserve">ev‡qvwR` </t>
  </si>
  <si>
    <t>wmwm K¨v‡giv LiP</t>
  </si>
  <si>
    <t>ivbv fvB †eZb eve`</t>
  </si>
  <si>
    <t>29-08-2022Bs</t>
  </si>
  <si>
    <t>30-08-2022Bs</t>
  </si>
  <si>
    <t>BMjyÕwej</t>
  </si>
  <si>
    <t>AwWU Avc¨vqb LiP</t>
  </si>
  <si>
    <t xml:space="preserve">gÄyiæj gvwmK UvKv </t>
  </si>
  <si>
    <t>31-08-2022Bs</t>
  </si>
  <si>
    <t xml:space="preserve">cvIqvi K¨vej µq 1wU </t>
  </si>
  <si>
    <t>nvwjg †÷vi RyjvB Kwgkb</t>
  </si>
  <si>
    <t>01-08-2022Bs</t>
  </si>
  <si>
    <t xml:space="preserve">wWwcGm Rgv </t>
  </si>
  <si>
    <t>Rwmg G›Uv. †W‡gRv ev`</t>
  </si>
  <si>
    <t xml:space="preserve"> </t>
  </si>
  <si>
    <t>04-08-2022Bs</t>
  </si>
  <si>
    <t xml:space="preserve">AvmgZ Lvb </t>
  </si>
  <si>
    <t>gÄyiæj ‡eZb</t>
  </si>
  <si>
    <t xml:space="preserve">wcÖw›Us †ccvi µq </t>
  </si>
  <si>
    <t>Rwmg G›Uv.RyjvB Kwgkb</t>
  </si>
  <si>
    <t>mygb fvB †_‡K Rwmg cvIbv</t>
  </si>
  <si>
    <t>05-08-2022Bs</t>
  </si>
  <si>
    <t xml:space="preserve">mwRe </t>
  </si>
  <si>
    <t>06-08-2022Bs</t>
  </si>
  <si>
    <t>07-08-2022Bs</t>
  </si>
  <si>
    <t>08-08-2022Bs</t>
  </si>
  <si>
    <t>10-09-2022Bs</t>
  </si>
  <si>
    <t>11-09-2022Bs</t>
  </si>
  <si>
    <t>gwR` AwMÖg</t>
  </si>
  <si>
    <t xml:space="preserve">B›Uvi‡bU wej </t>
  </si>
  <si>
    <t xml:space="preserve">mygb fvB AwMÖg Rgv </t>
  </si>
  <si>
    <t>12-09-2022Bs</t>
  </si>
  <si>
    <t>‡gvdvÀj</t>
  </si>
  <si>
    <t>15-09-2022Bs</t>
  </si>
  <si>
    <t xml:space="preserve">jwZd wmK`vi </t>
  </si>
  <si>
    <t>evjwZ wej 1000wcm</t>
  </si>
  <si>
    <t>18-09-2022Bs</t>
  </si>
  <si>
    <t xml:space="preserve">jvwgqv †÷vi </t>
  </si>
  <si>
    <t xml:space="preserve">Kvgiæj †÷vi </t>
  </si>
  <si>
    <t>19-09-2022Bs</t>
  </si>
  <si>
    <t>we`y¨r wej</t>
  </si>
  <si>
    <t>ivevi LiP</t>
  </si>
  <si>
    <t>20-09-2022Bs</t>
  </si>
  <si>
    <t>Avãjøvncyi mvgmyj nK</t>
  </si>
  <si>
    <t>21-09-2022Bs</t>
  </si>
  <si>
    <t xml:space="preserve">M‡Yk †÷vi </t>
  </si>
  <si>
    <t xml:space="preserve">Kv‡mg ‡÷vi </t>
  </si>
  <si>
    <t xml:space="preserve">RbZv e¨vsK G Rgv </t>
  </si>
  <si>
    <t>B÷vb© e¨vsK KvW© G Rgv</t>
  </si>
  <si>
    <t>22-09-2022Bs</t>
  </si>
  <si>
    <t xml:space="preserve">‰PwZ fvex gvwmK UvKv </t>
  </si>
  <si>
    <t xml:space="preserve">‰PwZ fvex ‡eZb UvKv </t>
  </si>
  <si>
    <t>100UvKv evwÛ‡j 1wU †ewk</t>
  </si>
  <si>
    <t xml:space="preserve">‡ccvi µq </t>
  </si>
  <si>
    <t>25-09-2022Bs</t>
  </si>
  <si>
    <t>Kvgiæj †÷vi AvM÷ KwgÓ</t>
  </si>
  <si>
    <t>26-09-2022Bs</t>
  </si>
  <si>
    <t xml:space="preserve">KvUvi µq </t>
  </si>
  <si>
    <t>27-09-2022Bs</t>
  </si>
  <si>
    <t>28-09-2022Bs</t>
  </si>
  <si>
    <t>ev‡qvwR`</t>
  </si>
  <si>
    <t>nvwjg †÷vi AvM÷ Kwgkb</t>
  </si>
  <si>
    <t>29-09-2022Bs</t>
  </si>
  <si>
    <t>‡gveviK</t>
  </si>
  <si>
    <t>jwZd wmK`vi Avc¨vqb LiP</t>
  </si>
  <si>
    <t>mviæc</t>
  </si>
  <si>
    <t>evjwZ UvKv 1000wcm</t>
  </si>
  <si>
    <t xml:space="preserve">iwb </t>
  </si>
  <si>
    <t>meyR †÷vi AvM÷ Kwgkb</t>
  </si>
  <si>
    <t xml:space="preserve">mygb fvB </t>
  </si>
  <si>
    <t xml:space="preserve">gÄyiæj gvwymK UvKv </t>
  </si>
  <si>
    <t xml:space="preserve">evKx †g‡gv </t>
  </si>
  <si>
    <t>02-10-2022Bs</t>
  </si>
  <si>
    <t>Kvgiæj †÷vi AvM÷ Kwgkb</t>
  </si>
  <si>
    <t>y</t>
  </si>
  <si>
    <t>04-10-2022Bs</t>
  </si>
  <si>
    <t xml:space="preserve">gÄyiæj †eZb </t>
  </si>
  <si>
    <t>Rwmg G›Uv. AvM÷ Kwg:</t>
  </si>
  <si>
    <t>06-10-2022Bs</t>
  </si>
  <si>
    <t>wcÖ›U †ccvi 2000wmU</t>
  </si>
  <si>
    <t>mygb fvB</t>
  </si>
  <si>
    <t>09-10-2022Bs</t>
  </si>
  <si>
    <t xml:space="preserve">wmwm †Z Rgv </t>
  </si>
  <si>
    <t>10-10-2022Bs</t>
  </si>
  <si>
    <t>mvgmyj nK</t>
  </si>
  <si>
    <t xml:space="preserve"> †gvdv¾j </t>
  </si>
  <si>
    <t>wcÖ›U †ccvi µq</t>
  </si>
  <si>
    <t xml:space="preserve">‡g‡Rv fvB </t>
  </si>
  <si>
    <t xml:space="preserve">evjwZ 1200wcm </t>
  </si>
  <si>
    <t>11-10-2022Bs</t>
  </si>
  <si>
    <t>12-10-2022Bs</t>
  </si>
  <si>
    <t>13-10-2022Bs</t>
  </si>
  <si>
    <t>gvgyb</t>
  </si>
  <si>
    <t>16-10-2022Bs</t>
  </si>
  <si>
    <t>17-10-2022Bs</t>
  </si>
  <si>
    <t xml:space="preserve">Lvg+Kjg µq </t>
  </si>
  <si>
    <t>18-10-2022Bs</t>
  </si>
  <si>
    <t>19-10-2022Bs</t>
  </si>
  <si>
    <t>MZ Kvj evÆv‡Z KgwQj</t>
  </si>
  <si>
    <t>mygb fvB wegv wKw¯Í</t>
  </si>
  <si>
    <t>20-10-2022Bs</t>
  </si>
  <si>
    <t>23-10-2022Bs</t>
  </si>
  <si>
    <t>24-10-2022Bs</t>
  </si>
  <si>
    <t>25-10-2022Bs</t>
  </si>
  <si>
    <t>Kvgiæj †÷vi †m‡Þ Kwgkb</t>
  </si>
  <si>
    <t xml:space="preserve">‡Uvbvi µq </t>
  </si>
  <si>
    <t>27-10-2022Bs</t>
  </si>
  <si>
    <t>meyR †÷vi †m‡Þ Kwgkb</t>
  </si>
  <si>
    <t>30-10-2022Bs</t>
  </si>
  <si>
    <t>31-10-2022Bs</t>
  </si>
  <si>
    <t>nvwjg †÷vi †m‡Þ Kwgkb</t>
  </si>
  <si>
    <t>Rwmg G›Uv. †m‡Þ. Kwgkb</t>
  </si>
  <si>
    <t>01-11-2022Bs</t>
  </si>
  <si>
    <t xml:space="preserve">myRb fvB </t>
  </si>
  <si>
    <t>‡Uwej wgw¯¿ wej</t>
  </si>
  <si>
    <t>‡Uwej wgw¯¿ eKwmm</t>
  </si>
  <si>
    <t xml:space="preserve">ivRy †Pqvi †givgZ </t>
  </si>
  <si>
    <t>gÄyiæj †eZb</t>
  </si>
  <si>
    <t>mygb fvB (Aåªªªªªª)</t>
  </si>
  <si>
    <t>02-11-2022Bs</t>
  </si>
  <si>
    <t xml:space="preserve">GKvD›U G Rgv </t>
  </si>
  <si>
    <t>03-11-2022Bs</t>
  </si>
  <si>
    <t xml:space="preserve">eo fvB gvwmK UvKv </t>
  </si>
  <si>
    <t xml:space="preserve">‡gvdv&amp;¾j </t>
  </si>
  <si>
    <t>07-11-2022Bs</t>
  </si>
  <si>
    <t>ivbv fvB †eZb</t>
  </si>
  <si>
    <t>08-11-2022Bs</t>
  </si>
  <si>
    <t>gÄyiæj †diZ</t>
  </si>
  <si>
    <t>15-11-2022Bs</t>
  </si>
  <si>
    <t>G.Gm.B †mvqvBe</t>
  </si>
  <si>
    <t>16-11-2022Bs</t>
  </si>
  <si>
    <t xml:space="preserve">B÷vb© e¨vsK KvW© Rgv </t>
  </si>
  <si>
    <t xml:space="preserve">gÄyiæj †diZ </t>
  </si>
  <si>
    <t>11-11-2022Bs</t>
  </si>
  <si>
    <t>Kvgiæj †÷vi A‡±v. Kwgkb</t>
  </si>
  <si>
    <t>20-11-2022Bs</t>
  </si>
  <si>
    <t>21-11-2022Bs</t>
  </si>
  <si>
    <t>10wj  evjwZ+3wj RM</t>
  </si>
  <si>
    <t>22-11-2022Bs</t>
  </si>
  <si>
    <t>nvwjg †÷vi A‡±v. Kwgkb</t>
  </si>
  <si>
    <t xml:space="preserve">ivevi µq </t>
  </si>
  <si>
    <t>23-11-2022Bs</t>
  </si>
  <si>
    <t xml:space="preserve">‰PwZ fvex †eZb </t>
  </si>
  <si>
    <t>27-11-2022Bs</t>
  </si>
  <si>
    <t xml:space="preserve">‡Kwms µq </t>
  </si>
  <si>
    <t>29-11-2022Bs</t>
  </si>
  <si>
    <t>‡nvj‡mj †W‡gR ev`</t>
  </si>
  <si>
    <t>30-11-2022Bs</t>
  </si>
  <si>
    <t>100UvKv evwÛ‡j Kg 5wU</t>
  </si>
  <si>
    <t>01-12-2022Bs</t>
  </si>
  <si>
    <t>wW.wc.Gm Awdm</t>
  </si>
  <si>
    <t>wW.wc.Gm Aw`ª</t>
  </si>
  <si>
    <t>meyR G›Uv. A‡±vei Kwgkb</t>
  </si>
  <si>
    <t>Rwmg G›Uv. A‡±vei Kwgkb</t>
  </si>
  <si>
    <t>Rwmg G›Uv. 37‡Km RvgvbZ †diZ</t>
  </si>
  <si>
    <t>04-12-2022Bs</t>
  </si>
  <si>
    <t>06-12-2022Bs</t>
  </si>
  <si>
    <t>B÷vb© e¨vsK KvW©</t>
  </si>
  <si>
    <t>07-12-2022Bs</t>
  </si>
  <si>
    <t>08-12-2022Bs</t>
  </si>
  <si>
    <t>11-12-2022Bs</t>
  </si>
  <si>
    <t>13-12-2022Bs</t>
  </si>
  <si>
    <t xml:space="preserve">BKevj fvB </t>
  </si>
  <si>
    <t xml:space="preserve">gvDm µq </t>
  </si>
  <si>
    <t>14-12-2022Bs</t>
  </si>
  <si>
    <t xml:space="preserve">cvIqvi ‡Kej µq </t>
  </si>
  <si>
    <t xml:space="preserve">B›Uvi‡bU wmwKDwiwU µq </t>
  </si>
  <si>
    <t>18-12-2022Bs</t>
  </si>
  <si>
    <t>kvgmyj nK</t>
  </si>
  <si>
    <t>‡gvdv¾j</t>
  </si>
  <si>
    <t>21-12-2022Bs</t>
  </si>
  <si>
    <t xml:space="preserve">gv‡K©bUvBj e¨vsK ‡_‡K </t>
  </si>
  <si>
    <t xml:space="preserve">wmwm GKvD›U G Rgv </t>
  </si>
  <si>
    <t>22-12-2022Bs</t>
  </si>
  <si>
    <t xml:space="preserve">Kvgvj fvB </t>
  </si>
  <si>
    <t>Kvw`i</t>
  </si>
  <si>
    <t>e¨vsK PvR© AvmgZ Lvb</t>
  </si>
  <si>
    <t>BKevjÕ fvB</t>
  </si>
  <si>
    <t>24-12-2022Bs</t>
  </si>
  <si>
    <t>25-12-2022Bs</t>
  </si>
  <si>
    <t xml:space="preserve">Avi.Gg m¨vi Avc¨vqb LiP </t>
  </si>
  <si>
    <t>26-12-2022Bs</t>
  </si>
  <si>
    <t>28-12-2022Bs</t>
  </si>
  <si>
    <t xml:space="preserve">RbZv e¨vsK GKvD›U G Rgv </t>
  </si>
  <si>
    <t>29-12-2022Bs</t>
  </si>
  <si>
    <t>wmwm †_‡K DËjb</t>
  </si>
  <si>
    <t xml:space="preserve">‡mvbvjx e¨vsK GKvD›U G Rgv </t>
  </si>
  <si>
    <t>ivbv fvB e¨vsK GKv. Rgv</t>
  </si>
  <si>
    <t xml:space="preserve">mygb fvB GKvD›U G Rgv </t>
  </si>
  <si>
    <t>01-01-2023Bs</t>
  </si>
  <si>
    <t>wbjq</t>
  </si>
  <si>
    <t xml:space="preserve">wcb µq </t>
  </si>
  <si>
    <t xml:space="preserve">gÄyiæj wW‡m¤^‡i gvwmK UvKv </t>
  </si>
  <si>
    <t xml:space="preserve">nvwKm em gvQ µq </t>
  </si>
  <si>
    <t xml:space="preserve">ivbv fvB †diZ </t>
  </si>
  <si>
    <t>evwRZcyi wWjvi †diZ</t>
  </si>
  <si>
    <t xml:space="preserve">AwZK em Avc¨vqb LiP </t>
  </si>
  <si>
    <t xml:space="preserve">                                       </t>
  </si>
  <si>
    <t>iweDj</t>
  </si>
  <si>
    <t xml:space="preserve">gwR` gvwmK UvKv </t>
  </si>
  <si>
    <t>05-01-2023Bs</t>
  </si>
  <si>
    <t>mvBdzj</t>
  </si>
  <si>
    <t xml:space="preserve">wi·v fvov </t>
  </si>
  <si>
    <t>‡gvevBj LiP</t>
  </si>
  <si>
    <t>LvIqv eve`</t>
  </si>
  <si>
    <t>BKevjÕfvB</t>
  </si>
  <si>
    <t>eKzj</t>
  </si>
  <si>
    <t>08-01-2023Bs</t>
  </si>
  <si>
    <t>24-01-2023Bs</t>
  </si>
  <si>
    <t xml:space="preserve">wmwm‡Z Rgv </t>
  </si>
  <si>
    <t>25-01-2023Bs</t>
  </si>
  <si>
    <t xml:space="preserve">wK‡kviMÄ K¨vb UvKv †diZ </t>
  </si>
  <si>
    <t>26-01-2023Bs</t>
  </si>
  <si>
    <t>Kvgiæj †÷vi Kwgkb Kg 24‡Km</t>
  </si>
  <si>
    <t>weòz †÷vi</t>
  </si>
  <si>
    <t>nvm µq mygb fvB</t>
  </si>
  <si>
    <t>29-01-2023Bs</t>
  </si>
  <si>
    <t>‡g‡gv wej Rgv †KvK</t>
  </si>
  <si>
    <t>30-01-2023Bs</t>
  </si>
  <si>
    <t xml:space="preserve">Lvg µq </t>
  </si>
  <si>
    <t>BKevj fvB</t>
  </si>
  <si>
    <t>BKevjÕfvB LiP</t>
  </si>
  <si>
    <t>31-01-2023Bs</t>
  </si>
  <si>
    <t xml:space="preserve">Kv‡mg †÷vi </t>
  </si>
  <si>
    <t>fvB fvB †÷vi</t>
  </si>
  <si>
    <t>weRq</t>
  </si>
  <si>
    <t>Rvnv½xi</t>
  </si>
  <si>
    <t>BMjyÕwej wWwW eve`</t>
  </si>
  <si>
    <t>Rwb</t>
  </si>
  <si>
    <t>02-02-2023Bs</t>
  </si>
  <si>
    <t xml:space="preserve">gÄyiæj ‡diZ UvKv </t>
  </si>
  <si>
    <t xml:space="preserve">gÄyiæj  †eZb </t>
  </si>
  <si>
    <t>14-02-2023Bs</t>
  </si>
  <si>
    <t xml:space="preserve">Kg </t>
  </si>
  <si>
    <t>15-02-2023Bs</t>
  </si>
  <si>
    <t>Kvgvj</t>
  </si>
  <si>
    <t>16-02-2023Bs</t>
  </si>
  <si>
    <t xml:space="preserve">KvgvjÕ </t>
  </si>
  <si>
    <t>BKevjÕ fvB †diZ</t>
  </si>
  <si>
    <t>Bmjy wd«R Avbv LiP</t>
  </si>
  <si>
    <t>18-02-2023Bs</t>
  </si>
  <si>
    <t xml:space="preserve">RM wej eve` </t>
  </si>
  <si>
    <t xml:space="preserve">kvgmyj nK </t>
  </si>
  <si>
    <t>19-02-2023Bs</t>
  </si>
  <si>
    <t>20-02-2023Bs</t>
  </si>
  <si>
    <t>eo fvB</t>
  </si>
  <si>
    <t>22-02-2023Bs</t>
  </si>
  <si>
    <t xml:space="preserve">Rwb †diZ </t>
  </si>
  <si>
    <t>Rwb B›Uv‡i÷ eve`</t>
  </si>
  <si>
    <t>23-02-2023Bs</t>
  </si>
  <si>
    <t xml:space="preserve">Kvgvj </t>
  </si>
  <si>
    <t>26-02-2023Bs</t>
  </si>
  <si>
    <t>MZ Kvj Rgv AwMÖg</t>
  </si>
  <si>
    <t>AwWU Avc©¨vqb LiP</t>
  </si>
  <si>
    <t>27-02-2023Bs</t>
  </si>
  <si>
    <t xml:space="preserve">weRq </t>
  </si>
  <si>
    <t xml:space="preserve">GKvD›U †_‡K DËjb BKevj fvB </t>
  </si>
  <si>
    <t>28-02-2023Bs</t>
  </si>
  <si>
    <t>eo  fvB</t>
  </si>
  <si>
    <t>ivR wgw¯¿</t>
  </si>
  <si>
    <t>01-03-2023Bs</t>
  </si>
  <si>
    <t>Kg</t>
  </si>
  <si>
    <t xml:space="preserve">‡iwR÷vi eB µq </t>
  </si>
  <si>
    <t>02-03-2023Bs</t>
  </si>
  <si>
    <t>05-03-2023Bs</t>
  </si>
  <si>
    <t xml:space="preserve">cÖwZK †÷vi cvIbv †diZ </t>
  </si>
  <si>
    <t xml:space="preserve">uRv‡e` †Mv`vg fvov </t>
  </si>
  <si>
    <t>06-03-2023Bs</t>
  </si>
  <si>
    <t xml:space="preserve">‡g‡gv eB wej Rgv </t>
  </si>
  <si>
    <t>07-03-2023Bs</t>
  </si>
  <si>
    <t>09-03-2023Bs</t>
  </si>
  <si>
    <t>¯^cœcyix KwdnvDm</t>
  </si>
  <si>
    <t>‡KvK wi‡Uj i‡KU</t>
  </si>
  <si>
    <t>12-03-2023Bs</t>
  </si>
  <si>
    <t xml:space="preserve">ivbv fv&amp;B †eZb </t>
  </si>
  <si>
    <t>13-03-2023Bs</t>
  </si>
  <si>
    <t>14-03-2023Bs</t>
  </si>
  <si>
    <t>15-03-2023Bs</t>
  </si>
  <si>
    <t>16-03-2023Bs</t>
  </si>
  <si>
    <t>20-03-2023Bs</t>
  </si>
  <si>
    <t>21-03-2023Bs</t>
  </si>
  <si>
    <t xml:space="preserve">ivR wgw¯¿ </t>
  </si>
  <si>
    <t xml:space="preserve">QvZv µq </t>
  </si>
  <si>
    <t>22-03-2023Bs</t>
  </si>
  <si>
    <t>B÷vb© e¨vsK</t>
  </si>
  <si>
    <t>23-03-2023Bs</t>
  </si>
  <si>
    <t>25-03-2023Bs</t>
  </si>
  <si>
    <t xml:space="preserve">Aewb †÷vi </t>
  </si>
  <si>
    <t xml:space="preserve">‰PwZ fvex †eZb eve` </t>
  </si>
  <si>
    <t>27-03-2023Bs</t>
  </si>
  <si>
    <t>28-03-2023Bs</t>
  </si>
  <si>
    <t>mygb fvB wiPvR©</t>
  </si>
  <si>
    <t>30-03-2023Bs</t>
  </si>
  <si>
    <t>iwb</t>
  </si>
  <si>
    <t xml:space="preserve">Dcnvi †÷vi </t>
  </si>
  <si>
    <t>wMdU wej eve`</t>
  </si>
  <si>
    <t xml:space="preserve">ivbv fvB </t>
  </si>
  <si>
    <t>BdZvi LiP</t>
  </si>
  <si>
    <t>02-04-2023Bs</t>
  </si>
  <si>
    <t>mygb fvB ‡gvevBj wiPvR©</t>
  </si>
  <si>
    <t>gÄyiæj †eZb eve`</t>
  </si>
  <si>
    <t>03-04-2023Bs</t>
  </si>
  <si>
    <t>04-04-2023Bs</t>
  </si>
  <si>
    <t>05-04-2023Bs</t>
  </si>
  <si>
    <t>gwR` gvwmK UvKv</t>
  </si>
  <si>
    <t>06-04-2023Bs</t>
  </si>
  <si>
    <t>M‡Yk</t>
  </si>
  <si>
    <t xml:space="preserve">eo fvB gvwm UvKv </t>
  </si>
  <si>
    <t>08-04-2023Bs</t>
  </si>
  <si>
    <t>10-04-2023Bs</t>
  </si>
  <si>
    <t xml:space="preserve">B÷vb© e¨vsK KvW© </t>
  </si>
  <si>
    <t xml:space="preserve">fvB fvB †÷vi </t>
  </si>
  <si>
    <t>09-04-2023Bs</t>
  </si>
  <si>
    <t>11-04-2023Bs</t>
  </si>
  <si>
    <t>12-04-2023Bs</t>
  </si>
  <si>
    <t>13-04-2023Bs</t>
  </si>
  <si>
    <t>weòz ivq</t>
  </si>
  <si>
    <t>14-04-2023Bs</t>
  </si>
  <si>
    <t xml:space="preserve"> †gvevivK</t>
  </si>
  <si>
    <t xml:space="preserve">AeYx †÷vi </t>
  </si>
  <si>
    <t>Rwmg G›UvicÖvBR</t>
  </si>
  <si>
    <t xml:space="preserve">BMjyÕwej bM` gybœv WªvBfvi </t>
  </si>
  <si>
    <t>16-04-2023Bs</t>
  </si>
  <si>
    <t xml:space="preserve">BMjyÕwej  </t>
  </si>
  <si>
    <t>M‡Yk †÷vi</t>
  </si>
  <si>
    <t xml:space="preserve">gÄyiæj C` †evbvm </t>
  </si>
  <si>
    <t>17-04-2023Bs</t>
  </si>
  <si>
    <t>weòz</t>
  </si>
  <si>
    <t>Dcnvi †÷vi fvov eve`</t>
  </si>
  <si>
    <t>‡gvjøv eªv`vm©</t>
  </si>
  <si>
    <t>cwjw_b Ni fvov eve`</t>
  </si>
  <si>
    <t xml:space="preserve">mwRe C` †evbvm </t>
  </si>
  <si>
    <t>18-04-2023Bs</t>
  </si>
  <si>
    <t xml:space="preserve">‡Wwjfvix g¨vb 6Rb C` †evbvm †Kv¤úvbx </t>
  </si>
  <si>
    <t xml:space="preserve">mvBdzj </t>
  </si>
  <si>
    <t>19-04-2023Bs</t>
  </si>
  <si>
    <t>GGmB †mvqvBe</t>
  </si>
  <si>
    <t xml:space="preserve">wcÖw›Uus †ccvi µq </t>
  </si>
  <si>
    <t xml:space="preserve">‡nvj‡mj‡Wwjfvix g¨vb 3Rb C` †evbvm †Kv¤úvbx </t>
  </si>
  <si>
    <t xml:space="preserve">eKwmm eve` </t>
  </si>
  <si>
    <t>20-04-2023Bs</t>
  </si>
  <si>
    <t>‡Rbv‡iUi wej</t>
  </si>
  <si>
    <t>21-04-2023Bs</t>
  </si>
  <si>
    <t>‡g‡gv wej eve`</t>
  </si>
  <si>
    <t>Kvw`iÕ C` †evbvm</t>
  </si>
  <si>
    <t>iwb C` †evbvm</t>
  </si>
  <si>
    <t xml:space="preserve">BMjyÕ wej </t>
  </si>
  <si>
    <t xml:space="preserve">‡Mv`vg fvov Rv‡e` fvB </t>
  </si>
  <si>
    <t>26-04-2023Bs</t>
  </si>
  <si>
    <t>27-04-2023Bs</t>
  </si>
  <si>
    <t>meyR gvP© †nvj‡mj Kwgkb</t>
  </si>
  <si>
    <t>Kvgiæj gvP© †nvj‡mj Kwgkb</t>
  </si>
  <si>
    <t>Rwmg gvP© †nvj‡mj Kwgkb</t>
  </si>
  <si>
    <t>30-04-2023Bs</t>
  </si>
  <si>
    <t>01-05-2023Bs</t>
  </si>
  <si>
    <t>02-05-2023Bs</t>
  </si>
  <si>
    <t>cwZK fvB wQov UvKv eve`</t>
  </si>
  <si>
    <t>03-05-2023Bs</t>
  </si>
  <si>
    <t xml:space="preserve">Bqvmwgb Avcv </t>
  </si>
  <si>
    <t xml:space="preserve">BKevjÕfvB </t>
  </si>
  <si>
    <t>‡MvWvDb †MvQv‡bv LiP</t>
  </si>
  <si>
    <t xml:space="preserve">Awjw¤úK Mvox bvgv‡bv </t>
  </si>
  <si>
    <t>‡KvK Mvox bvgv‡bv</t>
  </si>
  <si>
    <t>04-05-2023Bs</t>
  </si>
  <si>
    <t xml:space="preserve">mvBdzj nvIjv` Rgv </t>
  </si>
  <si>
    <t>07-05-2023Bs</t>
  </si>
  <si>
    <t>uRwmg G›Uv. 35‡Km KvP RvgvbZ †diZ</t>
  </si>
  <si>
    <t>08-05-2023Bs</t>
  </si>
  <si>
    <t xml:space="preserve">‡`vKvb fvov </t>
  </si>
  <si>
    <t>09-05-2023Bs</t>
  </si>
  <si>
    <t xml:space="preserve">Rv‡e` fvB †Mv`vg fvov </t>
  </si>
  <si>
    <t>mygb fvB †gvevBj wiPvR©</t>
  </si>
  <si>
    <t>wcÖw›Us †ccvi µq</t>
  </si>
  <si>
    <t>010-05-2023Bs</t>
  </si>
  <si>
    <t>11-05-2023Bs</t>
  </si>
  <si>
    <t>ivevi ªLiP</t>
  </si>
  <si>
    <t>13-05-2023Bs</t>
  </si>
  <si>
    <t>BKevj fvvB</t>
  </si>
  <si>
    <t>14-05-2023Bs</t>
  </si>
  <si>
    <t xml:space="preserve">Kvgiæj †÷vi GwcÖj †nvj‡mj Kwgkb </t>
  </si>
  <si>
    <t>nvwjg †÷vi GwcÖj †nvj‡mj Kwgkb</t>
  </si>
  <si>
    <t xml:space="preserve">Bd&amp;dvZzi ingvb GKvD›U &amp;G Rgv </t>
  </si>
  <si>
    <t xml:space="preserve">Rwmg G›Uv. GwcÖj †nvj‡mj Kwgkb </t>
  </si>
  <si>
    <t>16-05-2023Bs</t>
  </si>
  <si>
    <t>15-05-2023Bs</t>
  </si>
  <si>
    <t>17-05-2023Bs</t>
  </si>
  <si>
    <t xml:space="preserve">Zvwbqv †÷vi </t>
  </si>
  <si>
    <t>18-05-2023Bs</t>
  </si>
  <si>
    <t xml:space="preserve">meyR G›Uv. GwcÖj †nvj‡mj Kwgkb </t>
  </si>
  <si>
    <t>weRq †eZb eve`</t>
  </si>
  <si>
    <t>21-05-2023Bs</t>
  </si>
  <si>
    <t xml:space="preserve">IqvB dvB wej </t>
  </si>
  <si>
    <t>22-05-2023Bs</t>
  </si>
  <si>
    <t xml:space="preserve">MvRx †÷vi </t>
  </si>
  <si>
    <t>24-05-2023Bs</t>
  </si>
  <si>
    <t xml:space="preserve">‡gv‡gb fvB </t>
  </si>
  <si>
    <t>Awjw¤úK Gm.Gg m¨vi Avc¨vqb LiP</t>
  </si>
  <si>
    <t>25-05-2023Bs</t>
  </si>
  <si>
    <t>28-05-2023Bs</t>
  </si>
  <si>
    <t>100UvKv evwÛ‡j Kg</t>
  </si>
  <si>
    <t xml:space="preserve">gwR` </t>
  </si>
  <si>
    <t>29-05-2023Bs</t>
  </si>
  <si>
    <t>B&amp;DGmwe nve µq 1wU</t>
  </si>
  <si>
    <t>Avc¨vqb LiP</t>
  </si>
  <si>
    <t>30-05-2023Bs</t>
  </si>
  <si>
    <t>31-05-2023Bs</t>
  </si>
  <si>
    <t xml:space="preserve">dzj wgqv †÷vi </t>
  </si>
  <si>
    <t>01-06-2023Bs</t>
  </si>
  <si>
    <t xml:space="preserve"> myavwe›`y</t>
  </si>
  <si>
    <t>evey</t>
  </si>
  <si>
    <t>ûRvBdv</t>
  </si>
  <si>
    <t>03-06-2023Bs</t>
  </si>
  <si>
    <t xml:space="preserve">M‡Yk </t>
  </si>
  <si>
    <t xml:space="preserve">bM` Rgv mygb fvB </t>
  </si>
  <si>
    <t>04-06-2023Bs</t>
  </si>
  <si>
    <t>Aebx †÷vi</t>
  </si>
  <si>
    <t>MvRx †÷vi</t>
  </si>
  <si>
    <t>05-06-2023Bs</t>
  </si>
  <si>
    <t xml:space="preserve">mygb fvB GKvD›U †_‡K </t>
  </si>
  <si>
    <t xml:space="preserve">BKevjÕ fvB </t>
  </si>
  <si>
    <t>06-06-2023Bs</t>
  </si>
  <si>
    <t xml:space="preserve">mwRe †eZb </t>
  </si>
  <si>
    <t xml:space="preserve">wiqv` Gi GKvD›U G Rgv </t>
  </si>
  <si>
    <t>07-06-2023Bs</t>
  </si>
  <si>
    <t>ivRy LiP</t>
  </si>
  <si>
    <t>08-06-2023Bs</t>
  </si>
  <si>
    <t xml:space="preserve">evjwZ eve` 88wcm </t>
  </si>
  <si>
    <t>10-06-2023Bs</t>
  </si>
  <si>
    <t>11-06-2023Bs</t>
  </si>
  <si>
    <t>12-06-2023Bs</t>
  </si>
  <si>
    <t>mvgmyj nK Avãyjøvncyi</t>
  </si>
  <si>
    <t>50UvKv Kg</t>
  </si>
  <si>
    <t>13-06-2023Bs</t>
  </si>
  <si>
    <t>14-06-2023Bs</t>
  </si>
  <si>
    <t xml:space="preserve">wbjq evKx Rgv </t>
  </si>
  <si>
    <t xml:space="preserve">‡g‡gv wej </t>
  </si>
  <si>
    <t xml:space="preserve">G.Gm B †mvqvBe nvIjv` </t>
  </si>
  <si>
    <t xml:space="preserve">wb‡c›`ª †÷vi </t>
  </si>
  <si>
    <t>eo fvB 8000+12000</t>
  </si>
  <si>
    <t>1-06-2023Bs</t>
  </si>
  <si>
    <t>16-06-2023Bs</t>
  </si>
  <si>
    <t>iweDj wmU 15.6.23</t>
  </si>
  <si>
    <t>iwb wmU 15.6.23</t>
  </si>
  <si>
    <t>18-06-2023Bs</t>
  </si>
  <si>
    <t xml:space="preserve">gvgyb †÷vi </t>
  </si>
  <si>
    <t xml:space="preserve">AvjgwMi †÷vi </t>
  </si>
  <si>
    <t>mygb fvB GKvD›U †_‡K DËjb</t>
  </si>
  <si>
    <t>19-06-2023Bs</t>
  </si>
  <si>
    <t>20-06-2023Bs</t>
  </si>
  <si>
    <t>iæ‡ej XvKv LiP eve`</t>
  </si>
  <si>
    <t>21-06-2023Bs</t>
  </si>
  <si>
    <t>22-06-2023Bs</t>
  </si>
  <si>
    <t>meyR G›Uv. †g gv‡mi Kwg:</t>
  </si>
  <si>
    <t>Kvgiæj †÷vi †g. gv‡mi Kwg:</t>
  </si>
  <si>
    <t>Rwmg G›Uv. †g gv‡mi Kwg:</t>
  </si>
  <si>
    <t xml:space="preserve">Aebx †÷vi </t>
  </si>
  <si>
    <t>jvwgqv †÷vi †diZ c‡Y¨i UvKv †diZ</t>
  </si>
  <si>
    <t>23-06-2023Bs</t>
  </si>
  <si>
    <t>24-06-2023Bs</t>
  </si>
  <si>
    <t xml:space="preserve"> ˆPwZ fvex †eZb </t>
  </si>
  <si>
    <t xml:space="preserve">cwZK †÷vi </t>
  </si>
  <si>
    <t>evjwZ Uzj wej eve`</t>
  </si>
  <si>
    <t xml:space="preserve">wUbv fvex </t>
  </si>
  <si>
    <t>25-06-2023Bs</t>
  </si>
  <si>
    <t>26-06-2023Bs</t>
  </si>
  <si>
    <t xml:space="preserve">mRj </t>
  </si>
  <si>
    <t xml:space="preserve">wW.Gm.Avi †nvj‡mj C` ‡evbvm †Kv¤úvbx </t>
  </si>
  <si>
    <t xml:space="preserve">e¨vM µq </t>
  </si>
  <si>
    <t>09-07-2023Bs</t>
  </si>
  <si>
    <t xml:space="preserve">Rv‡e` ‡Mv`vg fvov eve` </t>
  </si>
  <si>
    <t>weRqbMi gvj †jvW LiP  100‡Km</t>
  </si>
  <si>
    <t>fvOwZ UvKv eve`</t>
  </si>
  <si>
    <t>10-07-2023Bs</t>
  </si>
  <si>
    <t xml:space="preserve">Rwb ‡diZ </t>
  </si>
  <si>
    <t>11-07-2023Bs</t>
  </si>
  <si>
    <t xml:space="preserve">‡mvbvjx e¨sK GKvD›U G Rgv </t>
  </si>
  <si>
    <t>12-07-2023Bs</t>
  </si>
  <si>
    <t>wfwRG K¨vej µq 2wU</t>
  </si>
  <si>
    <t>13-07-2023Bs</t>
  </si>
  <si>
    <t>gv‡K©bUvBj e¨vsK wKw¯Í eve`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</si>
  <si>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</si>
  <si>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1000UvKv nvwi‡q hvIqv eve` †Wgv‡iR LiP</t>
  </si>
  <si>
    <t>ï°zi</t>
  </si>
  <si>
    <t xml:space="preserve">my‡ej </t>
  </si>
  <si>
    <t>16-07-2023Bs</t>
  </si>
  <si>
    <t xml:space="preserve">AviGg Avc¨vqb AwWU Awjw¤úK LiP </t>
  </si>
  <si>
    <t>17-07-2023Bs</t>
  </si>
  <si>
    <t xml:space="preserve">gwbUi ‡givgZ+K¨vej µq </t>
  </si>
  <si>
    <t>18-07-2023Bs</t>
  </si>
  <si>
    <t>dRjyj nK m¨vi</t>
  </si>
  <si>
    <t xml:space="preserve">Kv‡mg fvB </t>
  </si>
  <si>
    <t>19-07-2023Bs</t>
  </si>
  <si>
    <t xml:space="preserve">Rwb B›Uv‡i÷ </t>
  </si>
  <si>
    <t>‡Pqvi ‡givgZ LiP AwMÖg</t>
  </si>
  <si>
    <t>20-07-2023Bs</t>
  </si>
  <si>
    <t xml:space="preserve">gnv‡`e †÷vi </t>
  </si>
  <si>
    <t>mxj evbv‡bv eve`</t>
  </si>
  <si>
    <t xml:space="preserve">mvbx </t>
  </si>
  <si>
    <t>meyR G›UvicÖvBR</t>
  </si>
  <si>
    <t>‰PwZ fvex †eZb evev`</t>
  </si>
  <si>
    <t>ï°zi Avjx</t>
  </si>
  <si>
    <t>meyR G›UvicÖvBR Ryb gv‡mi Kwgkb</t>
  </si>
  <si>
    <t>Rwmg G›UvicÖvBR Ryb gv‡mi Kwgkb</t>
  </si>
  <si>
    <t>Kvgiæj †&amp;÷vi Ryb gv‡mi Kwgkb</t>
  </si>
  <si>
    <t>23-07-2023Bs</t>
  </si>
  <si>
    <t>24-07-2023Bs</t>
  </si>
  <si>
    <t>fvswZ</t>
  </si>
  <si>
    <t xml:space="preserve">cÖwZK </t>
  </si>
  <si>
    <t>Kvgvj nvIjv` †diZ eve`</t>
  </si>
  <si>
    <t xml:space="preserve">weòz </t>
  </si>
  <si>
    <t xml:space="preserve">mxj +c¨vW µq </t>
  </si>
  <si>
    <t>25-07-2023Bs</t>
  </si>
  <si>
    <t>26-07-2023Bs</t>
  </si>
  <si>
    <t xml:space="preserve">B›Uvi‡bU Zvi µq </t>
  </si>
  <si>
    <t xml:space="preserve">mvgmyj nK </t>
  </si>
  <si>
    <t xml:space="preserve">‡Pqvi †givgZ </t>
  </si>
  <si>
    <t>27-07-2023Bs</t>
  </si>
  <si>
    <t>29-07-2023Bs</t>
  </si>
  <si>
    <t>30-07-2023Bs</t>
  </si>
  <si>
    <t>mygbfvB</t>
  </si>
  <si>
    <t>31-07-2023Bs</t>
  </si>
  <si>
    <t>01-08-2023Bs</t>
  </si>
  <si>
    <t>tt</t>
  </si>
  <si>
    <t>02-08-2023Bs</t>
  </si>
  <si>
    <t>ivevi µq</t>
  </si>
  <si>
    <t>03-08-2023Bs</t>
  </si>
  <si>
    <t xml:space="preserve">‡gveviK </t>
  </si>
  <si>
    <t>e¨vsK Rwigvbv</t>
  </si>
  <si>
    <t>Kvgiæj ‡÷vi Kzcb Kwgkb</t>
  </si>
  <si>
    <t>meyR G›UvicÖvBR Kzcb Kwgkb</t>
  </si>
  <si>
    <t>06-08-2023Bs</t>
  </si>
  <si>
    <t xml:space="preserve">100UvKv evwÛ‡j Kg </t>
  </si>
  <si>
    <t>07-08-2023Bs</t>
  </si>
  <si>
    <t xml:space="preserve">B`yi gviv †Ue‡jU µq </t>
  </si>
  <si>
    <t>wcÖ›Uvi †Uvbvi Kvwj µq</t>
  </si>
  <si>
    <t xml:space="preserve">1BwÂ †jvnv </t>
  </si>
  <si>
    <t>08-08-2023Bs</t>
  </si>
  <si>
    <t>gv‡qi †`vqv †÷vi</t>
  </si>
  <si>
    <t>MvRx †÷vi Kzcb Kwgkb</t>
  </si>
  <si>
    <t>‡W‡gR  eve` `ycy‡iÕ †cvjvcv‡bi LiP</t>
  </si>
  <si>
    <t>09-08-2023Bs</t>
  </si>
  <si>
    <t xml:space="preserve">Rwb B›Uv‡i÷ Gi UvKv </t>
  </si>
  <si>
    <t xml:space="preserve">gvj cvnvov †`Iqvi LiP eve` </t>
  </si>
  <si>
    <t>10-08-2023Bs</t>
  </si>
  <si>
    <t>13-08-2023Bs</t>
  </si>
  <si>
    <t>‡eqvB †Mv`v‡gi Kv‡Ri gRyix</t>
  </si>
  <si>
    <t>wmwm e¨vsK B›Uv‡i÷</t>
  </si>
  <si>
    <t>14-08-2023Bs</t>
  </si>
  <si>
    <t>16-08-2023Bs</t>
  </si>
  <si>
    <t>20-08-2023Bs</t>
  </si>
  <si>
    <t xml:space="preserve">eo ÕfvB </t>
  </si>
  <si>
    <t xml:space="preserve"> †ccvi µq </t>
  </si>
  <si>
    <t>21-08-2023Bs</t>
  </si>
  <si>
    <t xml:space="preserve">mygb ÕfvB </t>
  </si>
  <si>
    <t>22-08-2023Bs</t>
  </si>
  <si>
    <t>mvbx</t>
  </si>
  <si>
    <t>Uzj wej eve`</t>
  </si>
  <si>
    <t>23-08-2023Bs</t>
  </si>
  <si>
    <t xml:space="preserve">kvIb BMjyÕ bM` </t>
  </si>
  <si>
    <t>fvB fvB †UªWvm©</t>
  </si>
  <si>
    <t>24-08-2023Bs</t>
  </si>
  <si>
    <t xml:space="preserve">wcb+Lvg µq </t>
  </si>
  <si>
    <t>bZzb Gm.Avi wiqv` †KvK</t>
  </si>
  <si>
    <t>27-08-2023Bs</t>
  </si>
  <si>
    <t>kwn`yjøvn fvB</t>
  </si>
  <si>
    <t>28-08-2023Bs</t>
  </si>
  <si>
    <t>Rwmg G›Uv. RyjvB Kwgkb</t>
  </si>
  <si>
    <t>29-08-2023Bs</t>
  </si>
  <si>
    <t xml:space="preserve">nvmvb Avjx GKvD›U G Rgv </t>
  </si>
  <si>
    <t>30-08-2023Bs</t>
  </si>
  <si>
    <t>Kvgiæj G›Uv. RyjvB Kwgkb</t>
  </si>
  <si>
    <t>wmwm K¨v‡giv †givgZ</t>
  </si>
  <si>
    <t>mygb fvB wiPvR© eve`</t>
  </si>
  <si>
    <t>31-08-2023Bs</t>
  </si>
  <si>
    <t>myKzgvi</t>
  </si>
  <si>
    <t>03-09-2023Bs</t>
  </si>
  <si>
    <t>04-09-2023Bs</t>
  </si>
  <si>
    <t>G.AvB.wm bvwn` Avc¨vqb LiP</t>
  </si>
  <si>
    <t>05-09-2023Bs</t>
  </si>
  <si>
    <t>06-09-2023Bs</t>
  </si>
  <si>
    <t xml:space="preserve">uRvbœvZ †i÷z‡i›U Rgv </t>
  </si>
  <si>
    <t>07-09-2023Bs</t>
  </si>
  <si>
    <t>10-09-2023Bs</t>
  </si>
  <si>
    <t xml:space="preserve">wmwm B›Uv‡i÷ </t>
  </si>
  <si>
    <t>Awjw¤úK AwWU Avc¨vqb LiP</t>
  </si>
  <si>
    <t>11-09-2023Bs</t>
  </si>
  <si>
    <t>12-09-2023Bs</t>
  </si>
  <si>
    <t>Kw¤úDUvi D‡ÛvR LiP</t>
  </si>
  <si>
    <t>13-09-2023Bs</t>
  </si>
  <si>
    <t>14-09-2023Bs</t>
  </si>
  <si>
    <t xml:space="preserve">fvswZ UvKv </t>
  </si>
  <si>
    <t>17-09-2023Bs</t>
  </si>
  <si>
    <t xml:space="preserve">BMjyÕwej AbjvBb </t>
  </si>
  <si>
    <t>18-09-2023Bs</t>
  </si>
  <si>
    <t>meyR G›Uv. AvM÷ Kwgkb</t>
  </si>
  <si>
    <t>Rwmg G›UvicÖvBR AvM÷ Kwgkb</t>
  </si>
  <si>
    <t xml:space="preserve">g‡gb fvB </t>
  </si>
  <si>
    <t xml:space="preserve">B÷vb„ e¨vsK KvW© G Rgv </t>
  </si>
  <si>
    <t>19-09-2023Bs</t>
  </si>
  <si>
    <t>G.Gm.B †mvqvBe Awjw¤úK nvIjv`</t>
  </si>
  <si>
    <t>BKevjÕ fvB LiP eve`</t>
  </si>
  <si>
    <t xml:space="preserve">kwn`yjøvn fvB </t>
  </si>
  <si>
    <t>20-09-2023Bs</t>
  </si>
  <si>
    <t xml:space="preserve">Bd&amp;dvZzi ingvb </t>
  </si>
  <si>
    <t>21-09-2023Bs</t>
  </si>
  <si>
    <t>‰PwZ fvex †eZb eve`</t>
  </si>
  <si>
    <t>my Kzgvi †W‡gR ev`</t>
  </si>
  <si>
    <t xml:space="preserve">iæ‡ej wewewW †bIqv eve` </t>
  </si>
  <si>
    <t>WªvBfvi LiP</t>
  </si>
  <si>
    <t xml:space="preserve">eo fvB gvwmK UvKv AwMÖg </t>
  </si>
  <si>
    <t>24-09-2023Bs</t>
  </si>
  <si>
    <t>wUbv fvex †PK 1</t>
  </si>
  <si>
    <t>wUbv fvex †PK 2</t>
  </si>
  <si>
    <t xml:space="preserve">Bd&amp;dvZzi ingvb GKvD›U G Rgv </t>
  </si>
  <si>
    <t xml:space="preserve">‡Rbv‡iUi wej </t>
  </si>
  <si>
    <t>25-09-2023Bs</t>
  </si>
  <si>
    <t xml:space="preserve">mygb fvB †gvevBj wiPvR© </t>
  </si>
  <si>
    <t>26-09-2023Bs</t>
  </si>
  <si>
    <t>27-09-2023Bs</t>
  </si>
  <si>
    <t>Rwb †_‡K</t>
  </si>
  <si>
    <t>28-09-2023Bs</t>
  </si>
  <si>
    <t>30-09-2023Bs</t>
  </si>
  <si>
    <t>01-10-2023Bs</t>
  </si>
  <si>
    <t>02-10-2023Bs</t>
  </si>
  <si>
    <t>03-10-2023Bs</t>
  </si>
  <si>
    <t>04-10-2023Bs</t>
  </si>
  <si>
    <t>05-10-2023Bs</t>
  </si>
  <si>
    <t>08-10-2023Bs</t>
  </si>
  <si>
    <t>wUbv fvex †PK eve`</t>
  </si>
  <si>
    <t>Kvgvj fvB †eZb</t>
  </si>
  <si>
    <t>ï°zi †eZb</t>
  </si>
  <si>
    <t>09-10-2023Bs</t>
  </si>
  <si>
    <t xml:space="preserve">wmwm B›Uv‡i÷ Rgv </t>
  </si>
  <si>
    <t>RvbœvZ †i÷z‡i›U Rgv</t>
  </si>
  <si>
    <t>10-10-2023Bs</t>
  </si>
  <si>
    <t>বড় ভাই</t>
  </si>
  <si>
    <t>11-10-2023Bs</t>
  </si>
  <si>
    <t>mygb fvB LiP</t>
  </si>
  <si>
    <t>12-10-2023Bs</t>
  </si>
  <si>
    <t>15-10-2023Bs</t>
  </si>
  <si>
    <t>500 evwÛ‡j 1wU ‡ewk</t>
  </si>
  <si>
    <t>16-10-2023Bs</t>
  </si>
  <si>
    <t>D¾j fvB</t>
  </si>
  <si>
    <t xml:space="preserve">mRj †÷vi </t>
  </si>
  <si>
    <t>100 evwÛ‡j 2wU ‡ewk</t>
  </si>
  <si>
    <t>17-10-2023Bs</t>
  </si>
  <si>
    <t>18-10-2023Bs</t>
  </si>
  <si>
    <t>22-10-2023Bs</t>
  </si>
  <si>
    <t>BKevj ভাই</t>
  </si>
  <si>
    <t xml:space="preserve">we`y¨r wej Rgv </t>
  </si>
  <si>
    <t>meyR G›UvicÖvBR †m‡Þ¤^i Kwgkb</t>
  </si>
  <si>
    <t>Rwmg G›UvicÖvBR †m‡Þ¤^i Kwgkb</t>
  </si>
  <si>
    <t>MZ Kvj wewewW eve` WªvBfvi LiP</t>
  </si>
  <si>
    <t xml:space="preserve">LiP 2w`b </t>
  </si>
  <si>
    <t>Kvgiæj †÷vi †m‡Þ¤^i Kwgkb</t>
  </si>
  <si>
    <t>23-10-2023Bs</t>
  </si>
  <si>
    <t xml:space="preserve">IqvBdvB wej </t>
  </si>
  <si>
    <t>cÖwZK †÷vi e„n¯úwZevi evwÛ‡j Kg</t>
  </si>
  <si>
    <t>25-10-2023Bs</t>
  </si>
  <si>
    <t>26-10-2023Bs</t>
  </si>
  <si>
    <t>29-10-2023Bs</t>
  </si>
  <si>
    <t>30-10-2023Bs</t>
  </si>
  <si>
    <t>31-10-2023Bs</t>
  </si>
  <si>
    <t xml:space="preserve"> ˆPwZ fvex gvwmK UvKv </t>
  </si>
  <si>
    <t>01-11-2023Bs</t>
  </si>
  <si>
    <t>ï°i</t>
  </si>
  <si>
    <t>Zvwbqv †÷vi</t>
  </si>
  <si>
    <t xml:space="preserve">wcÖw›Us Kvwj µq </t>
  </si>
  <si>
    <t>02-11-2023Bs</t>
  </si>
  <si>
    <t xml:space="preserve">Avc¨vqb LiP </t>
  </si>
  <si>
    <t>05-11-2023Bs</t>
  </si>
  <si>
    <t>G.Gm.B †mvqvBe Awjw¤úK</t>
  </si>
  <si>
    <t>07-11-2023Bs</t>
  </si>
  <si>
    <t>ûRvBdv+wnReyjøvn †eZb</t>
  </si>
  <si>
    <t>mvbx ‡eZb</t>
  </si>
  <si>
    <t xml:space="preserve">weRq †eZb </t>
  </si>
  <si>
    <t>‡gveviK †eZb</t>
  </si>
  <si>
    <t xml:space="preserve">Kvgvj nvIjv` †diZ </t>
  </si>
  <si>
    <t>9-11-2023Bs</t>
  </si>
  <si>
    <t>12-11-2023Bs</t>
  </si>
  <si>
    <t>bvwn` em nvwme em Avc¨vqb LiP</t>
  </si>
  <si>
    <t>14-11-2023Bs</t>
  </si>
  <si>
    <t>15-11-2023Bs</t>
  </si>
  <si>
    <t xml:space="preserve">RvbœvZ †i÷‡i›U Rgv </t>
  </si>
  <si>
    <t>16-11-2023Bs</t>
  </si>
  <si>
    <t>eo fvB nvIjv` eve`</t>
  </si>
  <si>
    <t>19-11-2023Bs</t>
  </si>
  <si>
    <t>20-11-2023Bs</t>
  </si>
  <si>
    <t>Uzj eve`</t>
  </si>
  <si>
    <t>21-11-2023Bs</t>
  </si>
  <si>
    <t>Rwmg G›UvicÖvBR A‡±vei Kwgkb</t>
  </si>
  <si>
    <t>Kvgiæj †÷vi A‡±vei Kwgkb</t>
  </si>
  <si>
    <t>22-11-2023Bs</t>
  </si>
  <si>
    <t>AviGg Avc¨vqb LiP</t>
  </si>
  <si>
    <t>Mvbx ‡eZb</t>
  </si>
  <si>
    <t>MvRx ‡÷vi A‡±vei Kwgkb</t>
  </si>
  <si>
    <t>23-11-2023Bs</t>
  </si>
  <si>
    <t>26-11-2023Bs</t>
  </si>
  <si>
    <t>29-11-2023Bs</t>
  </si>
  <si>
    <t xml:space="preserve">Bgivb Gm.Gi Rgv </t>
  </si>
  <si>
    <t>30-11-2023Bs</t>
  </si>
  <si>
    <t xml:space="preserve">G.Gm.B LiP </t>
  </si>
  <si>
    <t xml:space="preserve">ZvRyj Bmjvg mygb GKvD›U G Rgv </t>
  </si>
  <si>
    <t xml:space="preserve">XvKv e¨vsK GKvD›U G Rgv </t>
  </si>
  <si>
    <t xml:space="preserve">wiqv` Avn‡g` GKvD›U Rgv </t>
  </si>
  <si>
    <t xml:space="preserve">gwbUi+wK †evW© µq </t>
  </si>
  <si>
    <t xml:space="preserve">‰PwZ fvex gvwmK+‡eZb </t>
  </si>
  <si>
    <t>01-01-2024Bs</t>
  </si>
  <si>
    <t>Kvgvj fvB</t>
  </si>
  <si>
    <t>Awjw¤úK ‡K¬vwRs UvKv</t>
  </si>
  <si>
    <t xml:space="preserve">Rwb †_‡K </t>
  </si>
  <si>
    <t>XvKv e¨vsK DËjb</t>
  </si>
  <si>
    <t>is wgw¯¿</t>
  </si>
  <si>
    <t xml:space="preserve">evKx †g‡gv Rgv </t>
  </si>
  <si>
    <t xml:space="preserve">Kvgiæj †÷vi b‡f¤^i Kwgkb </t>
  </si>
  <si>
    <t>03-01-2024Bs</t>
  </si>
  <si>
    <t>04-01-2024Bs</t>
  </si>
  <si>
    <t xml:space="preserve">eo fvB‡qi GKvD›U G Rgv </t>
  </si>
  <si>
    <t xml:space="preserve">g‡gb fvB ‡diZ </t>
  </si>
  <si>
    <t>06-01-2024Bs</t>
  </si>
  <si>
    <t>08-01-2024Bs</t>
  </si>
  <si>
    <t>11-01-2024Bs</t>
  </si>
  <si>
    <t>09-01-2024Bs</t>
  </si>
  <si>
    <t>14-01-2024Bs</t>
  </si>
  <si>
    <t>16-01-2024Bs</t>
  </si>
  <si>
    <t>BKvejÕfvB</t>
  </si>
  <si>
    <t>17-01-2024Bs</t>
  </si>
  <si>
    <t xml:space="preserve">BDwcGm µq </t>
  </si>
  <si>
    <t>AvBW¨vk †givgZ LiP</t>
  </si>
  <si>
    <t>18-01-2024Bs</t>
  </si>
  <si>
    <t>AMÖYx e¨vsK DËjb</t>
  </si>
  <si>
    <t>21-01-2024Bs</t>
  </si>
  <si>
    <t xml:space="preserve">BMjyÕ AbjvBb </t>
  </si>
  <si>
    <t>24-01-2024Bs</t>
  </si>
  <si>
    <t xml:space="preserve">Zvbwfi †÷vi Rgv </t>
  </si>
  <si>
    <t>25-01-2024Bs</t>
  </si>
  <si>
    <t>gÄyiæj gvwmK UvKv</t>
  </si>
  <si>
    <t>28-01-2024Bs</t>
  </si>
  <si>
    <t>29-01-2024Bs</t>
  </si>
  <si>
    <t>30-01-2024Bs</t>
  </si>
  <si>
    <t>31-01-2024Bs</t>
  </si>
  <si>
    <t xml:space="preserve">fvovwUqv Ni †_‡K </t>
  </si>
  <si>
    <t xml:space="preserve">Kvgvj fvB †diZ </t>
  </si>
  <si>
    <t>‡gvdv¾j evKx †g‡gv mgm¨v</t>
  </si>
  <si>
    <t>01-02-2024Bs</t>
  </si>
  <si>
    <t xml:space="preserve">gwR` †diZ </t>
  </si>
  <si>
    <t>gv‡K©j UvBj e¨vsK wKw¯Í</t>
  </si>
  <si>
    <t>04-02-2024Bs</t>
  </si>
  <si>
    <t>05-02-2024Bs</t>
  </si>
  <si>
    <t>‡KvK wi‡Uj AviwUwRGm</t>
  </si>
  <si>
    <t xml:space="preserve">PvR©vi µq </t>
  </si>
  <si>
    <t xml:space="preserve">RvbœvZ †nv‡Uj Rgv </t>
  </si>
  <si>
    <t>06-02-2024Bs</t>
  </si>
  <si>
    <t xml:space="preserve">mwRe ‡Kb wewµ eve` </t>
  </si>
  <si>
    <t>07-02-2024Bs</t>
  </si>
  <si>
    <t>08-02-2024Bs</t>
  </si>
  <si>
    <t>‡KvK ‡nvj‡mj AviwUwRGm</t>
  </si>
  <si>
    <t xml:space="preserve">MZ Kv‡ji wnmv‡e †ewk </t>
  </si>
  <si>
    <t>G.Gm.B †mvqvBe nvIjv`</t>
  </si>
  <si>
    <t>11-02-2024Bs</t>
  </si>
  <si>
    <t>BMjy AbjvBb Bmjvgx e¨vsK</t>
  </si>
  <si>
    <t>12-02-2024Bs</t>
  </si>
  <si>
    <t xml:space="preserve">evwÛ‡j Kg cÖwZK †÷vi </t>
  </si>
  <si>
    <t>13-02-2024Bs</t>
  </si>
  <si>
    <t>14-02-2024Bs</t>
  </si>
  <si>
    <t>15-02-2024Bs</t>
  </si>
  <si>
    <t>ivbv fvB GKvD›U G Rgv †mvbvjx e¨vsK</t>
  </si>
  <si>
    <t xml:space="preserve">RvbœvZ †nv‡Uj </t>
  </si>
  <si>
    <t xml:space="preserve">wi‡gj †÷vi </t>
  </si>
  <si>
    <t>17-02-2024Bs</t>
  </si>
  <si>
    <t>18-02-2024Bs</t>
  </si>
  <si>
    <t xml:space="preserve">gnv‡`e †÷vi Rgv </t>
  </si>
  <si>
    <t>iæ‡ej</t>
  </si>
  <si>
    <t>Uzj eve` 50wcm</t>
  </si>
  <si>
    <t>Kvgvj wWGmAvi nvIjv` †diZ</t>
  </si>
  <si>
    <t>19-02-2024Bs</t>
  </si>
  <si>
    <t>20-02-2024Bs</t>
  </si>
  <si>
    <t>ivbv fvB ‡eZb eve`</t>
  </si>
  <si>
    <t>Kv‡mg †÷vi</t>
  </si>
  <si>
    <t>dzj wgqv †÷vi</t>
  </si>
  <si>
    <t>22-02-2024Bs</t>
  </si>
  <si>
    <t>IqvB dvB wej</t>
  </si>
  <si>
    <t xml:space="preserve">  </t>
  </si>
  <si>
    <t>24-02-2024Bs</t>
  </si>
  <si>
    <t xml:space="preserve">gweb mv‡ne K¨vk BMjyÕ wej </t>
  </si>
  <si>
    <t>MvRx †÷vi RvbyÕ Kwgkb</t>
  </si>
  <si>
    <t>26-02-2024Bs</t>
  </si>
  <si>
    <t xml:space="preserve">Kvgvj †diZ </t>
  </si>
  <si>
    <t>gwR` Gm.Avi</t>
  </si>
  <si>
    <t xml:space="preserve">¯^cœcyix Kwd Rgv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</si>
  <si>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</si>
  <si>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BMjyÕ gweb mv‡ne f¨vb eve`</t>
  </si>
  <si>
    <t>27-02-2024Bs</t>
  </si>
  <si>
    <t>28-02-2024Bs</t>
  </si>
  <si>
    <t>BMjy AbjvBb</t>
  </si>
  <si>
    <t>Kvgvj fvB †diZ</t>
  </si>
  <si>
    <t>29-02-2024Bs</t>
  </si>
  <si>
    <t>gwR` Gm.Avi evKx †g‡gv</t>
  </si>
  <si>
    <t xml:space="preserve">Rwb </t>
  </si>
  <si>
    <t>eo fvB nvIjv`</t>
  </si>
  <si>
    <t>Kvgiæj †÷vi Rvby Kwgkb</t>
  </si>
  <si>
    <t>03-03-2024Bs</t>
  </si>
  <si>
    <t xml:space="preserve">wcÖwgqvi e¨vsK GKvD›U G Rgv </t>
  </si>
  <si>
    <t>meyR G›UvicÖvBR Rvby Kwgkb</t>
  </si>
  <si>
    <t>04-03-2024Bs</t>
  </si>
  <si>
    <t>wUbv fvex</t>
  </si>
  <si>
    <t>Kvgvj wWGm.Avi †diZ</t>
  </si>
  <si>
    <t>05-03-2024Bs</t>
  </si>
  <si>
    <t>06-03-2024Bs</t>
  </si>
  <si>
    <t>র্</t>
  </si>
  <si>
    <t xml:space="preserve">cy‡e©i cvIbv cwZK †÷vi </t>
  </si>
  <si>
    <t>07-03-2024Bs</t>
  </si>
  <si>
    <t xml:space="preserve">ûRvBdv+wnReyjøv †eZb </t>
  </si>
  <si>
    <t xml:space="preserve">mvMi †`vKvb fvov </t>
  </si>
  <si>
    <t xml:space="preserve">mvBdzj †jvb †diZ </t>
  </si>
  <si>
    <t xml:space="preserve">myavwe›`y ‡KvK Rgv </t>
  </si>
  <si>
    <t>Avc¨vqb LiP Awdm</t>
  </si>
  <si>
    <t>11-03-2024Bs</t>
  </si>
  <si>
    <t>12-03-2024Bs</t>
  </si>
  <si>
    <t>13-03-2024Bs</t>
  </si>
  <si>
    <t xml:space="preserve">‡fwbm evsjv †g‡gv‡Z f‚j </t>
  </si>
  <si>
    <t>14-03-2024Bs</t>
  </si>
  <si>
    <t>cÖwZK †÷vi †Qov UvKv Av‡M Rgv eve`</t>
  </si>
  <si>
    <t xml:space="preserve">M‡bk </t>
  </si>
  <si>
    <t>17-03-2024Bs</t>
  </si>
  <si>
    <t xml:space="preserve">3‡Km RvgvbZ †diZ UvKv </t>
  </si>
  <si>
    <t>Kvgvj fvB †g‡Rv fvB‡qi UvKv</t>
  </si>
  <si>
    <t xml:space="preserve">evjwZ+Uzj wej </t>
  </si>
  <si>
    <t>19-03-2024Bs</t>
  </si>
  <si>
    <t>20-03-2024Bs</t>
  </si>
  <si>
    <t>j¨vcUe e¨vUvix cwieZ©b</t>
  </si>
  <si>
    <t>21-03-2024Bs</t>
  </si>
  <si>
    <t>B›Uvi‡bU wej</t>
  </si>
  <si>
    <t>24-03-2024Bs</t>
  </si>
  <si>
    <t xml:space="preserve">cÖwZK †÷vi </t>
  </si>
  <si>
    <t>fv½vix KvKv</t>
  </si>
  <si>
    <t>iæ‡ej,my‡ej,‡Pqvig¨vb †evbvm</t>
  </si>
  <si>
    <t>25-03-2024Bs</t>
  </si>
  <si>
    <t xml:space="preserve">‰PwZ fvex †eZb+gvwmK UvKv </t>
  </si>
  <si>
    <t>27-03-2024Bs</t>
  </si>
  <si>
    <t>eoÕfvB</t>
  </si>
  <si>
    <t>eoÕfvB gvwmK UvKv</t>
  </si>
  <si>
    <t>28-03-2024Bs</t>
  </si>
  <si>
    <t>gweb mv‡ne cyjZvKv›`v ev· evbv‡bv eve`</t>
  </si>
  <si>
    <t xml:space="preserve">BMjyÕ bM` wej Rgv </t>
  </si>
  <si>
    <t>31-03-2024Bs</t>
  </si>
  <si>
    <t>meyR G›Uv. ‡deªæqvix Kwgkb</t>
  </si>
  <si>
    <t>Rwmg G›Uv. ‡deªæqvix Kwgkb</t>
  </si>
  <si>
    <t>Kvgiæj †÷vi. ‡deªæqvix Kwgkb</t>
  </si>
  <si>
    <t>MvRx †÷vi †d«eªæqvix Kwgkb</t>
  </si>
  <si>
    <t>01-04-2024Bs</t>
  </si>
  <si>
    <t xml:space="preserve">BMjy AbjvBb </t>
  </si>
  <si>
    <t>03-04-2024Bs</t>
  </si>
  <si>
    <t>eo[ fvB</t>
  </si>
  <si>
    <t>my‡ej</t>
  </si>
  <si>
    <t>evKx †g‡gv eve`</t>
  </si>
  <si>
    <t xml:space="preserve">Rwmg G›UvicÖvBR Rgv </t>
  </si>
  <si>
    <t xml:space="preserve">‡mvnvb </t>
  </si>
  <si>
    <t xml:space="preserve">Dcnvi †÷vi †_‡K </t>
  </si>
  <si>
    <t>wWGm.Avi Kvgvj nvIjv`</t>
  </si>
  <si>
    <t>fvB fvB †÷vi KzwjqviPi</t>
  </si>
  <si>
    <t>gweb mv‡ne e· evbv‡bv eve` cyjZvKv›`v</t>
  </si>
  <si>
    <t>RvwKi m¨vwbUvix wgw¯¿</t>
  </si>
  <si>
    <t>Rwmg †÷vi †`vKv‡bi wej eve` KZ©b</t>
  </si>
  <si>
    <t>‡mvnvb</t>
  </si>
  <si>
    <t>05-04-2024Bs</t>
  </si>
  <si>
    <t>gÄyiæj ‡eZb eve`</t>
  </si>
  <si>
    <t>06-04-2024Bs</t>
  </si>
  <si>
    <t>mwRe †eZb</t>
  </si>
  <si>
    <t>mwRe †evbvm</t>
  </si>
  <si>
    <t>‡cŠimfv Kgx© C` †evbvm</t>
  </si>
  <si>
    <t>07-04-2024Bs</t>
  </si>
  <si>
    <t>LiP BdZvimn</t>
  </si>
  <si>
    <t>eo fv&amp;B</t>
  </si>
  <si>
    <t>gÄyiæj AwMÖg †eZb GwcÖj gv‡mi</t>
  </si>
  <si>
    <t xml:space="preserve">‡KvK  †nvj‡mj C` †evbvm eve` </t>
  </si>
  <si>
    <t>18-04-2024Bs</t>
  </si>
  <si>
    <t xml:space="preserve">LiP </t>
  </si>
  <si>
    <t>cwZK †÷vi †Qov UvKv eve` †mvnvb</t>
  </si>
  <si>
    <t>20-04-2024Bs</t>
  </si>
  <si>
    <t>21-04-2024Bs</t>
  </si>
  <si>
    <t>RvbœvZ †i÷z‡i›U</t>
  </si>
  <si>
    <t xml:space="preserve">Kvgiæj ‡÷vi 250wgwj wd« 2 †Km Kg </t>
  </si>
  <si>
    <t>MvRx †÷vi AwMÖg</t>
  </si>
  <si>
    <t>myKzgvi 250wgwj eve` AwMÖg Rgv</t>
  </si>
  <si>
    <t>eo fvB XvKv †_‡K Bqvmwgb Avcv †`Iqv eve`</t>
  </si>
  <si>
    <t>22-04-2024Bs</t>
  </si>
  <si>
    <t>Rxeb AóMÖvg</t>
  </si>
  <si>
    <t>23-04-2024Bs</t>
  </si>
  <si>
    <t>24-04-2024Bs</t>
  </si>
  <si>
    <t>‡KvK †nvj‡mj AviwUwRGm</t>
  </si>
  <si>
    <t>fvB fvB †÷vi AvwKjkvn evRvi</t>
  </si>
  <si>
    <t xml:space="preserve">Avwjkv †÷vi </t>
  </si>
  <si>
    <t>25-04-2024Bs</t>
  </si>
  <si>
    <t>¦BMjy AbjvBb</t>
  </si>
  <si>
    <t xml:space="preserve">AvwReyi </t>
  </si>
  <si>
    <t>26-04-2024Bs</t>
  </si>
  <si>
    <t>cwZK †÷vi</t>
  </si>
  <si>
    <t>27-04-2024Bs</t>
  </si>
  <si>
    <t>M‡bk</t>
  </si>
  <si>
    <t>28-04-2024Bs</t>
  </si>
  <si>
    <t>29-04-2024Bs</t>
  </si>
  <si>
    <t>Awjw¤úK wm MÖæc †diZ</t>
  </si>
  <si>
    <t>30-04-2024Bs</t>
  </si>
  <si>
    <t>wb‡c›`ª †÷vi</t>
  </si>
  <si>
    <t xml:space="preserve">MvRx †÷vi AwMÖg Rgv </t>
  </si>
  <si>
    <t>.</t>
  </si>
  <si>
    <t>01-05-2024Bs</t>
  </si>
  <si>
    <t>02-05-2024Bs</t>
  </si>
  <si>
    <t>wcÖwgqvi e¨vsK †_‡K DËjb</t>
  </si>
  <si>
    <t xml:space="preserve">weòz †÷vi </t>
  </si>
  <si>
    <t xml:space="preserve">500UvKv †ewk </t>
  </si>
  <si>
    <t xml:space="preserve">      </t>
  </si>
  <si>
    <t>05-05-2024Bs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</si>
  <si>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</si>
  <si>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06-05-2024Bs</t>
  </si>
  <si>
    <t xml:space="preserve">RvbœvZ †i÷z‡i›U Rgv </t>
  </si>
  <si>
    <t>eo fvB nvIjv` †diZ</t>
  </si>
  <si>
    <t>XvKv n‡Z Avcv</t>
  </si>
  <si>
    <t>07-05-2024Bs</t>
  </si>
  <si>
    <t>Kvgvj,ï°zi,mvwKe †eZb</t>
  </si>
  <si>
    <t xml:space="preserve">wcb e· µq </t>
  </si>
  <si>
    <t>08-05-2024Bs</t>
  </si>
  <si>
    <t>d‡UvKwc eve`</t>
  </si>
  <si>
    <t>‡W‡gR evQv eve` LvIqv‡bv</t>
  </si>
  <si>
    <t>G.GmGg AwWU Avc¨vqb LiP</t>
  </si>
  <si>
    <t>09-05-2024Bs</t>
  </si>
  <si>
    <t>Kvgiæj †÷vi gvP© gv‡mi Kwgkb</t>
  </si>
  <si>
    <t xml:space="preserve">    </t>
  </si>
  <si>
    <t>12-05-2024Bs</t>
  </si>
  <si>
    <t>meyR G›UvicÖvBR gvP© gv‡mi Kwgkb</t>
  </si>
  <si>
    <t>Rwmg G›UvicÖvBR gvP© gv‡mi Kwgkb</t>
  </si>
  <si>
    <t>wUbv fvex †gvevBj wiPvR©</t>
  </si>
  <si>
    <t>13-05-2024Bs</t>
  </si>
  <si>
    <t>mRj †÷vi</t>
  </si>
  <si>
    <t>WªvBfvi LiP eve` †KvK</t>
  </si>
  <si>
    <t>14-05-2024Bs</t>
  </si>
  <si>
    <t>15-05-2024Bs</t>
  </si>
  <si>
    <t xml:space="preserve">AwWU Avc¨vqb </t>
  </si>
  <si>
    <t>MZ Kvj weRqbMi Mvox †jvW LiP</t>
  </si>
  <si>
    <t>MvRx †÷vi gvP© gv‡mi Kwgkb</t>
  </si>
  <si>
    <t>16-05-2024Bs</t>
  </si>
  <si>
    <t>18-05-2024Bs</t>
  </si>
  <si>
    <t xml:space="preserve">BMjyÕwd«R Mvox fvov </t>
  </si>
  <si>
    <t>ZvwiL</t>
  </si>
  <si>
    <t>Avg`vbxi weeiY</t>
  </si>
  <si>
    <t>Li‡Pi weeiY</t>
  </si>
  <si>
    <t>18.05.2024</t>
  </si>
  <si>
    <t xml:space="preserve">‡KvK wi‡Uj i‡KU </t>
  </si>
  <si>
    <t>‰`wbK LiP</t>
  </si>
  <si>
    <t>BMjy wd«R bvgv‡bv LiP</t>
  </si>
  <si>
    <t>18.5.24</t>
  </si>
  <si>
    <t>19.5.24</t>
  </si>
  <si>
    <t>bxU e¨v‡jÝ =</t>
  </si>
  <si>
    <t>Awjw¤úK AbjvBb</t>
  </si>
  <si>
    <t>19.05.2024</t>
  </si>
  <si>
    <t>ivbv fvB</t>
  </si>
  <si>
    <t>AviwUwRGm PvR©</t>
  </si>
  <si>
    <t>†gvU †mjm K¨vk UvKv</t>
  </si>
  <si>
    <t>fvOvMvix KvKv</t>
  </si>
  <si>
    <t>20.5.24</t>
  </si>
  <si>
    <t>20.05.2024</t>
  </si>
  <si>
    <t>ev‡qvwR` Av`gcyi</t>
  </si>
  <si>
    <t>uRv‡e` fvB †Mv`vg fvov</t>
  </si>
  <si>
    <t>MvRx Rgv</t>
  </si>
  <si>
    <t>21.5.24</t>
  </si>
  <si>
    <t xml:space="preserve">i‡KU GKvD›U </t>
  </si>
  <si>
    <t>21.05.2024</t>
  </si>
  <si>
    <t>Gm.Avi Bgivb Rgv</t>
  </si>
  <si>
    <t>22.05.2024</t>
  </si>
  <si>
    <t>22.5.24</t>
  </si>
  <si>
    <t>myeR G›UvicÖvBR Rgv</t>
  </si>
  <si>
    <t xml:space="preserve">RbZv G‡RwÝ Rgv </t>
  </si>
  <si>
    <t>23.05.2024</t>
  </si>
  <si>
    <t>23.5.24</t>
  </si>
  <si>
    <t>AvwReyi</t>
  </si>
  <si>
    <t>Avc¨vqb LiP AvwZK mve</t>
  </si>
  <si>
    <t>fvOvMvix-2</t>
  </si>
  <si>
    <t>Kvgiæj †÷vi GwcÖj gv‡mi Kwg.</t>
  </si>
  <si>
    <t>mvgmyj nK Avãyjøvncyi Rgv</t>
  </si>
  <si>
    <t>LiP K¨vk kU©</t>
  </si>
  <si>
    <t>24.5.24</t>
  </si>
  <si>
    <t>gÄyiæj AfviUvBg</t>
  </si>
  <si>
    <t>‡mvnvb AfviUvBg</t>
  </si>
  <si>
    <t>2lty-60</t>
  </si>
  <si>
    <t>1lt-60</t>
  </si>
  <si>
    <t>400-60</t>
  </si>
  <si>
    <t>250-30</t>
  </si>
  <si>
    <t xml:space="preserve">meyR G›UvicÖvBR Rgv </t>
  </si>
  <si>
    <t>MvRx †÷vi GwcÖj© gv‡mi Kwgkb</t>
  </si>
  <si>
    <t xml:space="preserve">MvRx †÷vi Rgv </t>
  </si>
  <si>
    <t>26-05-2024Bs</t>
  </si>
  <si>
    <t xml:space="preserve">Avwjkv †÷vi Rgv </t>
  </si>
  <si>
    <t xml:space="preserve">wbjq Gm.Avi Rgv </t>
  </si>
  <si>
    <t xml:space="preserve">dzj wgqv †÷vi Rgv </t>
  </si>
  <si>
    <t xml:space="preserve">‡mwjg fvOvwi </t>
  </si>
  <si>
    <t>fvOvwi KvKv</t>
  </si>
  <si>
    <t>29-05-2024Bs</t>
  </si>
  <si>
    <t>‡ivW mvBW wcrRv</t>
  </si>
  <si>
    <t>meyR G›UvicÖvBR GwcÖj© gv‡mi Kwgkb</t>
  </si>
  <si>
    <t>28-05-2024Bs</t>
  </si>
  <si>
    <t>‡jvKbv_ wgwói †`vKvb</t>
  </si>
  <si>
    <t>fvex nvIjv` eve`</t>
  </si>
  <si>
    <t>07-07-2024Bs</t>
  </si>
  <si>
    <t>BMjyÕAbjvBb</t>
  </si>
  <si>
    <t>gvneyeyi ingb GKvD›U G Rgv Uªv÷ e¨vsK</t>
  </si>
  <si>
    <t>MvRx †÷vi †g gv‡mi ‡nvj‡mj Kwgkb</t>
  </si>
  <si>
    <t>Rwmg G›UvicÖvBR fvOwZ eve` Rgv</t>
  </si>
  <si>
    <t>mwRe †eZb eve`</t>
  </si>
  <si>
    <t>Bgiv‡bi AveŸv fvOwZ eve`</t>
  </si>
  <si>
    <t xml:space="preserve">‡jvKbv_ wgwó †`vKvb </t>
  </si>
  <si>
    <t>08-07-2024Bs</t>
  </si>
  <si>
    <t xml:space="preserve">Kv‡mg ‡÷vi Rgv </t>
  </si>
  <si>
    <t xml:space="preserve">Kg evwÛ‡j </t>
  </si>
  <si>
    <t>Bgiv‡bi AveŸv fvOwZ eve` Rgv</t>
  </si>
  <si>
    <t xml:space="preserve">Rvwn` WªvBfvi †eZb </t>
  </si>
  <si>
    <t>09-07-2024Bs</t>
  </si>
  <si>
    <t xml:space="preserve">Bd&amp;dvZyi ingvb Rgv </t>
  </si>
  <si>
    <t>15-07-2024Bs</t>
  </si>
  <si>
    <t xml:space="preserve">Bgiv‡bi AveŸv fvOwZ eve` </t>
  </si>
  <si>
    <t xml:space="preserve">‡mwjg wgqv fvOvix </t>
  </si>
  <si>
    <t xml:space="preserve">Bgiv‡bi AveŸv </t>
  </si>
  <si>
    <t>cwZK †÷vi mv‡eK Rgv</t>
  </si>
  <si>
    <t>16-07-2024Bs</t>
  </si>
  <si>
    <t xml:space="preserve">‡gvkvid wgqv fvOvix </t>
  </si>
  <si>
    <t>BMjyÕ AbjvBb eve`</t>
  </si>
  <si>
    <t>‡gvkvid wgqv fv½vix</t>
  </si>
  <si>
    <t>gÄyiæj `ycy‡i LvIqv eve`</t>
  </si>
  <si>
    <t xml:space="preserve">Bgiv‡bi AveŸv mv‡eK Rgv </t>
  </si>
  <si>
    <t xml:space="preserve">‡mwjg wgqv Rgv </t>
  </si>
  <si>
    <t>‡gvkvid wgqv fvOvix Rgv</t>
  </si>
  <si>
    <t>21-07-2024Bs</t>
  </si>
  <si>
    <t>‡mwjg wgqv fvOwZ eve`</t>
  </si>
  <si>
    <t>‡gvU =</t>
  </si>
  <si>
    <t>23-07-2024Bs</t>
  </si>
  <si>
    <t>24-07-2024Bs</t>
  </si>
  <si>
    <t xml:space="preserve">ev‡qvwR` Rgv </t>
  </si>
  <si>
    <t xml:space="preserve">wKw¯Í Rgv‡bv </t>
  </si>
  <si>
    <t>IqvBdvB bZzb mvwf©m PvR©</t>
  </si>
  <si>
    <t>‰PwZ fvex gvwmK+‡eZb eve`</t>
  </si>
  <si>
    <t>‡gveviK AwMÖg †eZb eve`</t>
  </si>
  <si>
    <t>25-07-2024Bs</t>
  </si>
  <si>
    <t>gÄyiæj Afvi UvBg</t>
  </si>
  <si>
    <t>‡mvnvb Afvi UvBg</t>
  </si>
  <si>
    <t xml:space="preserve">`ycy‡i jvÂ LiP bvwn` mv‡ne I 2 Gm.Avi </t>
  </si>
  <si>
    <t>‡jvKbv_ wgwói †`vKvb Kg</t>
  </si>
  <si>
    <t>28-07-2024Bs</t>
  </si>
  <si>
    <t>‡mwjg wgqv Rgv</t>
  </si>
  <si>
    <t>29-07-2024Bs</t>
  </si>
  <si>
    <t>30-07-2024Bs</t>
  </si>
  <si>
    <t>31-07-2024Bs</t>
  </si>
  <si>
    <t>KzwjqviPi wewewW Mvox fvov+LiP</t>
  </si>
  <si>
    <t>01-08-2024Bs</t>
  </si>
  <si>
    <t>Rwmg G›UvicÖvBR †diZ gvj `vg ev`</t>
  </si>
  <si>
    <t>Dcnvi †÷vi †diZ</t>
  </si>
  <si>
    <t xml:space="preserve">mwRe †eZb eve` </t>
  </si>
  <si>
    <t>04-08-2024Bs</t>
  </si>
  <si>
    <t>05-08-2024Bs</t>
  </si>
  <si>
    <t>Rvwn` WªvBfvi ‡eZb eve`</t>
  </si>
  <si>
    <t xml:space="preserve">AvwReyi Kg </t>
  </si>
  <si>
    <t>gÄyiæj 4jÿ †_‡K †diZ</t>
  </si>
  <si>
    <t>06-08-2024Bs</t>
  </si>
  <si>
    <t>08-08-2024Bs</t>
  </si>
  <si>
    <t>‡mvnvb †eZb eve`</t>
  </si>
  <si>
    <t>10-08-2024Bs</t>
  </si>
  <si>
    <t>Bkevj fvB</t>
  </si>
  <si>
    <t>11-08-2024Bs</t>
  </si>
  <si>
    <t>Lvg µq</t>
  </si>
  <si>
    <t>‡di‡`Šmx ‡eMg</t>
  </si>
  <si>
    <t>12-08-2024Bs</t>
  </si>
  <si>
    <t>13-08-2024Bs</t>
  </si>
  <si>
    <t>‡mv‡nj fvB RvgvZ Bmjvg weKvk eve`</t>
  </si>
  <si>
    <t>14-08-2024Bs</t>
  </si>
  <si>
    <t>Kvgiæj ‡÷vi Ryb gv‡mi Kwgkb</t>
  </si>
  <si>
    <t>15-08-2024Bs</t>
  </si>
  <si>
    <t xml:space="preserve">‡mwjg wgqv </t>
  </si>
  <si>
    <t>gÄyiæj 3.50jÿ †_‡K †diZ</t>
  </si>
  <si>
    <t>17-08-2024Bs</t>
  </si>
  <si>
    <t>gv‡K©b UvBj e¨vsK wKw¯Í</t>
  </si>
  <si>
    <t>18-08-2024Bs</t>
  </si>
  <si>
    <t>19-08-2024Bs</t>
  </si>
  <si>
    <t>‡ccvi µq</t>
  </si>
  <si>
    <t>wgw¯¿ LiP AvjAvwgb</t>
  </si>
  <si>
    <t>500UvKv evwÛ‡j †ewk</t>
  </si>
  <si>
    <t>BKevj fvB fvov eve` AwMÖg</t>
  </si>
  <si>
    <t>20-08-2024Bs</t>
  </si>
  <si>
    <t>MvRx ‡÷vi Rby gv‡mi Kwgkb</t>
  </si>
  <si>
    <t>gwR`</t>
  </si>
  <si>
    <t>BKevjÕ fvB AwMÖg fvov eve`</t>
  </si>
  <si>
    <t>21-08-2024Bs</t>
  </si>
  <si>
    <t>‡mvnvb †eZb eve` AwMÖg</t>
  </si>
  <si>
    <t>22-08-2024Bs</t>
  </si>
  <si>
    <t>wgw¯¿ LiP AvjAvwgb 2w`b gRyix</t>
  </si>
  <si>
    <t>‰PwZ fvex †eZb +gvwmK UvKv</t>
  </si>
  <si>
    <t>25-08-2024Bs</t>
  </si>
  <si>
    <t>wgw¯¿ LiP AvjAvwgb 2.5w`b gRyix</t>
  </si>
  <si>
    <t>wm‡g›U+evjy eve` UvKv</t>
  </si>
  <si>
    <t>26-08-2024Bs</t>
  </si>
  <si>
    <t>27-08-2024Bs</t>
  </si>
  <si>
    <t>evewP© eve`</t>
  </si>
  <si>
    <t xml:space="preserve">evwÛ‡j Kg </t>
  </si>
  <si>
    <t>kwdKzj Bmjvg</t>
  </si>
  <si>
    <t xml:space="preserve">is eve` </t>
  </si>
  <si>
    <t>28-08-2024Bs</t>
  </si>
  <si>
    <t>29-08-2024Bs</t>
  </si>
  <si>
    <t>&amp;iv‡m` em Avc¨vqb LiP `ycy‡ii</t>
  </si>
  <si>
    <t xml:space="preserve">is wgw¯¿ gRyix </t>
  </si>
  <si>
    <t>01-09-2024Bs</t>
  </si>
  <si>
    <t>mwRe ‡W‡gR eve`</t>
  </si>
  <si>
    <t>02-09-2024Bs</t>
  </si>
  <si>
    <t>03-09-2024Bs</t>
  </si>
  <si>
    <t>04-09-2024Bs</t>
  </si>
  <si>
    <t>BMjyÕ AviwUwRGm</t>
  </si>
  <si>
    <t>05-09-2024Bs</t>
  </si>
  <si>
    <t>gv‡K©bUvBj e¨vK wKw¯Í</t>
  </si>
  <si>
    <t xml:space="preserve">AvwmK (gv°)z †eZb </t>
  </si>
  <si>
    <t>08-09-2024Bs</t>
  </si>
  <si>
    <t>evKx ‡g‡gv eve`</t>
  </si>
  <si>
    <t>MvRx †÷vi RyjvB+AvM÷ Kwgkb</t>
  </si>
  <si>
    <t>Kvgiæj †÷vi RyjvB+AvM÷ Kwgkb</t>
  </si>
  <si>
    <t>meyR G›UvicÖvBR RyjvB+AvM÷ Kwgkb</t>
  </si>
  <si>
    <t>09-09-2024Bs</t>
  </si>
  <si>
    <t>‡gvjøv †÷vi Kwgkb fzj</t>
  </si>
  <si>
    <t xml:space="preserve">eo fvB UvKv </t>
  </si>
  <si>
    <t>10-09-2024Bs</t>
  </si>
  <si>
    <t xml:space="preserve">BMjyÕ AviwUwRGm </t>
  </si>
  <si>
    <t>Kv‡mg †÷vi Rgv</t>
  </si>
  <si>
    <t>mRj †÷vi Rgv</t>
  </si>
  <si>
    <t>‡gvjøv †÷vi Rgv</t>
  </si>
  <si>
    <t>Kvgiæj †÷vi Rgv</t>
  </si>
  <si>
    <t>11-09-2024Bs</t>
  </si>
  <si>
    <t>12-09-2024Bs</t>
  </si>
  <si>
    <t>meyR G›UvicÖvBR Rgv</t>
  </si>
  <si>
    <t>MvRx †÷vi Rgv</t>
  </si>
  <si>
    <t>myKzgvi Rgv</t>
  </si>
  <si>
    <t>15-09-2024Bs</t>
  </si>
  <si>
    <t>Kvgvj wWGm.Avi</t>
  </si>
  <si>
    <t>17-09-2024Bs</t>
  </si>
  <si>
    <t xml:space="preserve">BKevjÕfvB we`y¨r wej eve` </t>
  </si>
  <si>
    <t>18-09-2024Bs</t>
  </si>
  <si>
    <t>19-09-2024Bs</t>
  </si>
  <si>
    <t xml:space="preserve">myKzgvi †÷vi Rgv </t>
  </si>
  <si>
    <t xml:space="preserve">ï°zi </t>
  </si>
  <si>
    <t xml:space="preserve">mvwKe </t>
  </si>
  <si>
    <t xml:space="preserve">               </t>
  </si>
  <si>
    <t>22-09-2024Bs</t>
  </si>
  <si>
    <t>23-09-2024Bs</t>
  </si>
  <si>
    <t xml:space="preserve">mRj †÷vi Rgv </t>
  </si>
  <si>
    <t>25-09-2024Bs</t>
  </si>
  <si>
    <t xml:space="preserve">23.9.24 wnmve †_‡K </t>
  </si>
  <si>
    <t>24.9.24 ‡mjm wnmv‡ei mxU †_‡K</t>
  </si>
  <si>
    <t xml:space="preserve">‡nvj‡mj Kv‡jKk Rgv </t>
  </si>
  <si>
    <t>24-09-2024Bs</t>
  </si>
  <si>
    <t xml:space="preserve">‡nvj‡mj Kv‡jKkb Rgv </t>
  </si>
  <si>
    <t>26-09-2024Bs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</si>
  <si>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</si>
  <si>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gbRyiæj gvwmK UvKv</t>
  </si>
  <si>
    <t xml:space="preserve">gbRyiæj ‡eZb </t>
  </si>
  <si>
    <t xml:space="preserve">wcÖw›Us Kvwj †Uvbvi µq </t>
  </si>
  <si>
    <t>‰PwZ fvex ‡eZb UvKv</t>
  </si>
  <si>
    <t>29-09-2024Bs</t>
  </si>
  <si>
    <t>‡mv‡nj fvB Rvb©vwj÷</t>
  </si>
  <si>
    <t>B›Uvi‡bU wej evwo</t>
  </si>
  <si>
    <t>30-09-2024Bs</t>
  </si>
  <si>
    <t xml:space="preserve">myKygvi ‡÷vi Rgv </t>
  </si>
  <si>
    <t>ev‡qvwR` Rgv</t>
  </si>
  <si>
    <t xml:space="preserve">Rvwn` </t>
  </si>
  <si>
    <t>01-10-2024Bs</t>
  </si>
  <si>
    <t>02-10-2024Bs</t>
  </si>
  <si>
    <t xml:space="preserve">yiæ‡ej </t>
  </si>
  <si>
    <t>bvwn` mv‡ne+AwWU Avc¨vqb LiP `ycy‡i LvIqv</t>
  </si>
  <si>
    <t xml:space="preserve">mwRe LiP </t>
  </si>
  <si>
    <t>03-10-2024Bs</t>
  </si>
  <si>
    <t>‡jcUc nvW©wW¯‹ cwieZ©b 1wU</t>
  </si>
  <si>
    <t xml:space="preserve">weKvk PvR© </t>
  </si>
  <si>
    <t>06-10-2024Bs</t>
  </si>
  <si>
    <t xml:space="preserve">‡nvj‡mj evKx †g‡gv UvKv </t>
  </si>
  <si>
    <t>mvBdzj evKx †g‡gv</t>
  </si>
  <si>
    <t>wbjq evKx †g‡gv</t>
  </si>
  <si>
    <t xml:space="preserve">‡nvj‡mj evKx †g‡gv mv‡eK Rgv </t>
  </si>
  <si>
    <t>05.10.24 †mjm ‡_‡K bM`</t>
  </si>
  <si>
    <t>‡nvj‡mj evKx ‡g‡gv eve`</t>
  </si>
  <si>
    <t>07-10-2024Bs</t>
  </si>
  <si>
    <t xml:space="preserve">ivwKe cvwK©s wej </t>
  </si>
  <si>
    <t xml:space="preserve">wmwm †Z B›Uv‡i÷ Rgv </t>
  </si>
  <si>
    <t>bM` UvKv †mjm 6.10.24</t>
  </si>
  <si>
    <t xml:space="preserve">wbjq evKx †g‡gv </t>
  </si>
  <si>
    <t>wnmv‡ei mxU †_‡K K¨vk</t>
  </si>
  <si>
    <t xml:space="preserve">AvmgZ Lvb Rgv </t>
  </si>
  <si>
    <t xml:space="preserve">myavwe›`y Rgv </t>
  </si>
  <si>
    <t>14-10-2024Bs</t>
  </si>
  <si>
    <t xml:space="preserve">bM` UvKv </t>
  </si>
  <si>
    <t xml:space="preserve">gÄyiæj †eZb eve` </t>
  </si>
  <si>
    <t xml:space="preserve">Bgiv‡bi AveŸv mv‡eK  </t>
  </si>
  <si>
    <t>15-10-2024Bs</t>
  </si>
  <si>
    <t xml:space="preserve">Kvgvj fvB fvov eve` </t>
  </si>
  <si>
    <t>mvBdzj nvIjv` eve`</t>
  </si>
  <si>
    <t>16-10-2024Bs</t>
  </si>
  <si>
    <t>17-10-2024Bs</t>
  </si>
  <si>
    <t>20-10-2024Bs</t>
  </si>
  <si>
    <t>kvwnb fvB cvKzw›`qv Kv‡Pi †evZj 87 †Km eve`</t>
  </si>
  <si>
    <t>21-10-2024Bs</t>
  </si>
  <si>
    <t>22-10-2024Bs</t>
  </si>
  <si>
    <t xml:space="preserve">BKevjÕfvB GKvD›U G Rgv </t>
  </si>
  <si>
    <t xml:space="preserve">BMj~ †g‡gv wej </t>
  </si>
  <si>
    <t>24-10-2024Bs</t>
  </si>
  <si>
    <t>26-10-2024Bs</t>
  </si>
  <si>
    <t>27-10-2024Bs</t>
  </si>
  <si>
    <t>BMjyÕ AviwUwRGm eve`</t>
  </si>
  <si>
    <t>28-10-2024Bs</t>
  </si>
  <si>
    <t>29-10-2024Bs</t>
  </si>
  <si>
    <t xml:space="preserve">wd«R Avbv eve` Mvox fvov </t>
  </si>
  <si>
    <t>30-10-2024Bs</t>
  </si>
  <si>
    <t>BMjyÕ ‡W‡gR eve` LiP</t>
  </si>
  <si>
    <t xml:space="preserve">BMjyÕ wd«R eve` evwÛ‡j Kg </t>
  </si>
  <si>
    <t>‡nvj‡mj evKx ‡g‡gv eve` Awjw¤úK</t>
  </si>
  <si>
    <t>31-10-2024Bs</t>
  </si>
  <si>
    <t xml:space="preserve">Awjw¤úK evKx †g‡gv </t>
  </si>
  <si>
    <t>mygb fvB ‡gvevBj wiPvR© MZKvj</t>
  </si>
  <si>
    <t>RgvLiPLvZvµq</t>
  </si>
  <si>
    <t xml:space="preserve">cwjw_b Ni †_‡K </t>
  </si>
  <si>
    <t>03-11-2024Bs</t>
  </si>
  <si>
    <t>04-11-2024Bs</t>
  </si>
  <si>
    <t xml:space="preserve">my‡ej MvDwQqv †÷vi evKx </t>
  </si>
  <si>
    <t xml:space="preserve">mvBdzj nvIjv` †diZ </t>
  </si>
  <si>
    <t>05-11-2024Bs</t>
  </si>
  <si>
    <t>06-11-2024Bs</t>
  </si>
  <si>
    <t>07-11-2024Bs</t>
  </si>
  <si>
    <t>eo fvB †_‡K †bIqv</t>
  </si>
  <si>
    <t xml:space="preserve">mygb fvB bM` Rgv </t>
  </si>
  <si>
    <t>‡gwi‡Kv †Kv¤úvbx AviwUwRGm</t>
  </si>
  <si>
    <t>09-11-2024Bs</t>
  </si>
  <si>
    <t>10-11-2024Bs</t>
  </si>
  <si>
    <t>11-11-2024Bs</t>
  </si>
  <si>
    <t>12-11-2024Bs</t>
  </si>
  <si>
    <t>Kvgvj fvB ‡g‡Rv fvB fvov eve`</t>
  </si>
  <si>
    <t>13-11-2024Bs</t>
  </si>
  <si>
    <t>14-11-2024Bs</t>
  </si>
  <si>
    <t>mvB`yj wgqv Av`gcyi</t>
  </si>
  <si>
    <t>wK †evW© µq 1wU</t>
  </si>
  <si>
    <t xml:space="preserve">Kvgvj fvB fvov </t>
  </si>
  <si>
    <t>16-11-2024Bs</t>
  </si>
  <si>
    <t xml:space="preserve">‡KvK †KK eve` </t>
  </si>
  <si>
    <t>AvBwU Awdmvi Avc¨vqb LiP eve`</t>
  </si>
  <si>
    <t>17-11-2024Bs</t>
  </si>
  <si>
    <t>18-11-2024Bs</t>
  </si>
  <si>
    <t xml:space="preserve">wcw›Us †ccvi+Lvg µq </t>
  </si>
  <si>
    <t>19-11-2024Bs</t>
  </si>
  <si>
    <t xml:space="preserve">gv‡Kb UvBj e¨vsK </t>
  </si>
  <si>
    <t>Kvgvj fvB fvov eve`</t>
  </si>
  <si>
    <t>‡gvjøv mvB‡Kj †÷vi wej</t>
  </si>
  <si>
    <t xml:space="preserve">Kvgvj wWGm.Avi </t>
  </si>
  <si>
    <t>BMjyÕAviwUwRGm</t>
  </si>
  <si>
    <t>myRb fvB</t>
  </si>
  <si>
    <t xml:space="preserve">‡mv‡nj Rvb©vwj÷ </t>
  </si>
  <si>
    <t>20-11-2024Bs</t>
  </si>
  <si>
    <t>21-11-2024Bs</t>
  </si>
  <si>
    <t xml:space="preserve">AviGg mv‡ne Avc¨vqb LiP </t>
  </si>
  <si>
    <t>23-11-2024Bs</t>
  </si>
  <si>
    <t xml:space="preserve">gweb mv‡ne gvQ µq eve` </t>
  </si>
  <si>
    <t xml:space="preserve">ûRvBdv </t>
  </si>
  <si>
    <t>24-11-2024Bs</t>
  </si>
  <si>
    <t xml:space="preserve">‡cŠimfv cvwb wej </t>
  </si>
  <si>
    <t>wgw¯¿ †LvivKx</t>
  </si>
  <si>
    <t>25-11-2024Bs</t>
  </si>
  <si>
    <t xml:space="preserve">AvïMÄ mve wWwe </t>
  </si>
  <si>
    <t>‡gwi‡Kv c¨vivmyU ÕAviwUwRGm</t>
  </si>
  <si>
    <t xml:space="preserve">KvV eve` </t>
  </si>
  <si>
    <t xml:space="preserve">mxU eve` </t>
  </si>
  <si>
    <t xml:space="preserve">‡jvnv </t>
  </si>
  <si>
    <t xml:space="preserve">‡cøU evi </t>
  </si>
  <si>
    <t xml:space="preserve">wQ`ªKiv </t>
  </si>
  <si>
    <t xml:space="preserve">wRjøy fvB gRyix </t>
  </si>
  <si>
    <t>wRjøy wgqv LiP</t>
  </si>
  <si>
    <t xml:space="preserve">‡mvnvb †eZb eve` </t>
  </si>
  <si>
    <t>26-11-2024Bs</t>
  </si>
  <si>
    <t xml:space="preserve">mvB`yj Av`gcyi Rgv </t>
  </si>
  <si>
    <t>gwR` nvIjv`</t>
  </si>
  <si>
    <t xml:space="preserve">c¨vimyU Mvox bvgv‡bv LiP </t>
  </si>
  <si>
    <t>27-11-2024Bs</t>
  </si>
  <si>
    <t>28-11-2024Bs</t>
  </si>
  <si>
    <t>AvïMÄ wWjvi 10KvUzb cvjm 50wc‡mi</t>
  </si>
  <si>
    <t>wgw¯¿ †LvovKx eve`</t>
  </si>
  <si>
    <t>gbPzov Kwdkc †cÖvMÖvg LiP nvm LvIqv‡bv eve`</t>
  </si>
  <si>
    <t>30-11-2024Bs</t>
  </si>
  <si>
    <t xml:space="preserve">evmvi IqvB dvB wej wUbv fvex </t>
  </si>
  <si>
    <t>01-12-2024Bs</t>
  </si>
  <si>
    <t xml:space="preserve">gwR` nvIjv` †diZ </t>
  </si>
  <si>
    <t>02-12-2024Bs</t>
  </si>
  <si>
    <t xml:space="preserve">ivRy wgw¯¿ Pv, we¯‹zU LiP </t>
  </si>
  <si>
    <t xml:space="preserve">Kvgvj fvB †Mv`vg fvov eve` </t>
  </si>
  <si>
    <t>eo fvB gvwmK UvKv 1g gvm</t>
  </si>
  <si>
    <t>03-12-2024Bs</t>
  </si>
  <si>
    <t xml:space="preserve">gÄyiæj evRvi Kv‡jKkb eve` </t>
  </si>
  <si>
    <t>04-12-2024Bs</t>
  </si>
  <si>
    <t>05-12-2024Bs</t>
  </si>
  <si>
    <t>‡Ub wgwbU ¯‹zj †c‡g›U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</si>
</sst>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RinkiyMJ"/>
    </font>
    <font>
      <sz val="11"/>
      <color theme="1"/>
      <name val="TonnySushreeMJ"/>
    </font>
    <font>
      <sz val="11"/>
      <color theme="1"/>
      <name val="SutonnyMJ"/>
    </font>
    <font>
      <sz val="9"/>
      <color theme="1"/>
      <name val="SutonnyMJ"/>
    </font>
    <font>
      <sz val="11"/>
      <color theme="1"/>
      <name val="SutonnyMJ"/>
    </font>
    <font>
      <sz val="11"/>
      <color theme="1"/>
      <name val="Proxy 6"/>
    </font>
    <font>
      <sz val="11"/>
      <color theme="1"/>
      <name val="Open Sans"/>
      <family val="2"/>
    </font>
    <font>
      <sz val="10"/>
      <color theme="1"/>
      <name val="SutonnyMJ"/>
    </font>
    <font>
      <b/>
      <sz val="11"/>
      <color theme="1"/>
      <name val="SutonnyMJ"/>
    </font>
    <font>
      <sz val="11"/>
      <color rgb="FFFF0000"/>
      <name val="SutonnyMJ"/>
    </font>
    <font>
      <b/>
      <sz val="11"/>
      <color rgb="FFFF0000"/>
      <name val="SutonnyMJ"/>
    </font>
    <font>
      <b/>
      <sz val="11"/>
      <color theme="1"/>
      <name val="RinkiyMJ"/>
    </font>
    <font>
      <b/>
      <sz val="12"/>
      <color theme="1"/>
      <name val="SutonnyMJ"/>
    </font>
    <font>
      <b/>
      <sz val="12"/>
      <color theme="1"/>
      <name val="BurigangaSushreeMJ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4" fillId="2" borderId="1" xfId="0" applyFont="1" applyFill="1" applyBorder="1"/>
    <xf numFmtId="0" fontId="6" fillId="0" borderId="0" xfId="0" applyFont="1"/>
    <xf numFmtId="0" fontId="7" fillId="0" borderId="0" xfId="0" applyFont="1"/>
    <xf numFmtId="0" fontId="3" fillId="3" borderId="1" xfId="0" applyFont="1" applyFill="1" applyBorder="1"/>
    <xf numFmtId="0" fontId="8" fillId="0" borderId="1" xfId="0" applyFont="1" applyBorder="1"/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2" fillId="0" borderId="0" xfId="0" applyFont="1"/>
    <xf numFmtId="0" fontId="13" fillId="0" borderId="1" xfId="0" applyFont="1" applyBorder="1"/>
    <xf numFmtId="0" fontId="14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00" Type="http://schemas.openxmlformats.org/officeDocument/2006/relationships/styles" Target="styles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44" Type="http://schemas.openxmlformats.org/officeDocument/2006/relationships/worksheet" Target="worksheets/sheet444.xml"/><Relationship Id="rId486" Type="http://schemas.openxmlformats.org/officeDocument/2006/relationships/worksheet" Target="worksheets/sheet486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497" Type="http://schemas.openxmlformats.org/officeDocument/2006/relationships/worksheet" Target="worksheets/sheet497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466" Type="http://schemas.openxmlformats.org/officeDocument/2006/relationships/worksheet" Target="worksheets/sheet46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477" Type="http://schemas.openxmlformats.org/officeDocument/2006/relationships/worksheet" Target="worksheets/sheet477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502" Type="http://schemas.openxmlformats.org/officeDocument/2006/relationships/calcChain" Target="calcChain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46" Type="http://schemas.openxmlformats.org/officeDocument/2006/relationships/worksheet" Target="worksheets/sheet446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88" Type="http://schemas.openxmlformats.org/officeDocument/2006/relationships/worksheet" Target="worksheets/sheet488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457" Type="http://schemas.openxmlformats.org/officeDocument/2006/relationships/worksheet" Target="worksheets/sheet457.xml"/><Relationship Id="rId261" Type="http://schemas.openxmlformats.org/officeDocument/2006/relationships/worksheet" Target="worksheets/sheet261.xml"/><Relationship Id="rId499" Type="http://schemas.openxmlformats.org/officeDocument/2006/relationships/theme" Target="theme/theme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437" Type="http://schemas.openxmlformats.org/officeDocument/2006/relationships/worksheet" Target="worksheets/sheet437.xml"/><Relationship Id="rId479" Type="http://schemas.openxmlformats.org/officeDocument/2006/relationships/worksheet" Target="worksheets/sheet479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490" Type="http://schemas.openxmlformats.org/officeDocument/2006/relationships/worksheet" Target="worksheets/sheet490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48" Type="http://schemas.openxmlformats.org/officeDocument/2006/relationships/worksheet" Target="worksheets/sheet448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459" Type="http://schemas.openxmlformats.org/officeDocument/2006/relationships/worksheet" Target="worksheets/sheet459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470" Type="http://schemas.openxmlformats.org/officeDocument/2006/relationships/worksheet" Target="worksheets/sheet470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439" Type="http://schemas.openxmlformats.org/officeDocument/2006/relationships/worksheet" Target="worksheets/sheet439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450" Type="http://schemas.openxmlformats.org/officeDocument/2006/relationships/worksheet" Target="worksheets/sheet450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492" Type="http://schemas.openxmlformats.org/officeDocument/2006/relationships/worksheet" Target="worksheets/sheet492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96" Type="http://schemas.openxmlformats.org/officeDocument/2006/relationships/worksheet" Target="worksheets/sheet296.xml"/><Relationship Id="rId461" Type="http://schemas.openxmlformats.org/officeDocument/2006/relationships/worksheet" Target="worksheets/sheet461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63" Type="http://schemas.openxmlformats.org/officeDocument/2006/relationships/worksheet" Target="worksheets/sheet363.xml"/><Relationship Id="rId419" Type="http://schemas.openxmlformats.org/officeDocument/2006/relationships/worksheet" Target="worksheets/sheet419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76" Type="http://schemas.openxmlformats.org/officeDocument/2006/relationships/worksheet" Target="worksheets/sheet276.xml"/><Relationship Id="rId441" Type="http://schemas.openxmlformats.org/officeDocument/2006/relationships/worksheet" Target="worksheets/sheet441.xml"/><Relationship Id="rId483" Type="http://schemas.openxmlformats.org/officeDocument/2006/relationships/worksheet" Target="worksheets/sheet483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43" Type="http://schemas.openxmlformats.org/officeDocument/2006/relationships/worksheet" Target="worksheets/sheet343.xml"/><Relationship Id="rId82" Type="http://schemas.openxmlformats.org/officeDocument/2006/relationships/worksheet" Target="worksheets/sheet82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245" Type="http://schemas.openxmlformats.org/officeDocument/2006/relationships/worksheet" Target="worksheets/sheet24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52" Type="http://schemas.openxmlformats.org/officeDocument/2006/relationships/worksheet" Target="worksheets/sheet452.xml"/><Relationship Id="rId494" Type="http://schemas.openxmlformats.org/officeDocument/2006/relationships/worksheet" Target="worksheets/sheet494.xml"/><Relationship Id="rId105" Type="http://schemas.openxmlformats.org/officeDocument/2006/relationships/worksheet" Target="worksheets/sheet105.xml"/><Relationship Id="rId147" Type="http://schemas.openxmlformats.org/officeDocument/2006/relationships/worksheet" Target="worksheets/sheet147.xml"/><Relationship Id="rId312" Type="http://schemas.openxmlformats.org/officeDocument/2006/relationships/worksheet" Target="worksheets/sheet312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214" Type="http://schemas.openxmlformats.org/officeDocument/2006/relationships/worksheet" Target="worksheets/sheet214.xml"/><Relationship Id="rId256" Type="http://schemas.openxmlformats.org/officeDocument/2006/relationships/worksheet" Target="worksheets/sheet256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463" Type="http://schemas.openxmlformats.org/officeDocument/2006/relationships/worksheet" Target="worksheets/sheet463.xml"/><Relationship Id="rId116" Type="http://schemas.openxmlformats.org/officeDocument/2006/relationships/worksheet" Target="worksheets/sheet116.xml"/><Relationship Id="rId158" Type="http://schemas.openxmlformats.org/officeDocument/2006/relationships/worksheet" Target="worksheets/sheet158.xml"/><Relationship Id="rId323" Type="http://schemas.openxmlformats.org/officeDocument/2006/relationships/worksheet" Target="worksheets/sheet323.xml"/><Relationship Id="rId20" Type="http://schemas.openxmlformats.org/officeDocument/2006/relationships/worksheet" Target="worksheets/sheet20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225" Type="http://schemas.openxmlformats.org/officeDocument/2006/relationships/worksheet" Target="worksheets/sheet225.xml"/><Relationship Id="rId267" Type="http://schemas.openxmlformats.org/officeDocument/2006/relationships/worksheet" Target="worksheets/sheet267.xml"/><Relationship Id="rId432" Type="http://schemas.openxmlformats.org/officeDocument/2006/relationships/worksheet" Target="worksheets/sheet432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443" Type="http://schemas.openxmlformats.org/officeDocument/2006/relationships/worksheet" Target="worksheets/sheet443.xml"/><Relationship Id="rId464" Type="http://schemas.openxmlformats.org/officeDocument/2006/relationships/worksheet" Target="worksheets/sheet464.xml"/><Relationship Id="rId303" Type="http://schemas.openxmlformats.org/officeDocument/2006/relationships/worksheet" Target="worksheets/sheet303.xml"/><Relationship Id="rId485" Type="http://schemas.openxmlformats.org/officeDocument/2006/relationships/worksheet" Target="worksheets/sheet485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496" Type="http://schemas.openxmlformats.org/officeDocument/2006/relationships/worksheet" Target="worksheets/sheet496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worksheet" Target="worksheets/sheet476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501" Type="http://schemas.openxmlformats.org/officeDocument/2006/relationships/sharedStrings" Target="sharedStrings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487" Type="http://schemas.openxmlformats.org/officeDocument/2006/relationships/worksheet" Target="worksheets/sheet487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498" Type="http://schemas.openxmlformats.org/officeDocument/2006/relationships/worksheet" Target="worksheets/sheet498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480" Type="http://schemas.openxmlformats.org/officeDocument/2006/relationships/worksheet" Target="worksheets/sheet480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482" Type="http://schemas.openxmlformats.org/officeDocument/2006/relationships/worksheet" Target="worksheets/sheet482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493" Type="http://schemas.openxmlformats.org/officeDocument/2006/relationships/worksheet" Target="worksheets/sheet493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0.bin"/></Relationships>
</file>

<file path=xl/worksheets/_rels/sheet4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1.bin"/></Relationships>
</file>

<file path=xl/worksheets/_rels/sheet4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2.bin"/></Relationships>
</file>

<file path=xl/worksheets/_rels/sheet4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3.bin"/></Relationships>
</file>

<file path=xl/worksheets/_rels/sheet4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4.bin"/></Relationships>
</file>

<file path=xl/worksheets/_rels/sheet4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5.bin"/></Relationships>
</file>

<file path=xl/worksheets/_rels/sheet4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6.bin"/></Relationships>
</file>

<file path=xl/worksheets/_rels/sheet4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7.bin"/></Relationships>
</file>

<file path=xl/worksheets/_rels/sheet4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8.bin"/></Relationships>
</file>

<file path=xl/worksheets/_rels/sheet4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0.bin"/></Relationships>
</file>

<file path=xl/worksheets/_rels/sheet4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1.bin"/></Relationships>
</file>

<file path=xl/worksheets/_rels/sheet4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2.bin"/></Relationships>
</file>

<file path=xl/worksheets/_rels/sheet4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3.bin"/></Relationships>
</file>

<file path=xl/worksheets/_rels/sheet4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4.bin"/></Relationships>
</file>

<file path=xl/worksheets/_rels/sheet4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5.bin"/></Relationships>
</file>

<file path=xl/worksheets/_rels/sheet4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6.bin"/></Relationships>
</file>

<file path=xl/worksheets/_rels/sheet4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7.bin"/></Relationships>
</file>

<file path=xl/worksheets/_rels/sheet4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8.bin"/></Relationships>
</file>

<file path=xl/worksheets/_rels/sheet4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0.bin"/></Relationships>
</file>

<file path=xl/worksheets/_rels/sheet4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1.bin"/></Relationships>
</file>

<file path=xl/worksheets/_rels/sheet4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2.bin"/></Relationships>
</file>

<file path=xl/worksheets/_rels/sheet4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3.bin"/></Relationships>
</file>

<file path=xl/worksheets/_rels/sheet4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4.bin"/></Relationships>
</file>

<file path=xl/worksheets/_rels/sheet4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5.bin"/></Relationships>
</file>

<file path=xl/worksheets/_rels/sheet4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6.bin"/></Relationships>
</file>

<file path=xl/worksheets/_rels/sheet4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7.bin"/></Relationships>
</file>

<file path=xl/worksheets/_rels/sheet4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8.bin"/></Relationships>
</file>

<file path=xl/worksheets/_rels/sheet4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0.bin"/></Relationships>
</file>

<file path=xl/worksheets/_rels/sheet4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1.bin"/></Relationships>
</file>

<file path=xl/worksheets/_rels/sheet4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2.bin"/></Relationships>
</file>

<file path=xl/worksheets/_rels/sheet4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3.bin"/></Relationships>
</file>

<file path=xl/worksheets/_rels/sheet4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4.bin"/></Relationships>
</file>

<file path=xl/worksheets/_rels/sheet4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5.bin"/></Relationships>
</file>

<file path=xl/worksheets/_rels/sheet4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6.bin"/></Relationships>
</file>

<file path=xl/worksheets/_rels/sheet4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7.bin"/></Relationships>
</file>

<file path=xl/worksheets/_rels/sheet4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8.bin"/></Relationships>
</file>

<file path=xl/worksheets/_rels/sheet4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0.bin"/></Relationships>
</file>

<file path=xl/worksheets/_rels/sheet4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1.bin"/></Relationships>
</file>

<file path=xl/worksheets/_rels/sheet4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2.bin"/></Relationships>
</file>

<file path=xl/worksheets/_rels/sheet4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3.bin"/></Relationships>
</file>

<file path=xl/worksheets/_rels/sheet4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4.bin"/></Relationships>
</file>

<file path=xl/worksheets/_rels/sheet4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5.bin"/></Relationships>
</file>

<file path=xl/worksheets/_rels/sheet4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6.bin"/></Relationships>
</file>

<file path=xl/worksheets/_rels/sheet4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7.bin"/></Relationships>
</file>

<file path=xl/worksheets/_rels/sheet4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8.bin"/></Relationships>
</file>

<file path=xl/worksheets/_rels/sheet4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0.bin"/></Relationships>
</file>

<file path=xl/worksheets/_rels/sheet4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1.bin"/></Relationships>
</file>

<file path=xl/worksheets/_rels/sheet4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2.bin"/></Relationships>
</file>

<file path=xl/worksheets/_rels/sheet4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3.bin"/></Relationships>
</file>

<file path=xl/worksheets/_rels/sheet4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4.bin"/></Relationships>
</file>

<file path=xl/worksheets/_rels/sheet4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5.bin"/></Relationships>
</file>

<file path=xl/worksheets/_rels/sheet4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6.bin"/></Relationships>
</file>

<file path=xl/worksheets/_rels/sheet4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7.bin"/></Relationships>
</file>

<file path=xl/worksheets/_rels/sheet4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8.bin"/></Relationships>
</file>

<file path=xl/worksheets/_rels/sheet4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4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0.bin"/></Relationships>
</file>

<file path=xl/worksheets/_rels/sheet4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1.bin"/></Relationships>
</file>

<file path=xl/worksheets/_rels/sheet4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2.bin"/></Relationships>
</file>

<file path=xl/worksheets/_rels/sheet4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3.bin"/></Relationships>
</file>

<file path=xl/worksheets/_rels/sheet4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4.bin"/></Relationships>
</file>

<file path=xl/worksheets/_rels/sheet4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5.bin"/></Relationships>
</file>

<file path=xl/worksheets/_rels/sheet4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6.bin"/></Relationships>
</file>

<file path=xl/worksheets/_rels/sheet4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7.bin"/></Relationships>
</file>

<file path=xl/worksheets/_rels/sheet4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G22"/>
  <sheetViews>
    <sheetView zoomScale="145" zoomScaleNormal="145" workbookViewId="0">
      <selection activeCell="F7" sqref="F7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2.140625" style="1" customWidth="1"/>
    <col min="4" max="4" width="5" style="1" customWidth="1"/>
    <col min="5" max="5" width="5.7109375" style="1" customWidth="1"/>
    <col min="6" max="6" width="18.140625" style="1" customWidth="1"/>
    <col min="7" max="7" width="18.28515625" style="1" customWidth="1"/>
    <col min="8" max="16384" width="9.140625" style="1"/>
  </cols>
  <sheetData>
    <row r="3" spans="1:7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7">
      <c r="A4" s="4">
        <v>1</v>
      </c>
      <c r="B4" s="4" t="s">
        <v>4</v>
      </c>
      <c r="C4" s="4">
        <v>496500</v>
      </c>
      <c r="D4" s="4"/>
      <c r="E4" s="4">
        <v>1</v>
      </c>
      <c r="F4" s="4" t="s">
        <v>5</v>
      </c>
      <c r="G4" s="4">
        <v>600000</v>
      </c>
    </row>
    <row r="5" spans="1:7">
      <c r="A5" s="4">
        <v>2</v>
      </c>
      <c r="B5" s="4" t="s">
        <v>6</v>
      </c>
      <c r="C5" s="4">
        <v>169631</v>
      </c>
      <c r="D5" s="4"/>
      <c r="E5" s="4">
        <v>2</v>
      </c>
      <c r="F5" s="4"/>
      <c r="G5" s="4"/>
    </row>
    <row r="6" spans="1:7">
      <c r="A6" s="4">
        <v>3</v>
      </c>
      <c r="B6" s="4" t="s">
        <v>7</v>
      </c>
      <c r="C6" s="4">
        <v>20000</v>
      </c>
      <c r="D6" s="4"/>
      <c r="E6" s="4">
        <v>3</v>
      </c>
      <c r="F6" s="4"/>
      <c r="G6" s="4"/>
    </row>
    <row r="7" spans="1:7">
      <c r="A7" s="4">
        <v>4</v>
      </c>
      <c r="B7" s="4" t="s">
        <v>8</v>
      </c>
      <c r="C7" s="4">
        <v>50000</v>
      </c>
      <c r="D7" s="4"/>
      <c r="E7" s="4">
        <v>4</v>
      </c>
      <c r="F7" s="4" t="s">
        <v>9</v>
      </c>
      <c r="G7" s="4">
        <v>250</v>
      </c>
    </row>
    <row r="8" spans="1:7">
      <c r="A8" s="4">
        <v>5</v>
      </c>
      <c r="B8" s="4"/>
      <c r="C8" s="4"/>
      <c r="D8" s="4"/>
      <c r="E8" s="4">
        <v>5</v>
      </c>
      <c r="F8" s="4" t="s">
        <v>10</v>
      </c>
      <c r="G8" s="4">
        <v>273</v>
      </c>
    </row>
    <row r="9" spans="1:7">
      <c r="A9" s="4">
        <v>6</v>
      </c>
      <c r="B9" s="4"/>
      <c r="C9" s="4"/>
      <c r="D9" s="4"/>
      <c r="E9" s="4">
        <v>6</v>
      </c>
      <c r="F9" s="4"/>
      <c r="G9" s="4"/>
    </row>
    <row r="10" spans="1:7">
      <c r="A10" s="4">
        <v>7</v>
      </c>
      <c r="B10" s="4"/>
      <c r="C10" s="4"/>
      <c r="D10" s="4"/>
      <c r="E10" s="4">
        <v>7</v>
      </c>
      <c r="F10" s="4"/>
      <c r="G10" s="4"/>
    </row>
    <row r="11" spans="1:7">
      <c r="A11" s="4">
        <v>8</v>
      </c>
      <c r="B11" s="4"/>
      <c r="C11" s="4"/>
      <c r="D11" s="4"/>
      <c r="E11" s="4">
        <v>8</v>
      </c>
      <c r="F11" s="4"/>
      <c r="G11" s="4"/>
    </row>
    <row r="12" spans="1:7">
      <c r="A12" s="4">
        <v>9</v>
      </c>
      <c r="B12" s="4"/>
      <c r="C12" s="4"/>
      <c r="D12" s="4"/>
      <c r="E12" s="4">
        <v>9</v>
      </c>
      <c r="F12" s="4"/>
      <c r="G12" s="4"/>
    </row>
    <row r="13" spans="1:7">
      <c r="A13" s="4">
        <v>10</v>
      </c>
      <c r="B13" s="4"/>
      <c r="C13" s="4"/>
      <c r="D13" s="4"/>
      <c r="E13" s="4">
        <v>10</v>
      </c>
      <c r="F13" s="4"/>
      <c r="G13" s="4"/>
    </row>
    <row r="14" spans="1:7">
      <c r="A14" s="4">
        <v>11</v>
      </c>
      <c r="B14" s="4"/>
      <c r="C14" s="4"/>
      <c r="D14" s="4"/>
      <c r="E14" s="4">
        <v>11</v>
      </c>
      <c r="F14" s="4" t="s">
        <v>11</v>
      </c>
      <c r="G14" s="4">
        <v>3033</v>
      </c>
    </row>
    <row r="15" spans="1:7">
      <c r="A15" s="4">
        <v>12</v>
      </c>
      <c r="B15" s="4"/>
      <c r="C15" s="4"/>
      <c r="D15" s="4"/>
      <c r="E15" s="4">
        <v>12</v>
      </c>
      <c r="F15" s="4" t="s">
        <v>6</v>
      </c>
      <c r="G15" s="4">
        <v>69099</v>
      </c>
    </row>
    <row r="16" spans="1:7">
      <c r="A16" s="4">
        <v>13</v>
      </c>
      <c r="B16" s="4"/>
      <c r="C16" s="4"/>
      <c r="D16" s="4"/>
      <c r="E16" s="4">
        <v>13</v>
      </c>
      <c r="F16" s="4"/>
      <c r="G16" s="4"/>
    </row>
    <row r="17" spans="1:7">
      <c r="A17" s="4">
        <v>14</v>
      </c>
      <c r="B17" s="4"/>
      <c r="C17" s="4"/>
      <c r="D17" s="4"/>
      <c r="E17" s="4">
        <v>14</v>
      </c>
      <c r="F17" s="4"/>
      <c r="G17" s="4"/>
    </row>
    <row r="18" spans="1:7">
      <c r="A18" s="4">
        <v>15</v>
      </c>
      <c r="B18" s="4"/>
      <c r="C18" s="4"/>
      <c r="D18" s="4"/>
      <c r="E18" s="4">
        <v>15</v>
      </c>
      <c r="F18" s="4"/>
      <c r="G18" s="4"/>
    </row>
    <row r="19" spans="1:7">
      <c r="A19" s="5"/>
      <c r="B19" s="5"/>
      <c r="C19" s="5">
        <f>SUM(C4:C18)</f>
        <v>736131</v>
      </c>
      <c r="D19" s="5"/>
      <c r="E19" s="5"/>
      <c r="F19" s="5"/>
      <c r="G19" s="5">
        <f>SUM(G4:G18)</f>
        <v>672655</v>
      </c>
    </row>
    <row r="20" spans="1:7">
      <c r="A20" s="5"/>
      <c r="B20" s="5"/>
      <c r="C20" s="5"/>
      <c r="D20" s="5"/>
      <c r="E20" s="5"/>
      <c r="F20" s="5"/>
      <c r="G20" s="5"/>
    </row>
    <row r="21" spans="1:7">
      <c r="A21" s="5"/>
      <c r="B21" s="5"/>
      <c r="C21" s="5"/>
      <c r="D21" s="5"/>
      <c r="E21" s="5"/>
      <c r="F21" s="5"/>
      <c r="G21" s="5"/>
    </row>
    <row r="22" spans="1:7">
      <c r="A22" s="5"/>
      <c r="B22" s="5" t="s">
        <v>12</v>
      </c>
      <c r="C22" s="5">
        <f>C19-G19</f>
        <v>63476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22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63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f>650000+105000</f>
        <v>755000</v>
      </c>
      <c r="D4" s="4"/>
      <c r="E4" s="4">
        <v>1</v>
      </c>
      <c r="F4" s="4" t="s">
        <v>5</v>
      </c>
      <c r="G4" s="4">
        <v>300000</v>
      </c>
    </row>
    <row r="5" spans="1:11">
      <c r="A5" s="4">
        <v>2</v>
      </c>
      <c r="B5" s="4" t="s">
        <v>6</v>
      </c>
      <c r="C5" s="4">
        <v>120700</v>
      </c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64</v>
      </c>
      <c r="C6" s="4">
        <v>123090</v>
      </c>
      <c r="D6" s="4"/>
      <c r="E6" s="4">
        <v>3</v>
      </c>
      <c r="F6" s="4" t="s">
        <v>38</v>
      </c>
      <c r="G6" s="4">
        <v>650000</v>
      </c>
    </row>
    <row r="7" spans="1:11">
      <c r="A7" s="4">
        <v>4</v>
      </c>
      <c r="B7" s="4" t="s">
        <v>8</v>
      </c>
      <c r="C7" s="4">
        <v>70000</v>
      </c>
      <c r="D7" s="4"/>
      <c r="E7" s="4">
        <v>4</v>
      </c>
      <c r="F7" s="4" t="s">
        <v>39</v>
      </c>
      <c r="G7" s="4">
        <v>220</v>
      </c>
      <c r="K7" s="1">
        <f>30*20</f>
        <v>600</v>
      </c>
    </row>
    <row r="8" spans="1:11">
      <c r="A8" s="4">
        <v>5</v>
      </c>
      <c r="B8" s="4" t="s">
        <v>58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/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59</v>
      </c>
      <c r="G10" s="4"/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27</v>
      </c>
      <c r="G11" s="4">
        <v>30000</v>
      </c>
    </row>
    <row r="12" spans="1:11">
      <c r="A12" s="4">
        <v>9</v>
      </c>
      <c r="B12" s="4"/>
      <c r="C12" s="4"/>
      <c r="D12" s="4"/>
      <c r="E12" s="4">
        <v>9</v>
      </c>
      <c r="F12" s="4" t="s">
        <v>65</v>
      </c>
      <c r="G12" s="4">
        <v>500</v>
      </c>
    </row>
    <row r="13" spans="1:11">
      <c r="A13" s="4">
        <v>10</v>
      </c>
      <c r="B13" s="4"/>
      <c r="C13" s="4"/>
      <c r="D13" s="4"/>
      <c r="E13" s="4">
        <v>10</v>
      </c>
      <c r="F13" s="4" t="s">
        <v>66</v>
      </c>
      <c r="G13" s="4">
        <v>3000</v>
      </c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53186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1">
      <c r="A17" s="4">
        <v>14</v>
      </c>
      <c r="B17" s="4"/>
      <c r="C17" s="4"/>
      <c r="D17" s="4"/>
      <c r="E17" s="4">
        <v>14</v>
      </c>
      <c r="F17" s="4"/>
      <c r="G17" s="4"/>
    </row>
    <row r="18" spans="1:11">
      <c r="A18" s="4">
        <v>15</v>
      </c>
      <c r="B18" s="4"/>
      <c r="C18" s="4"/>
      <c r="D18" s="4"/>
      <c r="E18" s="4">
        <v>15</v>
      </c>
      <c r="F18" s="4"/>
      <c r="G18" s="4"/>
    </row>
    <row r="19" spans="1:11">
      <c r="A19" s="5"/>
      <c r="B19" s="5"/>
      <c r="C19" s="5">
        <f>SUM(C4:C18)</f>
        <v>1068790</v>
      </c>
      <c r="D19" s="5"/>
      <c r="E19" s="5"/>
      <c r="F19" s="5"/>
      <c r="G19" s="5">
        <f>SUM(G4:G18)</f>
        <v>1037156</v>
      </c>
    </row>
    <row r="20" spans="1:11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1">
      <c r="A21" s="5"/>
      <c r="B21" s="5"/>
      <c r="C21" s="5"/>
      <c r="D21" s="5"/>
      <c r="E21" s="5"/>
      <c r="F21" s="5"/>
      <c r="G21" s="5"/>
    </row>
    <row r="22" spans="1:11">
      <c r="A22" s="5"/>
      <c r="B22" s="5" t="s">
        <v>12</v>
      </c>
      <c r="C22" s="5">
        <f>C19-G19</f>
        <v>31634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P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300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f>353690+50000</f>
        <v>403690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166707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7</v>
      </c>
      <c r="C7" s="4">
        <v>50000</v>
      </c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23</v>
      </c>
      <c r="C8" s="4">
        <v>37500</v>
      </c>
      <c r="D8" s="4"/>
      <c r="E8" s="4">
        <v>5</v>
      </c>
      <c r="F8" s="4" t="s">
        <v>9</v>
      </c>
      <c r="G8" s="4">
        <v>290</v>
      </c>
      <c r="K8" s="1">
        <f>310+200</f>
        <v>510</v>
      </c>
    </row>
    <row r="9" spans="1:16">
      <c r="A9" s="4">
        <v>6</v>
      </c>
      <c r="B9" s="4" t="s">
        <v>24</v>
      </c>
      <c r="C9" s="4">
        <v>32000</v>
      </c>
      <c r="D9" s="4"/>
      <c r="E9" s="4">
        <v>6</v>
      </c>
      <c r="F9" s="4" t="s">
        <v>52</v>
      </c>
      <c r="G9" s="4">
        <v>100000</v>
      </c>
      <c r="K9" s="1">
        <v>80</v>
      </c>
    </row>
    <row r="10" spans="1:16">
      <c r="A10" s="4">
        <v>7</v>
      </c>
      <c r="B10" s="4" t="s">
        <v>133</v>
      </c>
      <c r="C10" s="4"/>
      <c r="D10" s="4"/>
      <c r="E10" s="4">
        <v>7</v>
      </c>
      <c r="F10" s="4" t="s">
        <v>20</v>
      </c>
      <c r="G10" s="4">
        <v>270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301</v>
      </c>
      <c r="C11" s="4">
        <v>50000</v>
      </c>
      <c r="D11" s="4"/>
      <c r="E11" s="4">
        <v>8</v>
      </c>
      <c r="F11" s="4" t="s">
        <v>303</v>
      </c>
      <c r="G11" s="4">
        <v>2200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>
        <v>10000</v>
      </c>
      <c r="D12" s="4"/>
      <c r="E12" s="4">
        <v>9</v>
      </c>
      <c r="F12" s="8" t="s">
        <v>144</v>
      </c>
      <c r="G12" s="4"/>
      <c r="I12" s="1">
        <f>C6-10430</f>
        <v>156277</v>
      </c>
      <c r="K12" s="1">
        <f>27-33</f>
        <v>-6</v>
      </c>
    </row>
    <row r="13" spans="1:16">
      <c r="A13" s="4">
        <v>10</v>
      </c>
      <c r="B13" s="4" t="s">
        <v>299</v>
      </c>
      <c r="C13" s="4"/>
      <c r="D13" s="4"/>
      <c r="E13" s="4">
        <v>10</v>
      </c>
      <c r="F13" s="4" t="s">
        <v>302</v>
      </c>
      <c r="G13" s="4">
        <v>50000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184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297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91472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749897</v>
      </c>
      <c r="D19" s="5"/>
      <c r="E19" s="5"/>
      <c r="F19" s="5"/>
      <c r="G19" s="5">
        <f>SUM(G4:G18)</f>
        <v>744547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5350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P34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304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7</v>
      </c>
      <c r="C7" s="4">
        <v>153195</v>
      </c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23</v>
      </c>
      <c r="C8" s="4"/>
      <c r="D8" s="4"/>
      <c r="E8" s="4">
        <v>5</v>
      </c>
      <c r="F8" s="4" t="s">
        <v>9</v>
      </c>
      <c r="G8" s="4">
        <v>50</v>
      </c>
      <c r="K8" s="1">
        <f>310+200</f>
        <v>510</v>
      </c>
    </row>
    <row r="9" spans="1:16">
      <c r="A9" s="4">
        <v>6</v>
      </c>
      <c r="B9" s="4" t="s">
        <v>24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306</v>
      </c>
      <c r="C10" s="4">
        <v>30000</v>
      </c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301</v>
      </c>
      <c r="C11" s="4"/>
      <c r="D11" s="4"/>
      <c r="E11" s="4">
        <v>8</v>
      </c>
      <c r="F11" s="4" t="s">
        <v>303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8" t="s">
        <v>305</v>
      </c>
      <c r="G12" s="4">
        <v>12600</v>
      </c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299</v>
      </c>
      <c r="C13" s="4"/>
      <c r="D13" s="4"/>
      <c r="E13" s="4">
        <v>10</v>
      </c>
      <c r="F13" s="4" t="s">
        <v>302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184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297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135044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183195</v>
      </c>
      <c r="D19" s="5"/>
      <c r="E19" s="5"/>
      <c r="F19" s="5"/>
      <c r="G19" s="5">
        <f>SUM(G4:G18)</f>
        <v>147694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35501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P34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307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581500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135064</v>
      </c>
      <c r="D6" s="4"/>
      <c r="E6" s="4">
        <v>3</v>
      </c>
      <c r="F6" s="4" t="s">
        <v>38</v>
      </c>
      <c r="G6" s="4">
        <v>340000</v>
      </c>
      <c r="N6" s="1">
        <f>190+120</f>
        <v>310</v>
      </c>
    </row>
    <row r="7" spans="1:16">
      <c r="A7" s="4">
        <v>4</v>
      </c>
      <c r="B7" s="4" t="s">
        <v>7</v>
      </c>
      <c r="C7" s="4">
        <v>40000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24</v>
      </c>
      <c r="C9" s="4">
        <v>500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306</v>
      </c>
      <c r="C10" s="4"/>
      <c r="D10" s="4"/>
      <c r="E10" s="4">
        <v>7</v>
      </c>
      <c r="F10" s="4" t="s">
        <v>20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301</v>
      </c>
      <c r="C11" s="4"/>
      <c r="D11" s="4"/>
      <c r="E11" s="4">
        <v>8</v>
      </c>
      <c r="F11" s="4" t="s">
        <v>303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8" t="s">
        <v>305</v>
      </c>
      <c r="G12" s="4"/>
      <c r="I12" s="1">
        <f>C6-10430</f>
        <v>124634</v>
      </c>
      <c r="K12" s="1">
        <f>27-33</f>
        <v>-6</v>
      </c>
    </row>
    <row r="13" spans="1:16">
      <c r="A13" s="4">
        <v>10</v>
      </c>
      <c r="B13" s="4" t="s">
        <v>299</v>
      </c>
      <c r="C13" s="4"/>
      <c r="D13" s="4"/>
      <c r="E13" s="4">
        <v>10</v>
      </c>
      <c r="F13" s="4" t="s">
        <v>117</v>
      </c>
      <c r="G13" s="4">
        <v>450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184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297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115499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857064</v>
      </c>
      <c r="D19" s="5"/>
      <c r="E19" s="5"/>
      <c r="F19" s="5"/>
      <c r="G19" s="5">
        <f>SUM(G4:G18)</f>
        <v>856664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400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P34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308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330990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115500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7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24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306</v>
      </c>
      <c r="C10" s="4"/>
      <c r="D10" s="4"/>
      <c r="E10" s="4">
        <v>7</v>
      </c>
      <c r="F10" s="4" t="s">
        <v>20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301</v>
      </c>
      <c r="C11" s="4"/>
      <c r="D11" s="4"/>
      <c r="E11" s="4">
        <v>8</v>
      </c>
      <c r="F11" s="4" t="s">
        <v>303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8" t="s">
        <v>305</v>
      </c>
      <c r="G12" s="4"/>
      <c r="I12" s="1">
        <f>C6-10430</f>
        <v>105070</v>
      </c>
      <c r="K12" s="1">
        <f>27-33</f>
        <v>-6</v>
      </c>
    </row>
    <row r="13" spans="1:16">
      <c r="A13" s="4">
        <v>10</v>
      </c>
      <c r="B13" s="4" t="s">
        <v>299</v>
      </c>
      <c r="C13" s="4"/>
      <c r="D13" s="4"/>
      <c r="E13" s="4">
        <v>10</v>
      </c>
      <c r="F13" s="4" t="s">
        <v>309</v>
      </c>
      <c r="G13" s="4">
        <v>3000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184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297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71580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446490</v>
      </c>
      <c r="D19" s="5"/>
      <c r="E19" s="5"/>
      <c r="F19" s="5"/>
      <c r="G19" s="5">
        <f>SUM(G4:G18)</f>
        <v>425245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21245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P34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310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464300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155951</v>
      </c>
      <c r="D6" s="4"/>
      <c r="E6" s="4">
        <v>3</v>
      </c>
      <c r="F6" s="4" t="s">
        <v>38</v>
      </c>
      <c r="G6" s="4">
        <v>350000</v>
      </c>
      <c r="N6" s="1">
        <f>190+120</f>
        <v>310</v>
      </c>
    </row>
    <row r="7" spans="1:16">
      <c r="A7" s="4">
        <v>4</v>
      </c>
      <c r="B7" s="4" t="s">
        <v>58</v>
      </c>
      <c r="C7" s="4">
        <v>100000</v>
      </c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24</v>
      </c>
      <c r="C9" s="4"/>
      <c r="D9" s="4"/>
      <c r="E9" s="4">
        <v>6</v>
      </c>
      <c r="F9" s="4" t="s">
        <v>52</v>
      </c>
      <c r="G9" s="4">
        <v>71710</v>
      </c>
      <c r="K9" s="1">
        <v>80</v>
      </c>
    </row>
    <row r="10" spans="1:16">
      <c r="A10" s="4">
        <v>7</v>
      </c>
      <c r="B10" s="4" t="s">
        <v>306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301</v>
      </c>
      <c r="C11" s="4"/>
      <c r="D11" s="4"/>
      <c r="E11" s="4">
        <v>8</v>
      </c>
      <c r="F11" s="4" t="s">
        <v>303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8" t="s">
        <v>146</v>
      </c>
      <c r="G12" s="4">
        <v>67600</v>
      </c>
      <c r="I12" s="1">
        <f>C6-10430</f>
        <v>145521</v>
      </c>
      <c r="K12" s="1">
        <f>27-33</f>
        <v>-6</v>
      </c>
    </row>
    <row r="13" spans="1:16">
      <c r="A13" s="4">
        <v>10</v>
      </c>
      <c r="B13" s="4" t="s">
        <v>299</v>
      </c>
      <c r="C13" s="4"/>
      <c r="D13" s="4"/>
      <c r="E13" s="4">
        <v>10</v>
      </c>
      <c r="F13" s="4" t="s">
        <v>311</v>
      </c>
      <c r="G13" s="4">
        <v>100000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312</v>
      </c>
      <c r="G14" s="4">
        <v>9000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297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94973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720251</v>
      </c>
      <c r="D19" s="5"/>
      <c r="E19" s="5"/>
      <c r="F19" s="5"/>
      <c r="G19" s="5">
        <f>SUM(G4:G18)</f>
        <v>693633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26618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P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313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145740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94973</v>
      </c>
      <c r="D6" s="4"/>
      <c r="E6" s="4">
        <v>3</v>
      </c>
      <c r="F6" s="4" t="s">
        <v>38</v>
      </c>
      <c r="G6" s="4">
        <v>400000</v>
      </c>
      <c r="N6" s="1">
        <f>190+120</f>
        <v>310</v>
      </c>
    </row>
    <row r="7" spans="1:16">
      <c r="A7" s="4">
        <v>4</v>
      </c>
      <c r="B7" s="4" t="s">
        <v>292</v>
      </c>
      <c r="C7" s="4">
        <v>200000</v>
      </c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7</v>
      </c>
      <c r="C9" s="4">
        <v>50000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314</v>
      </c>
      <c r="C10" s="4">
        <v>14000</v>
      </c>
      <c r="D10" s="4"/>
      <c r="E10" s="4">
        <v>7</v>
      </c>
      <c r="F10" s="4" t="s">
        <v>20</v>
      </c>
      <c r="G10" s="4">
        <v>230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131</v>
      </c>
      <c r="C11" s="4">
        <v>5000</v>
      </c>
      <c r="D11" s="4"/>
      <c r="E11" s="4">
        <v>8</v>
      </c>
      <c r="F11" s="4" t="s">
        <v>303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10000</v>
      </c>
      <c r="D12" s="4"/>
      <c r="E12" s="4">
        <v>9</v>
      </c>
      <c r="F12" s="8" t="s">
        <v>27</v>
      </c>
      <c r="G12" s="4">
        <v>5000</v>
      </c>
      <c r="I12" s="1">
        <f>C6-10430</f>
        <v>84543</v>
      </c>
      <c r="K12" s="1">
        <f>27-33</f>
        <v>-6</v>
      </c>
    </row>
    <row r="13" spans="1:16">
      <c r="A13" s="4">
        <v>10</v>
      </c>
      <c r="B13" s="4" t="s">
        <v>233</v>
      </c>
      <c r="C13" s="4">
        <v>5000</v>
      </c>
      <c r="D13" s="4"/>
      <c r="E13" s="4">
        <v>10</v>
      </c>
      <c r="F13" s="4" t="s">
        <v>206</v>
      </c>
      <c r="G13" s="4">
        <v>3000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114</v>
      </c>
      <c r="G14" s="4">
        <v>5500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297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57731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624713</v>
      </c>
      <c r="D19" s="5"/>
      <c r="E19" s="5"/>
      <c r="F19" s="5"/>
      <c r="G19" s="5">
        <f>SUM(G4:G18)</f>
        <v>621961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2752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P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315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f>82800+400000+34000</f>
        <v>516800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188736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98</v>
      </c>
      <c r="C7" s="4">
        <v>100000</v>
      </c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7</v>
      </c>
      <c r="C9" s="4"/>
      <c r="D9" s="4"/>
      <c r="E9" s="4">
        <v>6</v>
      </c>
      <c r="F9" s="4" t="s">
        <v>52</v>
      </c>
      <c r="G9" s="4">
        <v>82600</v>
      </c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4" t="s">
        <v>20</v>
      </c>
      <c r="G10" s="4">
        <f>120+90+20</f>
        <v>230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131</v>
      </c>
      <c r="C11" s="4"/>
      <c r="D11" s="4"/>
      <c r="E11" s="4">
        <v>8</v>
      </c>
      <c r="F11" s="4" t="s">
        <v>317</v>
      </c>
      <c r="G11" s="4">
        <v>800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8" t="s">
        <v>27</v>
      </c>
      <c r="G12" s="4"/>
      <c r="I12" s="1">
        <f>C6-10430</f>
        <v>178306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206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114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316</v>
      </c>
      <c r="G15" s="4">
        <v>49500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127846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805536</v>
      </c>
      <c r="D19" s="5"/>
      <c r="E19" s="5"/>
      <c r="F19" s="5"/>
      <c r="G19" s="5">
        <f>SUM(G4:G18)</f>
        <v>661291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144245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P34"/>
  <sheetViews>
    <sheetView zoomScale="145" zoomScaleNormal="145" workbookViewId="0">
      <selection activeCell="G8" sqref="G8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318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350200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>
        <v>50000</v>
      </c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166090</v>
      </c>
      <c r="D6" s="4"/>
      <c r="E6" s="4">
        <v>3</v>
      </c>
      <c r="F6" s="4" t="s">
        <v>38</v>
      </c>
      <c r="G6" s="4">
        <v>400000</v>
      </c>
      <c r="N6" s="1">
        <f>190+120</f>
        <v>310</v>
      </c>
    </row>
    <row r="7" spans="1:16">
      <c r="A7" s="4">
        <v>4</v>
      </c>
      <c r="B7" s="4" t="s">
        <v>4</v>
      </c>
      <c r="C7" s="4">
        <v>70000</v>
      </c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19</v>
      </c>
      <c r="C8" s="4">
        <v>75690</v>
      </c>
      <c r="D8" s="4"/>
      <c r="E8" s="4">
        <v>5</v>
      </c>
      <c r="F8" s="4" t="s">
        <v>9</v>
      </c>
      <c r="G8" s="4">
        <v>230</v>
      </c>
      <c r="K8" s="1">
        <f>310+200</f>
        <v>510</v>
      </c>
    </row>
    <row r="9" spans="1:16">
      <c r="A9" s="4">
        <v>6</v>
      </c>
      <c r="B9" s="4" t="s">
        <v>7</v>
      </c>
      <c r="C9" s="4">
        <v>30000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>
        <v>21000</v>
      </c>
      <c r="D11" s="4"/>
      <c r="E11" s="4">
        <v>8</v>
      </c>
      <c r="F11" s="4" t="s">
        <v>317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8" t="s">
        <v>311</v>
      </c>
      <c r="G12" s="4">
        <v>206000</v>
      </c>
      <c r="I12" s="1">
        <f>C6-10430</f>
        <v>155660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284</v>
      </c>
      <c r="G13" s="4">
        <v>50000</v>
      </c>
      <c r="K13" s="1">
        <f>591*13</f>
        <v>7683</v>
      </c>
    </row>
    <row r="14" spans="1:16">
      <c r="A14" s="4">
        <v>11</v>
      </c>
      <c r="B14" s="4" t="s">
        <v>129</v>
      </c>
      <c r="C14" s="4">
        <v>29000</v>
      </c>
      <c r="D14" s="4"/>
      <c r="E14" s="4">
        <v>11</v>
      </c>
      <c r="F14" s="4" t="s">
        <v>114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316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119020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791980</v>
      </c>
      <c r="D19" s="5"/>
      <c r="E19" s="5"/>
      <c r="F19" s="5"/>
      <c r="G19" s="5">
        <f>SUM(G4:G18)</f>
        <v>775350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16630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Q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321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783800</v>
      </c>
      <c r="D4" s="4"/>
      <c r="E4" s="4">
        <v>1</v>
      </c>
      <c r="F4" s="4" t="s">
        <v>5</v>
      </c>
      <c r="G4" s="4">
        <v>1016000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119020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4</v>
      </c>
      <c r="C7" s="4"/>
      <c r="D7" s="4"/>
      <c r="E7" s="4">
        <v>4</v>
      </c>
      <c r="F7" s="4" t="s">
        <v>39</v>
      </c>
      <c r="G7" s="4">
        <v>575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270</v>
      </c>
      <c r="K8" s="1">
        <f>310+200</f>
        <v>510</v>
      </c>
    </row>
    <row r="9" spans="1:16">
      <c r="A9" s="4">
        <v>6</v>
      </c>
      <c r="B9" s="4" t="s">
        <v>292</v>
      </c>
      <c r="C9" s="4">
        <v>200000</v>
      </c>
      <c r="D9" s="4"/>
      <c r="E9" s="4">
        <v>6</v>
      </c>
      <c r="F9" s="4" t="s">
        <v>317</v>
      </c>
      <c r="G9" s="4">
        <v>120</v>
      </c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4" t="s">
        <v>317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8" t="s">
        <v>323</v>
      </c>
      <c r="G12" s="4">
        <v>3000</v>
      </c>
      <c r="I12" s="1">
        <f>C6-10430</f>
        <v>108590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322</v>
      </c>
      <c r="G13" s="4">
        <v>5000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71</v>
      </c>
      <c r="G14" s="4">
        <v>9000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316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68629</v>
      </c>
      <c r="H16" s="1">
        <v>112975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1102820</v>
      </c>
      <c r="D19" s="5"/>
      <c r="E19" s="5"/>
      <c r="F19" s="5"/>
      <c r="G19" s="5">
        <f>SUM(G4:G18)</f>
        <v>1102594</v>
      </c>
      <c r="K19" s="1">
        <v>13860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7">
      <c r="A22" s="5"/>
      <c r="B22" s="5" t="s">
        <v>12</v>
      </c>
      <c r="C22" s="5">
        <f>C19-G19</f>
        <v>226</v>
      </c>
      <c r="D22" s="5"/>
      <c r="E22" s="5"/>
      <c r="F22" s="5"/>
      <c r="G22" s="5"/>
      <c r="K22" s="1">
        <v>4455</v>
      </c>
      <c r="Q22" s="1">
        <f>27038-12500</f>
        <v>14538</v>
      </c>
    </row>
    <row r="23" spans="1:17"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Q34"/>
  <sheetViews>
    <sheetView zoomScale="145" zoomScaleNormal="145" workbookViewId="0">
      <selection activeCell="F22" sqref="F2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324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416950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103084</v>
      </c>
      <c r="D6" s="4"/>
      <c r="E6" s="4">
        <v>3</v>
      </c>
      <c r="F6" s="4" t="s">
        <v>38</v>
      </c>
      <c r="G6" s="4">
        <v>400000</v>
      </c>
      <c r="N6" s="1">
        <f>190+120</f>
        <v>310</v>
      </c>
    </row>
    <row r="7" spans="1:16">
      <c r="A7" s="4">
        <v>4</v>
      </c>
      <c r="B7" s="4" t="s">
        <v>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292</v>
      </c>
      <c r="C9" s="4"/>
      <c r="D9" s="4"/>
      <c r="E9" s="4">
        <v>6</v>
      </c>
      <c r="F9" s="4" t="s">
        <v>317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4" t="s">
        <v>20</v>
      </c>
      <c r="G10" s="4">
        <v>325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4" t="s">
        <v>76</v>
      </c>
      <c r="G11" s="4">
        <v>12000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8" t="s">
        <v>325</v>
      </c>
      <c r="G12" s="4">
        <v>100</v>
      </c>
      <c r="I12" s="1">
        <f>C6-10430</f>
        <v>92654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322</v>
      </c>
      <c r="G13" s="4">
        <v>10000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326</v>
      </c>
      <c r="G14" s="4">
        <v>240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316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82045</v>
      </c>
      <c r="H16" s="1">
        <v>112975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520034</v>
      </c>
      <c r="D19" s="5"/>
      <c r="E19" s="5"/>
      <c r="F19" s="5"/>
      <c r="G19" s="5">
        <f>SUM(G4:G18)</f>
        <v>505060</v>
      </c>
      <c r="K19" s="1">
        <v>13860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7">
      <c r="A22" s="5"/>
      <c r="B22" s="5" t="s">
        <v>12</v>
      </c>
      <c r="C22" s="5">
        <f>C19-G19</f>
        <v>14974</v>
      </c>
      <c r="D22" s="5"/>
      <c r="E22" s="5"/>
      <c r="F22" s="5"/>
      <c r="G22" s="5"/>
      <c r="K22" s="1">
        <v>4455</v>
      </c>
      <c r="Q22" s="1">
        <f>27038-12500</f>
        <v>14538</v>
      </c>
    </row>
    <row r="23" spans="1:17"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22"/>
  <sheetViews>
    <sheetView topLeftCell="A4" zoomScale="145" zoomScaleNormal="145" workbookViewId="0">
      <selection activeCell="H16" sqref="H16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67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200000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6</v>
      </c>
      <c r="C5" s="4">
        <v>143276</v>
      </c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64</v>
      </c>
      <c r="C6" s="4"/>
      <c r="D6" s="4"/>
      <c r="E6" s="4">
        <v>3</v>
      </c>
      <c r="F6" s="4" t="s">
        <v>38</v>
      </c>
      <c r="G6" s="4">
        <v>200000</v>
      </c>
    </row>
    <row r="7" spans="1:11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100</v>
      </c>
      <c r="K7" s="1">
        <f>30*20</f>
        <v>600</v>
      </c>
    </row>
    <row r="8" spans="1:11">
      <c r="A8" s="4">
        <v>5</v>
      </c>
      <c r="B8" s="4" t="s">
        <v>58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/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59</v>
      </c>
      <c r="G10" s="4"/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27</v>
      </c>
      <c r="G11" s="4"/>
    </row>
    <row r="12" spans="1:11">
      <c r="A12" s="4">
        <v>9</v>
      </c>
      <c r="B12" s="4"/>
      <c r="C12" s="4"/>
      <c r="D12" s="4"/>
      <c r="E12" s="4">
        <v>9</v>
      </c>
      <c r="F12" s="4" t="s">
        <v>65</v>
      </c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66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56366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1">
      <c r="A17" s="4">
        <v>14</v>
      </c>
      <c r="B17" s="4"/>
      <c r="C17" s="4"/>
      <c r="D17" s="4"/>
      <c r="E17" s="4">
        <v>14</v>
      </c>
      <c r="F17" s="4"/>
      <c r="G17" s="4"/>
    </row>
    <row r="18" spans="1:11">
      <c r="A18" s="4">
        <v>15</v>
      </c>
      <c r="B18" s="4"/>
      <c r="C18" s="4"/>
      <c r="D18" s="4"/>
      <c r="E18" s="4">
        <v>15</v>
      </c>
      <c r="F18" s="4"/>
      <c r="G18" s="4"/>
    </row>
    <row r="19" spans="1:11">
      <c r="A19" s="5"/>
      <c r="B19" s="5"/>
      <c r="C19" s="5">
        <f>SUM(C4:C18)</f>
        <v>343276</v>
      </c>
      <c r="D19" s="5"/>
      <c r="E19" s="5"/>
      <c r="F19" s="5"/>
      <c r="G19" s="5">
        <f>SUM(G4:G18)</f>
        <v>256716</v>
      </c>
    </row>
    <row r="20" spans="1:11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1">
      <c r="A21" s="5"/>
      <c r="B21" s="5"/>
      <c r="C21" s="5"/>
      <c r="D21" s="5"/>
      <c r="E21" s="5"/>
      <c r="F21" s="5"/>
      <c r="G21" s="5"/>
    </row>
    <row r="22" spans="1:11">
      <c r="A22" s="5"/>
      <c r="B22" s="5" t="s">
        <v>12</v>
      </c>
      <c r="C22" s="5">
        <f>C19-G19</f>
        <v>86560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Q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327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345460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105985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292</v>
      </c>
      <c r="C9" s="4"/>
      <c r="D9" s="4"/>
      <c r="E9" s="4">
        <v>6</v>
      </c>
      <c r="F9" s="4" t="s">
        <v>317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4" t="s">
        <v>20</v>
      </c>
      <c r="G10" s="4">
        <v>260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>
        <v>18000</v>
      </c>
      <c r="D11" s="4"/>
      <c r="E11" s="4">
        <v>8</v>
      </c>
      <c r="F11" s="4" t="s">
        <v>263</v>
      </c>
      <c r="G11" s="4">
        <v>750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8" t="s">
        <v>325</v>
      </c>
      <c r="G12" s="4"/>
      <c r="I12" s="1">
        <f>C6-10430</f>
        <v>95555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181</v>
      </c>
      <c r="G13" s="4">
        <v>15000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52</v>
      </c>
      <c r="G14" s="4">
        <v>217000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316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80166</v>
      </c>
      <c r="H16" s="1">
        <v>112975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519445</v>
      </c>
      <c r="D19" s="5"/>
      <c r="E19" s="5"/>
      <c r="F19" s="5"/>
      <c r="G19" s="5">
        <f>SUM(G4:G18)</f>
        <v>513526</v>
      </c>
      <c r="K19" s="1">
        <v>13860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7">
      <c r="A22" s="5"/>
      <c r="B22" s="5" t="s">
        <v>12</v>
      </c>
      <c r="C22" s="5">
        <f>C19-G19</f>
        <v>5919</v>
      </c>
      <c r="D22" s="5"/>
      <c r="E22" s="5"/>
      <c r="F22" s="5"/>
      <c r="G22" s="5"/>
      <c r="K22" s="1">
        <v>4455</v>
      </c>
      <c r="Q22" s="1">
        <f>27038-12500</f>
        <v>14538</v>
      </c>
    </row>
    <row r="23" spans="1:17"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328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508260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91200</v>
      </c>
      <c r="D6" s="4"/>
      <c r="E6" s="4">
        <v>3</v>
      </c>
      <c r="F6" s="4" t="s">
        <v>38</v>
      </c>
      <c r="G6" s="4">
        <v>450000</v>
      </c>
      <c r="N6" s="1">
        <f>190+120</f>
        <v>310</v>
      </c>
    </row>
    <row r="7" spans="1:16">
      <c r="A7" s="4">
        <v>4</v>
      </c>
      <c r="B7" s="4" t="s">
        <v>19</v>
      </c>
      <c r="C7" s="4">
        <v>100000</v>
      </c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>
        <v>45000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292</v>
      </c>
      <c r="C9" s="4"/>
      <c r="D9" s="4"/>
      <c r="E9" s="4">
        <v>6</v>
      </c>
      <c r="F9" s="4" t="s">
        <v>317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329</v>
      </c>
      <c r="G11" s="4">
        <v>8000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133</v>
      </c>
      <c r="G12" s="4">
        <v>5000</v>
      </c>
      <c r="I12" s="1">
        <f>C6-10430</f>
        <v>80770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181</v>
      </c>
      <c r="G13" s="4">
        <v>10000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330</v>
      </c>
      <c r="G14" s="4">
        <v>11000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316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49470</v>
      </c>
      <c r="H16" s="1">
        <v>112975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744460</v>
      </c>
      <c r="D19" s="5"/>
      <c r="E19" s="5"/>
      <c r="F19" s="5"/>
      <c r="G19" s="5">
        <f>SUM(G4:G18)</f>
        <v>733835</v>
      </c>
      <c r="K19" s="1">
        <v>13860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7">
      <c r="A22" s="5"/>
      <c r="B22" s="5" t="s">
        <v>12</v>
      </c>
      <c r="C22" s="5">
        <f>C19-G19</f>
        <v>10625</v>
      </c>
      <c r="D22" s="5"/>
      <c r="E22" s="5"/>
      <c r="F22" s="5"/>
      <c r="G22" s="5"/>
      <c r="K22" s="1">
        <v>4455</v>
      </c>
      <c r="Q22" s="1">
        <f>27038-12500</f>
        <v>14538</v>
      </c>
    </row>
    <row r="23" spans="1:17"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Q34"/>
  <sheetViews>
    <sheetView zoomScale="145" zoomScaleNormal="145" workbookViewId="0">
      <selection activeCell="G1" sqref="G1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331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370000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75720</v>
      </c>
      <c r="D6" s="4"/>
      <c r="E6" s="4">
        <v>3</v>
      </c>
      <c r="F6" s="4" t="s">
        <v>38</v>
      </c>
      <c r="G6" s="4">
        <v>350000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48</v>
      </c>
      <c r="C8" s="4">
        <v>137000</v>
      </c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292</v>
      </c>
      <c r="C9" s="4"/>
      <c r="D9" s="4"/>
      <c r="E9" s="4">
        <v>6</v>
      </c>
      <c r="F9" s="4" t="s">
        <v>69</v>
      </c>
      <c r="G9" s="4">
        <v>100000</v>
      </c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329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133</v>
      </c>
      <c r="G12" s="4"/>
      <c r="I12" s="1">
        <f>C6-10430</f>
        <v>65290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332</v>
      </c>
      <c r="G13" s="4">
        <v>3000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330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316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11000</v>
      </c>
      <c r="H16" s="1">
        <v>112975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582720</v>
      </c>
      <c r="D19" s="5"/>
      <c r="E19" s="5"/>
      <c r="F19" s="5"/>
      <c r="G19" s="5">
        <f>SUM(G4:G18)</f>
        <v>564400</v>
      </c>
      <c r="K19" s="1">
        <v>13860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7">
      <c r="A22" s="5"/>
      <c r="B22" s="5" t="s">
        <v>12</v>
      </c>
      <c r="C22" s="5">
        <f>C19-G19</f>
        <v>18320</v>
      </c>
      <c r="D22" s="5"/>
      <c r="E22" s="5"/>
      <c r="F22" s="5"/>
      <c r="G22" s="5"/>
      <c r="K22" s="1">
        <v>4455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333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674767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154792</v>
      </c>
      <c r="D6" s="4"/>
      <c r="E6" s="4">
        <v>3</v>
      </c>
      <c r="F6" s="4" t="s">
        <v>38</v>
      </c>
      <c r="G6" s="4">
        <v>440000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48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292</v>
      </c>
      <c r="C9" s="4"/>
      <c r="D9" s="4"/>
      <c r="E9" s="4">
        <v>6</v>
      </c>
      <c r="F9" s="4" t="s">
        <v>69</v>
      </c>
      <c r="G9" s="4">
        <v>132800</v>
      </c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4" t="s">
        <v>20</v>
      </c>
      <c r="G10" s="4">
        <v>455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329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51000</v>
      </c>
      <c r="D12" s="4"/>
      <c r="E12" s="4">
        <v>9</v>
      </c>
      <c r="F12" s="4" t="s">
        <v>133</v>
      </c>
      <c r="G12" s="4"/>
      <c r="I12" s="1">
        <f>C6-10430</f>
        <v>144362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323</v>
      </c>
      <c r="G13" s="4">
        <v>2000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330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>
        <v>16500</v>
      </c>
      <c r="D15" s="4"/>
      <c r="E15" s="4">
        <v>12</v>
      </c>
      <c r="F15" s="6" t="s">
        <v>316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93667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897059</v>
      </c>
      <c r="D19" s="5"/>
      <c r="E19" s="5"/>
      <c r="F19" s="5"/>
      <c r="G19" s="5">
        <f>SUM(G4:G18)</f>
        <v>869387</v>
      </c>
      <c r="K19" s="1">
        <v>13860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7">
      <c r="A22" s="5"/>
      <c r="B22" s="5" t="s">
        <v>12</v>
      </c>
      <c r="C22" s="5">
        <f>C19-G19</f>
        <v>27672</v>
      </c>
      <c r="D22" s="5"/>
      <c r="E22" s="5"/>
      <c r="F22" s="5"/>
      <c r="G22" s="5"/>
      <c r="K22" s="1">
        <v>4455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Q34"/>
  <sheetViews>
    <sheetView zoomScale="145" zoomScaleNormal="145" workbookViewId="0">
      <selection activeCell="C16" sqref="C1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334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604000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f>125655+41290</f>
        <v>166945</v>
      </c>
      <c r="D6" s="4"/>
      <c r="E6" s="4">
        <v>3</v>
      </c>
      <c r="F6" s="4" t="s">
        <v>38</v>
      </c>
      <c r="G6" s="4">
        <v>400000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232</v>
      </c>
      <c r="C9" s="4">
        <v>35000</v>
      </c>
      <c r="D9" s="4"/>
      <c r="E9" s="4">
        <v>6</v>
      </c>
      <c r="F9" s="4" t="s">
        <v>336</v>
      </c>
      <c r="G9" s="4">
        <v>200000</v>
      </c>
      <c r="K9" s="1">
        <v>80</v>
      </c>
    </row>
    <row r="10" spans="1:16">
      <c r="A10" s="4">
        <v>7</v>
      </c>
      <c r="B10" s="4" t="s">
        <v>335</v>
      </c>
      <c r="C10" s="4">
        <v>9000</v>
      </c>
      <c r="D10" s="4"/>
      <c r="E10" s="4">
        <v>7</v>
      </c>
      <c r="F10" s="4" t="s">
        <v>20</v>
      </c>
      <c r="G10" s="4">
        <v>450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>
        <v>23000</v>
      </c>
      <c r="D11" s="4"/>
      <c r="E11" s="4">
        <v>8</v>
      </c>
      <c r="F11" s="4" t="s">
        <v>329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43000</v>
      </c>
      <c r="D12" s="4"/>
      <c r="E12" s="4">
        <v>9</v>
      </c>
      <c r="F12" s="4" t="s">
        <v>133</v>
      </c>
      <c r="G12" s="4">
        <v>1000</v>
      </c>
      <c r="I12" s="1">
        <f>C6-10430</f>
        <v>156515</v>
      </c>
      <c r="K12" s="1">
        <f>27-33</f>
        <v>-6</v>
      </c>
    </row>
    <row r="13" spans="1:16">
      <c r="A13" s="4">
        <v>10</v>
      </c>
      <c r="B13" s="4" t="s">
        <v>233</v>
      </c>
      <c r="C13" s="4">
        <v>20000</v>
      </c>
      <c r="D13" s="4"/>
      <c r="E13" s="4">
        <v>10</v>
      </c>
      <c r="F13" s="4" t="s">
        <v>323</v>
      </c>
      <c r="G13" s="4">
        <v>500</v>
      </c>
      <c r="K13" s="1">
        <f>591*13</f>
        <v>7683</v>
      </c>
    </row>
    <row r="14" spans="1:16">
      <c r="A14" s="4">
        <v>11</v>
      </c>
      <c r="B14" s="4" t="s">
        <v>129</v>
      </c>
      <c r="C14" s="4">
        <v>20000</v>
      </c>
      <c r="D14" s="4"/>
      <c r="E14" s="4">
        <v>11</v>
      </c>
      <c r="F14" s="4" t="s">
        <v>330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>
        <v>4000</v>
      </c>
      <c r="D15" s="4"/>
      <c r="E15" s="4">
        <v>12</v>
      </c>
      <c r="F15" s="6" t="s">
        <v>269</v>
      </c>
      <c r="G15" s="4">
        <v>20000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51472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974945</v>
      </c>
      <c r="D19" s="5"/>
      <c r="E19" s="5"/>
      <c r="F19" s="5"/>
      <c r="G19" s="5">
        <f>SUM(G4:G18)</f>
        <v>974087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858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Q34"/>
  <sheetViews>
    <sheetView zoomScale="145" zoomScaleNormal="145" workbookViewId="0">
      <selection activeCell="G21" sqref="G21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337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636800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176423</v>
      </c>
      <c r="D6" s="4"/>
      <c r="E6" s="4">
        <v>3</v>
      </c>
      <c r="F6" s="4" t="s">
        <v>38</v>
      </c>
      <c r="G6" s="4">
        <v>500000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53000</v>
      </c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156</v>
      </c>
      <c r="C9" s="4">
        <v>65000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8</v>
      </c>
      <c r="C10" s="4">
        <v>49000</v>
      </c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69</v>
      </c>
      <c r="G11" s="4">
        <v>49300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338</v>
      </c>
      <c r="G12" s="4">
        <v>10000</v>
      </c>
      <c r="I12" s="1">
        <f>C6-10430</f>
        <v>165993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82</v>
      </c>
      <c r="G13" s="4">
        <v>450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330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51999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980223</v>
      </c>
      <c r="D19" s="5"/>
      <c r="E19" s="5"/>
      <c r="F19" s="5"/>
      <c r="G19" s="5">
        <f>SUM(G4:G18)</f>
        <v>912164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68059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Q34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339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377000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>
        <v>180000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76431</v>
      </c>
      <c r="D6" s="4"/>
      <c r="E6" s="4">
        <v>3</v>
      </c>
      <c r="F6" s="4" t="s">
        <v>38</v>
      </c>
      <c r="G6" s="4">
        <v>225000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4" t="s">
        <v>20</v>
      </c>
      <c r="G10" s="4">
        <v>230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69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338</v>
      </c>
      <c r="G12" s="4"/>
      <c r="I12" s="1">
        <f>C6-10430</f>
        <v>66001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27</v>
      </c>
      <c r="G13" s="4">
        <v>10000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204</v>
      </c>
      <c r="G14" s="4">
        <v>100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31812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453431</v>
      </c>
      <c r="D19" s="5"/>
      <c r="E19" s="5"/>
      <c r="F19" s="5"/>
      <c r="G19" s="5">
        <f>SUM(G4:G18)</f>
        <v>447492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5939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Q34"/>
  <sheetViews>
    <sheetView zoomScale="145" zoomScaleNormal="145" workbookViewId="0">
      <selection activeCell="G7" sqref="G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340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416500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123302</v>
      </c>
      <c r="D6" s="4"/>
      <c r="E6" s="4">
        <v>3</v>
      </c>
      <c r="F6" s="4" t="s">
        <v>38</v>
      </c>
      <c r="G6" s="4">
        <v>225000</v>
      </c>
      <c r="N6" s="1">
        <f>190+120</f>
        <v>310</v>
      </c>
    </row>
    <row r="7" spans="1:16">
      <c r="A7" s="4">
        <v>4</v>
      </c>
      <c r="B7" s="4" t="s">
        <v>19</v>
      </c>
      <c r="C7" s="4">
        <v>174085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4" t="s">
        <v>20</v>
      </c>
      <c r="G10" s="4">
        <v>220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69</v>
      </c>
      <c r="G11" s="4">
        <v>119000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338</v>
      </c>
      <c r="G12" s="4"/>
      <c r="I12" s="1">
        <f>C6-10430</f>
        <v>112872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27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204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107192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713887</v>
      </c>
      <c r="D19" s="5"/>
      <c r="E19" s="5"/>
      <c r="F19" s="5"/>
      <c r="G19" s="5">
        <f>SUM(G4:G18)</f>
        <v>701877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12010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Q34"/>
  <sheetViews>
    <sheetView zoomScale="145" zoomScaleNormal="145" workbookViewId="0">
      <selection activeCell="F22" sqref="F2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341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517000</v>
      </c>
      <c r="D4" s="4"/>
      <c r="E4" s="4">
        <v>1</v>
      </c>
      <c r="F4" s="4" t="s">
        <v>5</v>
      </c>
      <c r="G4" s="4">
        <v>610000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137700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173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>
        <v>50000</v>
      </c>
      <c r="D10" s="4"/>
      <c r="E10" s="4">
        <v>7</v>
      </c>
      <c r="F10" s="4" t="s">
        <v>20</v>
      </c>
      <c r="G10" s="4">
        <v>300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>
        <v>20000</v>
      </c>
      <c r="D11" s="4"/>
      <c r="E11" s="4">
        <v>8</v>
      </c>
      <c r="F11" s="4" t="s">
        <v>69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4000</v>
      </c>
      <c r="D12" s="4"/>
      <c r="E12" s="4">
        <v>9</v>
      </c>
      <c r="F12" s="4" t="s">
        <v>338</v>
      </c>
      <c r="G12" s="4"/>
      <c r="I12" s="1">
        <f>C6-10430</f>
        <v>127270</v>
      </c>
      <c r="K12" s="1">
        <f>27-33</f>
        <v>-6</v>
      </c>
    </row>
    <row r="13" spans="1:16">
      <c r="A13" s="4">
        <v>10</v>
      </c>
      <c r="B13" s="4" t="s">
        <v>233</v>
      </c>
      <c r="C13" s="4">
        <v>13500</v>
      </c>
      <c r="D13" s="4"/>
      <c r="E13" s="4">
        <v>10</v>
      </c>
      <c r="F13" s="4" t="s">
        <v>27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204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94904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742200</v>
      </c>
      <c r="D19" s="5"/>
      <c r="E19" s="5"/>
      <c r="F19" s="5"/>
      <c r="G19" s="5">
        <f>SUM(G4:G18)</f>
        <v>705627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36573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Q34"/>
  <sheetViews>
    <sheetView zoomScale="145" zoomScaleNormal="145" workbookViewId="0">
      <selection activeCell="D15" sqref="D15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342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f>46500+165400</f>
        <v>211900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111074</v>
      </c>
      <c r="D6" s="4"/>
      <c r="E6" s="4">
        <v>3</v>
      </c>
      <c r="F6" s="4" t="s">
        <v>38</v>
      </c>
      <c r="G6" s="4">
        <v>300000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4" t="s">
        <v>20</v>
      </c>
      <c r="G10" s="4">
        <v>340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>
        <v>22500</v>
      </c>
      <c r="D11" s="4"/>
      <c r="E11" s="4">
        <v>8</v>
      </c>
      <c r="F11" s="4" t="s">
        <v>69</v>
      </c>
      <c r="G11" s="4">
        <v>97100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37500</v>
      </c>
      <c r="D12" s="4"/>
      <c r="E12" s="4">
        <v>9</v>
      </c>
      <c r="F12" s="4" t="s">
        <v>338</v>
      </c>
      <c r="G12" s="4"/>
      <c r="I12" s="1">
        <f>C6-10430</f>
        <v>100644</v>
      </c>
      <c r="K12" s="1">
        <f>27-33</f>
        <v>-6</v>
      </c>
    </row>
    <row r="13" spans="1:16">
      <c r="A13" s="4">
        <v>10</v>
      </c>
      <c r="B13" s="4" t="s">
        <v>233</v>
      </c>
      <c r="C13" s="4">
        <v>27500</v>
      </c>
      <c r="D13" s="4"/>
      <c r="E13" s="4">
        <v>10</v>
      </c>
      <c r="F13" s="4" t="s">
        <v>27</v>
      </c>
      <c r="G13" s="4">
        <v>10000</v>
      </c>
      <c r="K13" s="1">
        <f>591*13</f>
        <v>7683</v>
      </c>
    </row>
    <row r="14" spans="1:16">
      <c r="A14" s="4">
        <v>11</v>
      </c>
      <c r="B14" s="4" t="s">
        <v>129</v>
      </c>
      <c r="C14" s="4">
        <v>10500</v>
      </c>
      <c r="D14" s="4"/>
      <c r="E14" s="4">
        <v>11</v>
      </c>
      <c r="F14" s="4" t="s">
        <v>71</v>
      </c>
      <c r="G14" s="4">
        <v>9000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>
        <v>15500</v>
      </c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66904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486474</v>
      </c>
      <c r="D19" s="5"/>
      <c r="E19" s="5"/>
      <c r="F19" s="5"/>
      <c r="G19" s="5">
        <f>SUM(G4:G18)</f>
        <v>483644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2830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23"/>
  <sheetViews>
    <sheetView zoomScale="145" zoomScaleNormal="145" workbookViewId="0">
      <selection activeCell="C4" sqref="C4:C7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68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912000</v>
      </c>
      <c r="D4" s="4"/>
      <c r="E4" s="4">
        <v>1</v>
      </c>
      <c r="F4" s="4" t="s">
        <v>5</v>
      </c>
      <c r="G4" s="4">
        <v>605000</v>
      </c>
    </row>
    <row r="5" spans="1:11">
      <c r="A5" s="4">
        <v>2</v>
      </c>
      <c r="B5" s="4" t="s">
        <v>6</v>
      </c>
      <c r="C5" s="4">
        <v>150962</v>
      </c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7</v>
      </c>
      <c r="C6" s="4">
        <v>70000</v>
      </c>
      <c r="D6" s="4"/>
      <c r="E6" s="4">
        <v>3</v>
      </c>
      <c r="F6" s="4" t="s">
        <v>38</v>
      </c>
      <c r="G6" s="4">
        <v>250000</v>
      </c>
    </row>
    <row r="7" spans="1:11">
      <c r="A7" s="4">
        <v>4</v>
      </c>
      <c r="B7" s="4" t="s">
        <v>19</v>
      </c>
      <c r="C7" s="4">
        <v>39510</v>
      </c>
      <c r="D7" s="4"/>
      <c r="E7" s="4">
        <v>4</v>
      </c>
      <c r="F7" s="4" t="s">
        <v>39</v>
      </c>
      <c r="G7" s="4">
        <v>280</v>
      </c>
      <c r="K7" s="1">
        <f>30*20</f>
        <v>600</v>
      </c>
    </row>
    <row r="8" spans="1:11">
      <c r="A8" s="4">
        <v>5</v>
      </c>
      <c r="B8" s="4" t="s">
        <v>58</v>
      </c>
      <c r="C8" s="4"/>
      <c r="D8" s="4"/>
      <c r="E8" s="4">
        <v>5</v>
      </c>
      <c r="F8" s="4" t="s">
        <v>9</v>
      </c>
      <c r="G8" s="4">
        <v>290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/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69</v>
      </c>
      <c r="G10" s="4">
        <v>162000</v>
      </c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70</v>
      </c>
      <c r="G11" s="4">
        <v>600</v>
      </c>
    </row>
    <row r="12" spans="1:11">
      <c r="A12" s="4">
        <v>9</v>
      </c>
      <c r="B12" s="4"/>
      <c r="C12" s="4"/>
      <c r="D12" s="4"/>
      <c r="E12" s="4">
        <v>9</v>
      </c>
      <c r="F12" s="4" t="s">
        <v>71</v>
      </c>
      <c r="G12" s="4">
        <v>9000</v>
      </c>
    </row>
    <row r="13" spans="1:11">
      <c r="A13" s="4">
        <v>10</v>
      </c>
      <c r="B13" s="4"/>
      <c r="C13" s="4"/>
      <c r="D13" s="4"/>
      <c r="E13" s="4">
        <v>10</v>
      </c>
      <c r="F13" s="4" t="s">
        <v>66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54404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1">
      <c r="A17" s="4">
        <v>14</v>
      </c>
      <c r="B17" s="4"/>
      <c r="C17" s="4"/>
      <c r="D17" s="4"/>
      <c r="E17" s="4">
        <v>14</v>
      </c>
      <c r="F17" s="4"/>
      <c r="G17" s="4"/>
    </row>
    <row r="18" spans="1:11">
      <c r="A18" s="4">
        <v>15</v>
      </c>
      <c r="B18" s="4"/>
      <c r="C18" s="4"/>
      <c r="D18" s="4"/>
      <c r="E18" s="4">
        <v>15</v>
      </c>
      <c r="F18" s="4"/>
      <c r="G18" s="4"/>
    </row>
    <row r="19" spans="1:11">
      <c r="A19" s="5"/>
      <c r="B19" s="5"/>
      <c r="C19" s="5">
        <f>SUM(C4:C18)</f>
        <v>1172472</v>
      </c>
      <c r="D19" s="5"/>
      <c r="E19" s="5"/>
      <c r="F19" s="5"/>
      <c r="G19" s="5">
        <f>SUM(G4:G18)</f>
        <v>1081574</v>
      </c>
    </row>
    <row r="20" spans="1:11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1">
      <c r="A21" s="5"/>
      <c r="B21" s="5"/>
      <c r="C21" s="5"/>
      <c r="D21" s="5"/>
      <c r="E21" s="5"/>
      <c r="F21" s="5"/>
      <c r="G21" s="5"/>
    </row>
    <row r="22" spans="1:11">
      <c r="A22" s="5"/>
      <c r="B22" s="5" t="s">
        <v>12</v>
      </c>
      <c r="C22" s="5">
        <f>C19-G19</f>
        <v>90898</v>
      </c>
      <c r="D22" s="5"/>
      <c r="E22" s="5"/>
      <c r="F22" s="5"/>
      <c r="G22" s="5"/>
      <c r="J22" s="1">
        <f>124500+500000</f>
        <v>624500</v>
      </c>
    </row>
    <row r="23" spans="1:11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Q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343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105000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143549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100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69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28500</v>
      </c>
      <c r="D12" s="4"/>
      <c r="E12" s="4">
        <v>9</v>
      </c>
      <c r="F12" s="4" t="s">
        <v>338</v>
      </c>
      <c r="G12" s="4"/>
      <c r="I12" s="1">
        <f>C6-10430</f>
        <v>133119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27</v>
      </c>
      <c r="G13" s="4">
        <v>10000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71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>
        <v>6000</v>
      </c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120549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283049</v>
      </c>
      <c r="D19" s="5"/>
      <c r="E19" s="5"/>
      <c r="F19" s="5"/>
      <c r="G19" s="5">
        <f>SUM(G4:G18)</f>
        <v>280649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2400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Q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344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218320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146529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155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69</v>
      </c>
      <c r="G11" s="4">
        <v>61950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338</v>
      </c>
      <c r="G12" s="4"/>
      <c r="I12" s="1">
        <f>C6-10430</f>
        <v>136099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345</v>
      </c>
      <c r="G13" s="4">
        <v>3000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346</v>
      </c>
      <c r="G14" s="4">
        <v>420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95711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364849</v>
      </c>
      <c r="D19" s="5"/>
      <c r="E19" s="5"/>
      <c r="F19" s="5"/>
      <c r="G19" s="5">
        <f>SUM(G4:G18)</f>
        <v>311486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53363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Q34"/>
  <sheetViews>
    <sheetView zoomScale="145" zoomScaleNormal="145" workbookViewId="0">
      <selection activeCell="C9" sqref="C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347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111521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380500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4" t="s">
        <v>20</v>
      </c>
      <c r="G10" s="4">
        <v>355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69</v>
      </c>
      <c r="G11" s="4">
        <v>50000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338</v>
      </c>
      <c r="G12" s="4"/>
      <c r="I12" s="1">
        <f>C6-10430</f>
        <v>370070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348</v>
      </c>
      <c r="G13" s="4">
        <v>10000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346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75909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492021</v>
      </c>
      <c r="D19" s="5"/>
      <c r="E19" s="5"/>
      <c r="F19" s="5"/>
      <c r="G19" s="5">
        <f>SUM(G4:G18)</f>
        <v>436729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55292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Q34"/>
  <sheetViews>
    <sheetView zoomScale="145" zoomScaleNormal="145" workbookViewId="0">
      <selection activeCell="E21" sqref="E21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349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316200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>
        <v>380000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189887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>
        <v>65000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69</v>
      </c>
      <c r="G11" s="4">
        <v>104350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45000</v>
      </c>
      <c r="D12" s="4"/>
      <c r="E12" s="4">
        <v>9</v>
      </c>
      <c r="F12" s="4" t="s">
        <v>338</v>
      </c>
      <c r="G12" s="4"/>
      <c r="I12" s="1">
        <f>C6-10430</f>
        <v>179457</v>
      </c>
      <c r="K12" s="1">
        <f>27-33</f>
        <v>-6</v>
      </c>
    </row>
    <row r="13" spans="1:16">
      <c r="A13" s="4">
        <v>10</v>
      </c>
      <c r="B13" s="4" t="s">
        <v>233</v>
      </c>
      <c r="C13" s="4">
        <v>28000</v>
      </c>
      <c r="D13" s="4"/>
      <c r="E13" s="4">
        <v>10</v>
      </c>
      <c r="F13" s="4" t="s">
        <v>348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346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 t="s">
        <v>102</v>
      </c>
      <c r="C16" s="4">
        <v>23000</v>
      </c>
      <c r="D16" s="4"/>
      <c r="E16" s="4">
        <v>13</v>
      </c>
      <c r="F16" s="4" t="s">
        <v>135</v>
      </c>
      <c r="G16" s="4">
        <v>78169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717087</v>
      </c>
      <c r="D19" s="5"/>
      <c r="E19" s="5"/>
      <c r="F19" s="5"/>
      <c r="G19" s="5">
        <f>SUM(G4:G18)</f>
        <v>712869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4218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Q34"/>
  <sheetViews>
    <sheetView zoomScale="145" zoomScaleNormal="145" workbookViewId="0">
      <selection activeCell="C22" sqref="C2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350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152300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100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4" t="s">
        <v>20</v>
      </c>
      <c r="G10" s="4">
        <v>300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351</v>
      </c>
      <c r="C11" s="4">
        <v>38450</v>
      </c>
      <c r="D11" s="4"/>
      <c r="E11" s="4">
        <v>8</v>
      </c>
      <c r="F11" s="4" t="s">
        <v>69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20000</v>
      </c>
      <c r="D12" s="4"/>
      <c r="E12" s="4">
        <v>9</v>
      </c>
      <c r="F12" s="4" t="s">
        <v>352</v>
      </c>
      <c r="G12" s="4">
        <v>3000</v>
      </c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60</v>
      </c>
      <c r="G13" s="4">
        <v>5500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346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 t="s">
        <v>102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210750</v>
      </c>
      <c r="D19" s="5"/>
      <c r="E19" s="5"/>
      <c r="F19" s="5"/>
      <c r="G19" s="5">
        <f>SUM(G4:G18)</f>
        <v>208900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1850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Q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353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819950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5</v>
      </c>
      <c r="G5" s="4">
        <v>200000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159550</v>
      </c>
      <c r="D6" s="4"/>
      <c r="E6" s="4">
        <v>3</v>
      </c>
      <c r="F6" s="4" t="s">
        <v>38</v>
      </c>
      <c r="G6" s="4">
        <v>450000</v>
      </c>
      <c r="N6" s="1">
        <f>190+120</f>
        <v>310</v>
      </c>
    </row>
    <row r="7" spans="1:16">
      <c r="A7" s="4">
        <v>4</v>
      </c>
      <c r="B7" s="4" t="s">
        <v>19</v>
      </c>
      <c r="C7" s="4">
        <v>50000</v>
      </c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7</v>
      </c>
      <c r="C8" s="4">
        <v>73000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4" t="s">
        <v>20</v>
      </c>
      <c r="G10" s="4">
        <v>350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>
        <v>27000</v>
      </c>
      <c r="D11" s="4"/>
      <c r="E11" s="4">
        <v>8</v>
      </c>
      <c r="F11" s="4" t="s">
        <v>69</v>
      </c>
      <c r="G11" s="4">
        <v>243000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28500</v>
      </c>
      <c r="D12" s="4"/>
      <c r="E12" s="4">
        <v>9</v>
      </c>
      <c r="F12" s="4" t="s">
        <v>352</v>
      </c>
      <c r="G12" s="4"/>
      <c r="I12" s="1">
        <f>C6-10430</f>
        <v>149120</v>
      </c>
      <c r="K12" s="1">
        <f>27-33</f>
        <v>-6</v>
      </c>
    </row>
    <row r="13" spans="1:16">
      <c r="A13" s="4">
        <v>10</v>
      </c>
      <c r="B13" s="4" t="s">
        <v>233</v>
      </c>
      <c r="C13" s="4">
        <v>15000</v>
      </c>
      <c r="D13" s="4"/>
      <c r="E13" s="4">
        <v>10</v>
      </c>
      <c r="F13" s="4" t="s">
        <v>60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>
        <v>25000</v>
      </c>
      <c r="D14" s="4"/>
      <c r="E14" s="4">
        <v>11</v>
      </c>
      <c r="F14" s="4" t="s">
        <v>133</v>
      </c>
      <c r="G14" s="4">
        <v>500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 t="s">
        <v>102</v>
      </c>
      <c r="C16" s="4"/>
      <c r="D16" s="4"/>
      <c r="E16" s="4">
        <v>13</v>
      </c>
      <c r="F16" s="4" t="s">
        <v>135</v>
      </c>
      <c r="G16" s="4">
        <v>96398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1198000</v>
      </c>
      <c r="D19" s="5"/>
      <c r="E19" s="5"/>
      <c r="F19" s="5"/>
      <c r="G19" s="5">
        <f>SUM(G4:G18)</f>
        <v>1190863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7137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Q34"/>
  <sheetViews>
    <sheetView zoomScale="145" zoomScaleNormal="145" workbookViewId="0">
      <selection activeCell="F9" sqref="F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356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715140</v>
      </c>
      <c r="D4" s="4"/>
      <c r="E4" s="4">
        <v>1</v>
      </c>
      <c r="F4" s="4" t="s">
        <v>5</v>
      </c>
      <c r="G4" s="4">
        <v>620000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136663</v>
      </c>
      <c r="D6" s="4"/>
      <c r="E6" s="4">
        <v>3</v>
      </c>
      <c r="F6" s="4" t="s">
        <v>43</v>
      </c>
      <c r="G6" s="4">
        <v>300000</v>
      </c>
      <c r="N6" s="1">
        <f>190+120</f>
        <v>310</v>
      </c>
    </row>
    <row r="7" spans="1:16">
      <c r="A7" s="4">
        <v>4</v>
      </c>
      <c r="B7" s="4" t="s">
        <v>358</v>
      </c>
      <c r="C7" s="4">
        <v>50000</v>
      </c>
      <c r="D7" s="4"/>
      <c r="E7" s="4">
        <v>4</v>
      </c>
      <c r="F7" s="4" t="s">
        <v>39</v>
      </c>
      <c r="G7" s="4">
        <v>273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314</v>
      </c>
      <c r="C9" s="4">
        <v>20000</v>
      </c>
      <c r="D9" s="4"/>
      <c r="E9" s="4">
        <v>6</v>
      </c>
      <c r="F9" s="4" t="s">
        <v>336</v>
      </c>
      <c r="G9" s="4">
        <v>155000</v>
      </c>
      <c r="K9" s="1">
        <v>80</v>
      </c>
    </row>
    <row r="10" spans="1:16">
      <c r="A10" s="4">
        <v>7</v>
      </c>
      <c r="B10" s="4" t="s">
        <v>8</v>
      </c>
      <c r="C10" s="4">
        <v>10000</v>
      </c>
      <c r="D10" s="4"/>
      <c r="E10" s="4">
        <v>7</v>
      </c>
      <c r="F10" s="4" t="s">
        <v>20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>
        <v>19000</v>
      </c>
      <c r="D11" s="4"/>
      <c r="E11" s="4">
        <v>8</v>
      </c>
      <c r="F11" s="4" t="s">
        <v>361</v>
      </c>
      <c r="G11" s="4">
        <v>200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67000</v>
      </c>
      <c r="D12" s="4"/>
      <c r="E12" s="4">
        <v>9</v>
      </c>
      <c r="F12" s="4" t="s">
        <v>352</v>
      </c>
      <c r="G12" s="4"/>
      <c r="I12" s="1">
        <f>C6-10430</f>
        <v>126233</v>
      </c>
      <c r="K12" s="1">
        <f>27-33</f>
        <v>-6</v>
      </c>
    </row>
    <row r="13" spans="1:16">
      <c r="A13" s="4">
        <v>10</v>
      </c>
      <c r="B13" s="4" t="s">
        <v>50</v>
      </c>
      <c r="C13" s="4">
        <v>6000</v>
      </c>
      <c r="D13" s="4"/>
      <c r="E13" s="4">
        <v>10</v>
      </c>
      <c r="F13" s="4" t="s">
        <v>359</v>
      </c>
      <c r="G13" s="4">
        <v>20000</v>
      </c>
      <c r="K13" s="1">
        <f>591*13</f>
        <v>7683</v>
      </c>
    </row>
    <row r="14" spans="1:16">
      <c r="A14" s="4">
        <v>11</v>
      </c>
      <c r="B14" s="4" t="s">
        <v>129</v>
      </c>
      <c r="C14" s="4">
        <v>8500</v>
      </c>
      <c r="D14" s="4"/>
      <c r="E14" s="4">
        <v>11</v>
      </c>
      <c r="F14" s="4" t="s">
        <v>133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>
        <v>14000</v>
      </c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 t="s">
        <v>357</v>
      </c>
      <c r="C16" s="4">
        <v>5000</v>
      </c>
      <c r="D16" s="4"/>
      <c r="E16" s="4">
        <v>13</v>
      </c>
      <c r="F16" s="4" t="s">
        <v>135</v>
      </c>
      <c r="G16" s="4">
        <v>68963</v>
      </c>
      <c r="M16" s="1">
        <f>40+30+30+40+30+50</f>
        <v>220</v>
      </c>
    </row>
    <row r="17" spans="1:17">
      <c r="A17" s="4">
        <v>14</v>
      </c>
      <c r="B17" s="4" t="s">
        <v>360</v>
      </c>
      <c r="C17" s="4">
        <v>50000</v>
      </c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 t="s">
        <v>131</v>
      </c>
      <c r="C18" s="4">
        <v>14000</v>
      </c>
      <c r="D18" s="4"/>
      <c r="E18" s="4">
        <v>15</v>
      </c>
      <c r="F18" s="4"/>
      <c r="G18" s="4"/>
      <c r="K18" s="1">
        <v>6800</v>
      </c>
      <c r="O18" s="1">
        <f>326</f>
        <v>326</v>
      </c>
      <c r="P18" s="1">
        <f>15810-3500</f>
        <v>12310</v>
      </c>
    </row>
    <row r="19" spans="1:17">
      <c r="A19" s="5"/>
      <c r="B19" s="5"/>
      <c r="C19" s="5">
        <f>SUM(C4:C18)</f>
        <v>1165303</v>
      </c>
      <c r="D19" s="5"/>
      <c r="E19" s="5"/>
      <c r="F19" s="5"/>
      <c r="G19" s="5">
        <f>SUM(G4:G18)</f>
        <v>1164986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317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Q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362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361200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68963</v>
      </c>
      <c r="D6" s="4"/>
      <c r="E6" s="4">
        <v>3</v>
      </c>
      <c r="F6" s="4" t="s">
        <v>43</v>
      </c>
      <c r="G6" s="4"/>
      <c r="N6" s="1">
        <f>190+120</f>
        <v>310</v>
      </c>
    </row>
    <row r="7" spans="1:16">
      <c r="A7" s="4">
        <v>4</v>
      </c>
      <c r="B7" s="4" t="s">
        <v>358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314</v>
      </c>
      <c r="C9" s="4"/>
      <c r="D9" s="4"/>
      <c r="E9" s="4">
        <v>6</v>
      </c>
      <c r="F9" s="4" t="s">
        <v>336</v>
      </c>
      <c r="G9" s="4">
        <v>225000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4" t="s">
        <v>52</v>
      </c>
      <c r="G10" s="4">
        <v>194000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>
        <v>12000</v>
      </c>
      <c r="D11" s="4"/>
      <c r="E11" s="4">
        <v>8</v>
      </c>
      <c r="F11" s="4" t="s">
        <v>361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58533</v>
      </c>
      <c r="K12" s="1">
        <f>27-33</f>
        <v>-6</v>
      </c>
    </row>
    <row r="13" spans="1:16">
      <c r="A13" s="4">
        <v>10</v>
      </c>
      <c r="B13" s="4" t="s">
        <v>50</v>
      </c>
      <c r="C13" s="4"/>
      <c r="D13" s="4"/>
      <c r="E13" s="4">
        <v>10</v>
      </c>
      <c r="F13" s="4" t="s">
        <v>364</v>
      </c>
      <c r="G13" s="4">
        <v>15000</v>
      </c>
      <c r="K13" s="1">
        <f>591*13</f>
        <v>7683</v>
      </c>
    </row>
    <row r="14" spans="1:16">
      <c r="A14" s="4">
        <v>11</v>
      </c>
      <c r="B14" s="4" t="s">
        <v>129</v>
      </c>
      <c r="C14" s="4">
        <v>10000</v>
      </c>
      <c r="D14" s="4"/>
      <c r="E14" s="4">
        <v>11</v>
      </c>
      <c r="F14" s="4" t="s">
        <v>363</v>
      </c>
      <c r="G14" s="4">
        <v>100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>
        <v>18000</v>
      </c>
      <c r="D15" s="4"/>
      <c r="E15" s="4">
        <v>12</v>
      </c>
      <c r="F15" s="6" t="s">
        <v>13</v>
      </c>
      <c r="G15" s="4">
        <v>15000</v>
      </c>
      <c r="K15" s="1">
        <f>7440+7683</f>
        <v>15123</v>
      </c>
    </row>
    <row r="16" spans="1:16">
      <c r="A16" s="4">
        <v>13</v>
      </c>
      <c r="B16" s="4" t="s">
        <v>233</v>
      </c>
      <c r="C16" s="4">
        <v>30000</v>
      </c>
      <c r="D16" s="4"/>
      <c r="E16" s="4">
        <v>13</v>
      </c>
      <c r="F16" s="4" t="s">
        <v>135</v>
      </c>
      <c r="G16" s="4">
        <v>48382</v>
      </c>
      <c r="M16" s="1">
        <f>40+30+30+40+30+50</f>
        <v>220</v>
      </c>
    </row>
    <row r="17" spans="1:17">
      <c r="A17" s="4">
        <v>14</v>
      </c>
      <c r="B17" s="4" t="s">
        <v>360</v>
      </c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 t="s">
        <v>131</v>
      </c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  <c r="P18" s="1">
        <f>15810-3500</f>
        <v>12310</v>
      </c>
    </row>
    <row r="19" spans="1:17">
      <c r="A19" s="5"/>
      <c r="B19" s="5"/>
      <c r="C19" s="5">
        <f>SUM(C4:C18)</f>
        <v>500163</v>
      </c>
      <c r="D19" s="5"/>
      <c r="E19" s="5"/>
      <c r="F19" s="5"/>
      <c r="G19" s="5">
        <f>SUM(G4:G18)</f>
        <v>497682</v>
      </c>
      <c r="K19" s="1">
        <f>15810-3500</f>
        <v>12310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2481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99673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Q34"/>
  <sheetViews>
    <sheetView zoomScale="145" zoomScaleNormal="145" workbookViewId="0">
      <selection activeCell="G8" sqref="G8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365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158100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144844</v>
      </c>
      <c r="D6" s="4"/>
      <c r="E6" s="4">
        <v>3</v>
      </c>
      <c r="F6" s="4" t="s">
        <v>16</v>
      </c>
      <c r="G6" s="4">
        <v>170000</v>
      </c>
      <c r="N6" s="1">
        <f>190+120</f>
        <v>310</v>
      </c>
    </row>
    <row r="7" spans="1:16">
      <c r="A7" s="4">
        <v>4</v>
      </c>
      <c r="B7" s="4" t="s">
        <v>358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314</v>
      </c>
      <c r="C9" s="4"/>
      <c r="D9" s="4"/>
      <c r="E9" s="4">
        <v>6</v>
      </c>
      <c r="F9" s="4" t="s">
        <v>20</v>
      </c>
      <c r="G9" s="4">
        <v>140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4" t="s">
        <v>52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76</v>
      </c>
      <c r="G11" s="4">
        <v>12000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134414</v>
      </c>
      <c r="K12" s="1">
        <f>27-33</f>
        <v>-6</v>
      </c>
    </row>
    <row r="13" spans="1:16">
      <c r="A13" s="4">
        <v>10</v>
      </c>
      <c r="B13" s="4" t="s">
        <v>50</v>
      </c>
      <c r="C13" s="4"/>
      <c r="D13" s="4"/>
      <c r="E13" s="4">
        <v>10</v>
      </c>
      <c r="F13" s="4" t="s">
        <v>82</v>
      </c>
      <c r="G13" s="4">
        <v>450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363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13</v>
      </c>
      <c r="G15" s="4"/>
      <c r="K15" s="1">
        <f>7440+7683</f>
        <v>15123</v>
      </c>
    </row>
    <row r="16" spans="1:16">
      <c r="A16" s="4">
        <v>13</v>
      </c>
      <c r="B16" s="4" t="s">
        <v>233</v>
      </c>
      <c r="C16" s="4"/>
      <c r="D16" s="4"/>
      <c r="E16" s="4">
        <v>13</v>
      </c>
      <c r="F16" s="4" t="s">
        <v>135</v>
      </c>
      <c r="G16" s="4">
        <v>107534</v>
      </c>
      <c r="M16" s="1">
        <f>40+30+30+40+30+50</f>
        <v>220</v>
      </c>
    </row>
    <row r="17" spans="1:17">
      <c r="A17" s="4">
        <v>14</v>
      </c>
      <c r="B17" s="4" t="s">
        <v>360</v>
      </c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 t="s">
        <v>131</v>
      </c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  <c r="P18" s="1">
        <f>15810-3500</f>
        <v>12310</v>
      </c>
    </row>
    <row r="19" spans="1:17">
      <c r="A19" s="5"/>
      <c r="B19" s="5"/>
      <c r="C19" s="5">
        <f>SUM(C4:C18)</f>
        <v>302944</v>
      </c>
      <c r="D19" s="5"/>
      <c r="E19" s="5"/>
      <c r="F19" s="5"/>
      <c r="G19" s="5">
        <f>SUM(G4:G18)</f>
        <v>290424</v>
      </c>
      <c r="K19" s="1">
        <f>15810-3500</f>
        <v>12310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12520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H23" s="1">
        <f>76684-15000</f>
        <v>61684</v>
      </c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99673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Q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366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162350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165266</v>
      </c>
      <c r="D6" s="4"/>
      <c r="E6" s="4">
        <v>3</v>
      </c>
      <c r="F6" s="4" t="s">
        <v>16</v>
      </c>
      <c r="G6" s="4">
        <v>200000</v>
      </c>
      <c r="N6" s="1">
        <f>190+120</f>
        <v>310</v>
      </c>
    </row>
    <row r="7" spans="1:16">
      <c r="A7" s="4">
        <v>4</v>
      </c>
      <c r="B7" s="4" t="s">
        <v>358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230</v>
      </c>
      <c r="K8" s="1">
        <f>310+200</f>
        <v>510</v>
      </c>
    </row>
    <row r="9" spans="1:16">
      <c r="A9" s="4">
        <v>6</v>
      </c>
      <c r="B9" s="4" t="s">
        <v>314</v>
      </c>
      <c r="C9" s="4"/>
      <c r="D9" s="4"/>
      <c r="E9" s="4">
        <v>6</v>
      </c>
      <c r="F9" s="4" t="s">
        <v>20</v>
      </c>
      <c r="G9" s="4">
        <v>110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4" t="s">
        <v>52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76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154836</v>
      </c>
      <c r="K12" s="1">
        <f>27-33</f>
        <v>-6</v>
      </c>
    </row>
    <row r="13" spans="1:16">
      <c r="A13" s="4">
        <v>10</v>
      </c>
      <c r="B13" s="4" t="s">
        <v>50</v>
      </c>
      <c r="C13" s="4"/>
      <c r="D13" s="4"/>
      <c r="E13" s="4">
        <v>10</v>
      </c>
      <c r="F13" s="4" t="s">
        <v>140</v>
      </c>
      <c r="G13" s="4">
        <v>10000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363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13</v>
      </c>
      <c r="G15" s="4"/>
      <c r="K15" s="1">
        <f>7440+7683</f>
        <v>15123</v>
      </c>
    </row>
    <row r="16" spans="1:16">
      <c r="A16" s="4">
        <v>13</v>
      </c>
      <c r="B16" s="4" t="s">
        <v>233</v>
      </c>
      <c r="C16" s="4"/>
      <c r="D16" s="4"/>
      <c r="E16" s="4">
        <v>13</v>
      </c>
      <c r="F16" s="4" t="s">
        <v>135</v>
      </c>
      <c r="G16" s="4">
        <v>108966</v>
      </c>
      <c r="M16" s="1">
        <f>40+30+30+40+30+50</f>
        <v>220</v>
      </c>
    </row>
    <row r="17" spans="1:17">
      <c r="A17" s="4">
        <v>14</v>
      </c>
      <c r="B17" s="4" t="s">
        <v>360</v>
      </c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 t="s">
        <v>131</v>
      </c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  <c r="P18" s="1">
        <f>15810-3500</f>
        <v>12310</v>
      </c>
    </row>
    <row r="19" spans="1:17">
      <c r="A19" s="5"/>
      <c r="B19" s="5"/>
      <c r="C19" s="5">
        <f>SUM(C4:C18)</f>
        <v>327616</v>
      </c>
      <c r="D19" s="5"/>
      <c r="E19" s="5"/>
      <c r="F19" s="5"/>
      <c r="G19" s="5">
        <f>SUM(G4:G18)</f>
        <v>319306</v>
      </c>
      <c r="K19" s="1">
        <f>15810-3500</f>
        <v>12310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8310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H23" s="1">
        <f>76684-15000</f>
        <v>61684</v>
      </c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99673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L23"/>
  <sheetViews>
    <sheetView zoomScale="145" zoomScaleNormal="145" workbookViewId="0">
      <selection activeCell="C13" sqref="C13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72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350000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>
        <v>122900</v>
      </c>
      <c r="D5" s="4"/>
      <c r="E5" s="4">
        <v>2</v>
      </c>
      <c r="F5" s="4" t="s">
        <v>43</v>
      </c>
      <c r="G5" s="4">
        <v>200000</v>
      </c>
    </row>
    <row r="6" spans="1:11">
      <c r="A6" s="4">
        <v>3</v>
      </c>
      <c r="B6" s="4" t="s">
        <v>6</v>
      </c>
      <c r="C6" s="4">
        <v>75218</v>
      </c>
      <c r="D6" s="4"/>
      <c r="E6" s="4">
        <v>3</v>
      </c>
      <c r="F6" s="4" t="s">
        <v>38</v>
      </c>
      <c r="G6" s="4">
        <v>150000</v>
      </c>
    </row>
    <row r="7" spans="1:11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200</v>
      </c>
      <c r="K7" s="1">
        <f>30*20</f>
        <v>600</v>
      </c>
    </row>
    <row r="8" spans="1:11">
      <c r="A8" s="4">
        <v>5</v>
      </c>
      <c r="B8" s="4" t="s">
        <v>8</v>
      </c>
      <c r="C8" s="4">
        <v>20000</v>
      </c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/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69</v>
      </c>
      <c r="G10" s="4">
        <v>131420</v>
      </c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73</v>
      </c>
      <c r="G11" s="4">
        <v>200</v>
      </c>
    </row>
    <row r="12" spans="1:11">
      <c r="A12" s="4">
        <v>9</v>
      </c>
      <c r="B12" s="4"/>
      <c r="C12" s="4"/>
      <c r="D12" s="4"/>
      <c r="E12" s="4">
        <v>9</v>
      </c>
      <c r="F12" s="4" t="s">
        <v>71</v>
      </c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74</v>
      </c>
      <c r="G13" s="4">
        <v>6980</v>
      </c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50718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568118</v>
      </c>
      <c r="D19" s="5"/>
      <c r="E19" s="5"/>
      <c r="F19" s="5"/>
      <c r="G19" s="5">
        <f>SUM(G4:G18)</f>
        <v>539768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28350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Q34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367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219080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5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108966</v>
      </c>
      <c r="D6" s="4"/>
      <c r="E6" s="4">
        <v>3</v>
      </c>
      <c r="F6" s="4" t="s">
        <v>16</v>
      </c>
      <c r="G6" s="4">
        <v>150000</v>
      </c>
      <c r="N6" s="1">
        <f>190+120</f>
        <v>310</v>
      </c>
    </row>
    <row r="7" spans="1:16">
      <c r="A7" s="4">
        <v>4</v>
      </c>
      <c r="B7" s="4" t="s">
        <v>358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314</v>
      </c>
      <c r="C9" s="4"/>
      <c r="D9" s="4"/>
      <c r="E9" s="4">
        <v>6</v>
      </c>
      <c r="F9" s="4" t="s">
        <v>20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4" t="s">
        <v>52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76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98536</v>
      </c>
      <c r="K12" s="1">
        <f>27-33</f>
        <v>-6</v>
      </c>
    </row>
    <row r="13" spans="1:16">
      <c r="A13" s="4">
        <v>10</v>
      </c>
      <c r="B13" s="4" t="s">
        <v>50</v>
      </c>
      <c r="C13" s="4"/>
      <c r="D13" s="4"/>
      <c r="E13" s="4">
        <v>10</v>
      </c>
      <c r="F13" s="4" t="s">
        <v>368</v>
      </c>
      <c r="G13" s="4">
        <v>750</v>
      </c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363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13</v>
      </c>
      <c r="G15" s="4"/>
      <c r="K15" s="1">
        <f>7440+7683</f>
        <v>15123</v>
      </c>
    </row>
    <row r="16" spans="1:16">
      <c r="A16" s="4">
        <v>13</v>
      </c>
      <c r="B16" s="4" t="s">
        <v>233</v>
      </c>
      <c r="C16" s="4"/>
      <c r="D16" s="4"/>
      <c r="E16" s="4">
        <v>13</v>
      </c>
      <c r="F16" s="4" t="s">
        <v>135</v>
      </c>
      <c r="G16" s="4">
        <v>73466</v>
      </c>
      <c r="M16" s="1">
        <f>40+30+30+40+30+50</f>
        <v>220</v>
      </c>
    </row>
    <row r="17" spans="1:17">
      <c r="A17" s="4">
        <v>14</v>
      </c>
      <c r="B17" s="4" t="s">
        <v>360</v>
      </c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 t="s">
        <v>131</v>
      </c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  <c r="P18" s="1">
        <f>15810-3500</f>
        <v>12310</v>
      </c>
    </row>
    <row r="19" spans="1:17">
      <c r="A19" s="5"/>
      <c r="B19" s="5"/>
      <c r="C19" s="5">
        <f>SUM(C4:C18)</f>
        <v>328046</v>
      </c>
      <c r="D19" s="5"/>
      <c r="E19" s="5"/>
      <c r="F19" s="5"/>
      <c r="G19" s="5">
        <f>SUM(G4:G18)</f>
        <v>324566</v>
      </c>
      <c r="K19" s="1">
        <f>15810-3500</f>
        <v>12310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3480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H23" s="1">
        <f>76684-15000</f>
        <v>61684</v>
      </c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99673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Q34"/>
  <sheetViews>
    <sheetView zoomScale="145" zoomScaleNormal="145" workbookViewId="0">
      <selection activeCell="I15" sqref="I15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369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251430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18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110194</v>
      </c>
      <c r="D6" s="4"/>
      <c r="E6" s="4">
        <v>3</v>
      </c>
      <c r="F6" s="4" t="s">
        <v>16</v>
      </c>
      <c r="G6" s="4">
        <v>150000</v>
      </c>
      <c r="N6" s="1">
        <f>190+120</f>
        <v>310</v>
      </c>
    </row>
    <row r="7" spans="1:16">
      <c r="A7" s="4">
        <v>4</v>
      </c>
      <c r="B7" s="4" t="s">
        <v>358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>
        <v>100000</v>
      </c>
      <c r="D9" s="4"/>
      <c r="E9" s="4">
        <v>6</v>
      </c>
      <c r="F9" s="4" t="s">
        <v>20</v>
      </c>
      <c r="G9" s="4">
        <v>255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4" t="s">
        <v>52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76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370</v>
      </c>
      <c r="C12" s="4">
        <v>34380</v>
      </c>
      <c r="D12" s="4"/>
      <c r="E12" s="4">
        <v>9</v>
      </c>
      <c r="F12" s="4" t="s">
        <v>352</v>
      </c>
      <c r="G12" s="4"/>
      <c r="I12" s="1">
        <f>C6-10430</f>
        <v>99764</v>
      </c>
      <c r="K12" s="1">
        <f>27-33</f>
        <v>-6</v>
      </c>
    </row>
    <row r="13" spans="1:16">
      <c r="A13" s="4">
        <v>10</v>
      </c>
      <c r="B13" s="4" t="s">
        <v>50</v>
      </c>
      <c r="C13" s="4"/>
      <c r="D13" s="4"/>
      <c r="E13" s="4">
        <v>10</v>
      </c>
      <c r="F13" s="4" t="s">
        <v>368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371</v>
      </c>
      <c r="G14" s="4">
        <v>12000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13</v>
      </c>
      <c r="G15" s="4"/>
      <c r="K15" s="1">
        <f>7440+7683</f>
        <v>15123</v>
      </c>
    </row>
    <row r="16" spans="1:16">
      <c r="A16" s="4">
        <v>13</v>
      </c>
      <c r="B16" s="4" t="s">
        <v>233</v>
      </c>
      <c r="C16" s="4"/>
      <c r="D16" s="4"/>
      <c r="E16" s="4">
        <v>13</v>
      </c>
      <c r="F16" s="4" t="s">
        <v>135</v>
      </c>
      <c r="G16" s="4">
        <v>58400</v>
      </c>
      <c r="M16" s="1">
        <f>40+30+30+40+30+50</f>
        <v>220</v>
      </c>
    </row>
    <row r="17" spans="1:17">
      <c r="A17" s="4">
        <v>14</v>
      </c>
      <c r="B17" s="4" t="s">
        <v>360</v>
      </c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 t="s">
        <v>131</v>
      </c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  <c r="P18" s="1">
        <f>15810-3500</f>
        <v>12310</v>
      </c>
    </row>
    <row r="19" spans="1:17">
      <c r="A19" s="5"/>
      <c r="B19" s="5"/>
      <c r="C19" s="5">
        <f>SUM(C4:C18)</f>
        <v>546004</v>
      </c>
      <c r="D19" s="5"/>
      <c r="E19" s="5"/>
      <c r="F19" s="5"/>
      <c r="G19" s="5">
        <f>SUM(G4:G18)</f>
        <v>521120</v>
      </c>
      <c r="K19" s="1">
        <f>15810-3500</f>
        <v>12310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24884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H23" s="1">
        <f>76684-15000</f>
        <v>61684</v>
      </c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99673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Q34"/>
  <sheetViews>
    <sheetView zoomScale="145" zoomScaleNormal="145" workbookViewId="0">
      <selection activeCell="E14" sqref="E14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354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108662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100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69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98232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60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355</v>
      </c>
      <c r="G14" s="4">
        <v>100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</row>
    <row r="16" spans="1:16">
      <c r="A16" s="4">
        <v>13</v>
      </c>
      <c r="B16" s="4" t="s">
        <v>102</v>
      </c>
      <c r="C16" s="4"/>
      <c r="D16" s="4"/>
      <c r="E16" s="4">
        <v>13</v>
      </c>
      <c r="F16" s="4" t="s">
        <v>135</v>
      </c>
      <c r="G16" s="4">
        <v>71382</v>
      </c>
      <c r="M16" s="1">
        <f>40+30+30+40+30+50</f>
        <v>220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108662</v>
      </c>
      <c r="D19" s="5"/>
      <c r="E19" s="5"/>
      <c r="F19" s="5"/>
      <c r="G19" s="5">
        <f>SUM(G4:G18)</f>
        <v>71582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37080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372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159097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/>
      <c r="D11" s="4"/>
      <c r="E11" s="4">
        <v>8</v>
      </c>
      <c r="F11" s="4" t="s">
        <v>69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60</v>
      </c>
      <c r="G13" s="4"/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133</v>
      </c>
      <c r="G14" s="4"/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  <c r="N15" s="1">
        <v>40</v>
      </c>
    </row>
    <row r="16" spans="1:16">
      <c r="A16" s="4">
        <v>13</v>
      </c>
      <c r="B16" s="4" t="s">
        <v>102</v>
      </c>
      <c r="C16" s="4"/>
      <c r="D16" s="4"/>
      <c r="E16" s="4">
        <v>13</v>
      </c>
      <c r="F16" s="4" t="s">
        <v>135</v>
      </c>
      <c r="G16" s="4">
        <v>121054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159097</v>
      </c>
      <c r="D19" s="5"/>
      <c r="E19" s="5"/>
      <c r="F19" s="5"/>
      <c r="G19" s="5">
        <f>SUM(G4:G18)</f>
        <v>121104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37993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Q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376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707500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192616</v>
      </c>
      <c r="D6" s="4"/>
      <c r="E6" s="4">
        <v>3</v>
      </c>
      <c r="F6" s="4" t="s">
        <v>38</v>
      </c>
      <c r="G6" s="4">
        <v>450000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22000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357</v>
      </c>
      <c r="C10" s="4">
        <v>16000</v>
      </c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>
        <v>15000</v>
      </c>
      <c r="D11" s="4"/>
      <c r="E11" s="4">
        <v>8</v>
      </c>
      <c r="F11" s="4" t="s">
        <v>69</v>
      </c>
      <c r="G11" s="4">
        <v>157770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8500</v>
      </c>
      <c r="D12" s="4"/>
      <c r="E12" s="4">
        <v>9</v>
      </c>
      <c r="F12" s="4" t="s">
        <v>352</v>
      </c>
      <c r="G12" s="4"/>
      <c r="I12" s="1">
        <f>C6-10430</f>
        <v>182186</v>
      </c>
      <c r="K12" s="1">
        <f>27-33</f>
        <v>-6</v>
      </c>
    </row>
    <row r="13" spans="1:16">
      <c r="A13" s="4">
        <v>10</v>
      </c>
      <c r="B13" s="4" t="s">
        <v>233</v>
      </c>
      <c r="C13" s="4">
        <v>21000</v>
      </c>
      <c r="D13" s="4"/>
      <c r="E13" s="4">
        <v>10</v>
      </c>
      <c r="F13" s="4" t="s">
        <v>60</v>
      </c>
      <c r="G13" s="4"/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239</v>
      </c>
      <c r="C14" s="4">
        <v>8500</v>
      </c>
      <c r="D14" s="4"/>
      <c r="E14" s="4">
        <v>11</v>
      </c>
      <c r="F14" s="4" t="s">
        <v>133</v>
      </c>
      <c r="G14" s="4"/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269</v>
      </c>
      <c r="G15" s="4"/>
      <c r="K15" s="1">
        <f>7440+7683</f>
        <v>15123</v>
      </c>
      <c r="N15" s="1">
        <v>40</v>
      </c>
    </row>
    <row r="16" spans="1:16">
      <c r="A16" s="4">
        <v>13</v>
      </c>
      <c r="B16" s="4" t="s">
        <v>370</v>
      </c>
      <c r="C16" s="4">
        <v>16560</v>
      </c>
      <c r="D16" s="4"/>
      <c r="E16" s="4">
        <v>13</v>
      </c>
      <c r="F16" s="4" t="s">
        <v>135</v>
      </c>
      <c r="G16" s="4">
        <v>99054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1007676</v>
      </c>
      <c r="D19" s="5"/>
      <c r="E19" s="5"/>
      <c r="F19" s="5"/>
      <c r="G19" s="5">
        <f>SUM(G4:G18)</f>
        <v>1007289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387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Q34"/>
  <sheetViews>
    <sheetView zoomScale="145" zoomScaleNormal="145" workbookViewId="0">
      <selection activeCell="F26" sqref="F26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373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220600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111680</v>
      </c>
      <c r="D6" s="4"/>
      <c r="E6" s="4">
        <v>3</v>
      </c>
      <c r="F6" s="4" t="s">
        <v>38</v>
      </c>
      <c r="G6" s="4">
        <v>230000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357</v>
      </c>
      <c r="C10" s="4"/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375</v>
      </c>
      <c r="C11" s="4">
        <v>48350</v>
      </c>
      <c r="D11" s="4"/>
      <c r="E11" s="4">
        <v>8</v>
      </c>
      <c r="F11" s="4" t="s">
        <v>69</v>
      </c>
      <c r="G11" s="4">
        <v>58000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38500</v>
      </c>
      <c r="D12" s="4"/>
      <c r="E12" s="4">
        <v>9</v>
      </c>
      <c r="F12" s="4" t="s">
        <v>352</v>
      </c>
      <c r="G12" s="4"/>
      <c r="I12" s="1">
        <f>C6-10430</f>
        <v>101250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374</v>
      </c>
      <c r="G13" s="4">
        <v>10000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239</v>
      </c>
      <c r="C14" s="4"/>
      <c r="D14" s="4"/>
      <c r="E14" s="4">
        <v>11</v>
      </c>
      <c r="F14" s="4" t="s">
        <v>133</v>
      </c>
      <c r="G14" s="4"/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71</v>
      </c>
      <c r="G15" s="4">
        <v>9000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370</v>
      </c>
      <c r="C16" s="4"/>
      <c r="D16" s="4"/>
      <c r="E16" s="4">
        <v>13</v>
      </c>
      <c r="F16" s="4" t="s">
        <v>135</v>
      </c>
      <c r="G16" s="4">
        <v>91414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419130</v>
      </c>
      <c r="D19" s="5"/>
      <c r="E19" s="5"/>
      <c r="F19" s="5"/>
      <c r="G19" s="5">
        <f>SUM(G4:G18)</f>
        <v>398714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20416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Q34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377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452900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132625</v>
      </c>
      <c r="D6" s="4"/>
      <c r="E6" s="4">
        <v>3</v>
      </c>
      <c r="F6" s="4" t="s">
        <v>38</v>
      </c>
      <c r="G6" s="4">
        <v>320000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357</v>
      </c>
      <c r="C10" s="4"/>
      <c r="D10" s="4"/>
      <c r="E10" s="4">
        <v>7</v>
      </c>
      <c r="F10" s="4" t="s">
        <v>20</v>
      </c>
      <c r="G10" s="4">
        <v>175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375</v>
      </c>
      <c r="C11" s="4"/>
      <c r="D11" s="4"/>
      <c r="E11" s="4">
        <v>8</v>
      </c>
      <c r="F11" s="4" t="s">
        <v>69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122195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374</v>
      </c>
      <c r="G13" s="4"/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239</v>
      </c>
      <c r="C14" s="4"/>
      <c r="D14" s="4"/>
      <c r="E14" s="4">
        <v>11</v>
      </c>
      <c r="F14" s="4" t="s">
        <v>133</v>
      </c>
      <c r="G14" s="4"/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50</v>
      </c>
      <c r="C15" s="4">
        <v>33500</v>
      </c>
      <c r="D15" s="4"/>
      <c r="E15" s="4">
        <v>12</v>
      </c>
      <c r="F15" s="6" t="s">
        <v>71</v>
      </c>
      <c r="G15" s="4"/>
      <c r="K15" s="1">
        <f>7440+7683</f>
        <v>15123</v>
      </c>
      <c r="N15" s="1">
        <v>40</v>
      </c>
    </row>
    <row r="16" spans="1:16">
      <c r="A16" s="4">
        <v>13</v>
      </c>
      <c r="B16" s="4" t="s">
        <v>370</v>
      </c>
      <c r="C16" s="4"/>
      <c r="D16" s="4"/>
      <c r="E16" s="4">
        <v>13</v>
      </c>
      <c r="F16" s="4" t="s">
        <v>135</v>
      </c>
      <c r="G16" s="4">
        <v>96596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619025</v>
      </c>
      <c r="D19" s="5"/>
      <c r="E19" s="5"/>
      <c r="F19" s="5"/>
      <c r="G19" s="5">
        <f>SUM(G4:G18)</f>
        <v>617086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1939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378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491500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122265</v>
      </c>
      <c r="D6" s="4"/>
      <c r="E6" s="4">
        <v>3</v>
      </c>
      <c r="F6" s="4" t="s">
        <v>38</v>
      </c>
      <c r="G6" s="4">
        <v>350000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357</v>
      </c>
      <c r="C10" s="4"/>
      <c r="D10" s="4"/>
      <c r="E10" s="4">
        <v>7</v>
      </c>
      <c r="F10" s="4" t="s">
        <v>20</v>
      </c>
      <c r="G10" s="4">
        <v>115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375</v>
      </c>
      <c r="C11" s="4"/>
      <c r="D11" s="4"/>
      <c r="E11" s="4">
        <v>8</v>
      </c>
      <c r="F11" s="4" t="s">
        <v>69</v>
      </c>
      <c r="G11" s="4">
        <v>138400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111835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374</v>
      </c>
      <c r="G13" s="4"/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239</v>
      </c>
      <c r="C14" s="4"/>
      <c r="D14" s="4"/>
      <c r="E14" s="4">
        <v>11</v>
      </c>
      <c r="F14" s="4" t="s">
        <v>133</v>
      </c>
      <c r="G14" s="4"/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71</v>
      </c>
      <c r="G15" s="4"/>
      <c r="K15" s="1">
        <f>7440+7683</f>
        <v>15123</v>
      </c>
      <c r="N15" s="1">
        <v>40</v>
      </c>
    </row>
    <row r="16" spans="1:16">
      <c r="A16" s="4">
        <v>13</v>
      </c>
      <c r="B16" s="4" t="s">
        <v>370</v>
      </c>
      <c r="C16" s="4"/>
      <c r="D16" s="4"/>
      <c r="E16" s="4">
        <v>13</v>
      </c>
      <c r="F16" s="4" t="s">
        <v>135</v>
      </c>
      <c r="G16" s="4">
        <v>93640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613765</v>
      </c>
      <c r="D19" s="5"/>
      <c r="E19" s="5"/>
      <c r="F19" s="5"/>
      <c r="G19" s="5">
        <f>SUM(G4:G18)</f>
        <v>582455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31310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Q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379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f>57200+500000+150000+105100</f>
        <v>812300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>
        <v>200000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f>6265+4778+37982+28946+9192+6432+9237</f>
        <v>102832</v>
      </c>
      <c r="D6" s="4"/>
      <c r="E6" s="4">
        <v>3</v>
      </c>
      <c r="F6" s="4" t="s">
        <v>38</v>
      </c>
      <c r="G6" s="4">
        <v>350000</v>
      </c>
      <c r="N6" s="1">
        <f>190+120</f>
        <v>310</v>
      </c>
    </row>
    <row r="7" spans="1:16">
      <c r="A7" s="4">
        <v>4</v>
      </c>
      <c r="B7" s="4" t="s">
        <v>19</v>
      </c>
      <c r="C7" s="4">
        <v>86700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>
        <v>38000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357</v>
      </c>
      <c r="C10" s="4"/>
      <c r="D10" s="4"/>
      <c r="E10" s="4">
        <v>7</v>
      </c>
      <c r="F10" s="4" t="s">
        <v>20</v>
      </c>
      <c r="G10" s="4">
        <v>190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375</v>
      </c>
      <c r="C11" s="4"/>
      <c r="D11" s="4"/>
      <c r="E11" s="4">
        <v>8</v>
      </c>
      <c r="F11" s="4" t="s">
        <v>69</v>
      </c>
      <c r="G11" s="4">
        <v>57200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92402</v>
      </c>
      <c r="K12" s="1">
        <f>27-33</f>
        <v>-6</v>
      </c>
    </row>
    <row r="13" spans="1:16">
      <c r="A13" s="4">
        <v>10</v>
      </c>
      <c r="B13" s="4" t="s">
        <v>380</v>
      </c>
      <c r="C13" s="4">
        <v>41500</v>
      </c>
      <c r="D13" s="4"/>
      <c r="E13" s="4">
        <v>10</v>
      </c>
      <c r="F13" s="4" t="s">
        <v>374</v>
      </c>
      <c r="G13" s="4"/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239</v>
      </c>
      <c r="C14" s="4"/>
      <c r="D14" s="4"/>
      <c r="E14" s="4">
        <v>11</v>
      </c>
      <c r="F14" s="4" t="s">
        <v>204</v>
      </c>
      <c r="G14" s="4">
        <v>100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233</v>
      </c>
      <c r="C15" s="4">
        <v>20000</v>
      </c>
      <c r="D15" s="4"/>
      <c r="E15" s="4">
        <v>12</v>
      </c>
      <c r="F15" s="6" t="s">
        <v>71</v>
      </c>
      <c r="G15" s="4"/>
      <c r="K15" s="1">
        <f>7440+7683</f>
        <v>15123</v>
      </c>
      <c r="N15" s="1">
        <v>40</v>
      </c>
    </row>
    <row r="16" spans="1:16">
      <c r="A16" s="4">
        <v>13</v>
      </c>
      <c r="B16" s="4" t="s">
        <v>370</v>
      </c>
      <c r="C16" s="4"/>
      <c r="D16" s="4"/>
      <c r="E16" s="4">
        <v>13</v>
      </c>
      <c r="F16" s="4" t="s">
        <v>135</v>
      </c>
      <c r="G16" s="4">
        <f>6265+27982+8946</f>
        <v>43193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1151332</v>
      </c>
      <c r="D19" s="5"/>
      <c r="E19" s="5"/>
      <c r="F19" s="5"/>
      <c r="G19" s="5">
        <f>SUM(G4:G18)</f>
        <v>1151198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134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Q34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381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314800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6" t="s">
        <v>320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500000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150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357</v>
      </c>
      <c r="C10" s="4"/>
      <c r="D10" s="4"/>
      <c r="E10" s="4">
        <v>7</v>
      </c>
      <c r="F10" s="4" t="s">
        <v>20</v>
      </c>
      <c r="G10" s="4">
        <v>125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383</v>
      </c>
      <c r="C11" s="4">
        <v>48200</v>
      </c>
      <c r="D11" s="4"/>
      <c r="E11" s="4">
        <v>8</v>
      </c>
      <c r="F11" s="4" t="s">
        <v>385</v>
      </c>
      <c r="G11" s="4">
        <v>200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382</v>
      </c>
      <c r="C13" s="4">
        <v>7500</v>
      </c>
      <c r="D13" s="4"/>
      <c r="E13" s="4">
        <v>10</v>
      </c>
      <c r="F13" s="4" t="s">
        <v>374</v>
      </c>
      <c r="G13" s="4"/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>
        <v>34000</v>
      </c>
      <c r="D14" s="4"/>
      <c r="E14" s="4">
        <v>11</v>
      </c>
      <c r="F14" s="4" t="s">
        <v>204</v>
      </c>
      <c r="G14" s="4"/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233</v>
      </c>
      <c r="C15" s="4">
        <v>79000</v>
      </c>
      <c r="D15" s="4"/>
      <c r="E15" s="4">
        <v>12</v>
      </c>
      <c r="F15" s="6" t="s">
        <v>71</v>
      </c>
      <c r="G15" s="4"/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>
        <v>20000</v>
      </c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503500</v>
      </c>
      <c r="D19" s="5"/>
      <c r="E19" s="5"/>
      <c r="F19" s="5"/>
      <c r="G19" s="5">
        <f>SUM(G4:G18)</f>
        <v>500475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3025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L23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75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734000</v>
      </c>
      <c r="D4" s="4"/>
      <c r="E4" s="4">
        <v>1</v>
      </c>
      <c r="F4" s="4" t="s">
        <v>5</v>
      </c>
      <c r="G4" s="4">
        <v>450000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116360</v>
      </c>
      <c r="D6" s="4"/>
      <c r="E6" s="4">
        <v>3</v>
      </c>
      <c r="F6" s="4" t="s">
        <v>38</v>
      </c>
      <c r="G6" s="4">
        <v>300000</v>
      </c>
    </row>
    <row r="7" spans="1:11">
      <c r="A7" s="4">
        <v>4</v>
      </c>
      <c r="B7" s="4" t="s">
        <v>7</v>
      </c>
      <c r="C7" s="4">
        <v>50000</v>
      </c>
      <c r="D7" s="4"/>
      <c r="E7" s="4">
        <v>4</v>
      </c>
      <c r="F7" s="4" t="s">
        <v>39</v>
      </c>
      <c r="G7" s="4">
        <v>220</v>
      </c>
      <c r="K7" s="1">
        <f>30*20</f>
        <v>600</v>
      </c>
    </row>
    <row r="8" spans="1:11">
      <c r="A8" s="4">
        <v>5</v>
      </c>
      <c r="B8" s="4" t="s">
        <v>8</v>
      </c>
      <c r="C8" s="4"/>
      <c r="D8" s="4"/>
      <c r="E8" s="4">
        <v>5</v>
      </c>
      <c r="F8" s="4" t="s">
        <v>9</v>
      </c>
      <c r="G8" s="4">
        <v>300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>
        <v>475</v>
      </c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69</v>
      </c>
      <c r="G10" s="4"/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76</v>
      </c>
      <c r="G11" s="4">
        <v>12000</v>
      </c>
    </row>
    <row r="12" spans="1:11">
      <c r="A12" s="4">
        <v>9</v>
      </c>
      <c r="B12" s="4"/>
      <c r="C12" s="4"/>
      <c r="D12" s="4"/>
      <c r="E12" s="4">
        <v>9</v>
      </c>
      <c r="F12" s="4" t="s">
        <v>77</v>
      </c>
      <c r="G12" s="4">
        <v>17095</v>
      </c>
    </row>
    <row r="13" spans="1:11">
      <c r="A13" s="4">
        <v>10</v>
      </c>
      <c r="B13" s="4"/>
      <c r="C13" s="4"/>
      <c r="D13" s="4"/>
      <c r="E13" s="4">
        <v>10</v>
      </c>
      <c r="F13" s="4" t="s">
        <v>74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47794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 t="s">
        <v>78</v>
      </c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900360</v>
      </c>
      <c r="D19" s="5"/>
      <c r="E19" s="5"/>
      <c r="F19" s="5"/>
      <c r="G19" s="5">
        <f>SUM(G4:G18)</f>
        <v>827884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72476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386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732500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4</v>
      </c>
      <c r="C5" s="4">
        <v>150000</v>
      </c>
      <c r="D5" s="4"/>
      <c r="E5" s="4">
        <v>2</v>
      </c>
      <c r="F5" s="4" t="s">
        <v>5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219560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330</v>
      </c>
    </row>
    <row r="8" spans="1:16">
      <c r="A8" s="4">
        <v>5</v>
      </c>
      <c r="B8" s="4" t="s">
        <v>7</v>
      </c>
      <c r="C8" s="4">
        <v>80000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388</v>
      </c>
      <c r="C10" s="4">
        <v>66075</v>
      </c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383</v>
      </c>
      <c r="C11" s="4"/>
      <c r="D11" s="4"/>
      <c r="E11" s="4">
        <v>8</v>
      </c>
      <c r="F11" s="4" t="s">
        <v>387</v>
      </c>
      <c r="G11" s="4">
        <v>600000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/>
      <c r="D12" s="4"/>
      <c r="E12" s="4">
        <v>9</v>
      </c>
      <c r="F12" s="4" t="s">
        <v>352</v>
      </c>
      <c r="G12" s="4"/>
      <c r="I12" s="1">
        <f>C6-10430</f>
        <v>209130</v>
      </c>
      <c r="K12" s="1">
        <f>27-33</f>
        <v>-6</v>
      </c>
    </row>
    <row r="13" spans="1:16">
      <c r="A13" s="4">
        <v>10</v>
      </c>
      <c r="B13" s="4" t="s">
        <v>382</v>
      </c>
      <c r="C13" s="4"/>
      <c r="D13" s="4"/>
      <c r="E13" s="4">
        <v>10</v>
      </c>
      <c r="F13" s="4" t="s">
        <v>374</v>
      </c>
      <c r="G13" s="4"/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204</v>
      </c>
      <c r="G14" s="4"/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233</v>
      </c>
      <c r="C15" s="4"/>
      <c r="D15" s="4"/>
      <c r="E15" s="4">
        <v>12</v>
      </c>
      <c r="F15" s="6" t="s">
        <v>389</v>
      </c>
      <c r="G15" s="4">
        <v>15000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45170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1248135</v>
      </c>
      <c r="D19" s="5"/>
      <c r="E19" s="5"/>
      <c r="F19" s="5"/>
      <c r="G19" s="5">
        <f>SUM(G4:G18)</f>
        <v>1210750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37385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Q34"/>
  <sheetViews>
    <sheetView zoomScale="145" zoomScaleNormal="145" workbookViewId="0">
      <selection activeCell="C14" sqref="C14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390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628000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>
        <v>500000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192965</v>
      </c>
      <c r="D6" s="4"/>
      <c r="E6" s="4">
        <v>3</v>
      </c>
      <c r="F6" s="4" t="s">
        <v>38</v>
      </c>
      <c r="G6" s="4">
        <v>500000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391</v>
      </c>
      <c r="C10" s="4">
        <v>17900</v>
      </c>
      <c r="D10" s="4"/>
      <c r="E10" s="4">
        <v>7</v>
      </c>
      <c r="F10" s="4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110</v>
      </c>
      <c r="C11" s="4">
        <v>90500</v>
      </c>
      <c r="D11" s="4"/>
      <c r="E11" s="4">
        <v>8</v>
      </c>
      <c r="F11" s="4" t="s">
        <v>387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392</v>
      </c>
      <c r="C12" s="4">
        <v>100000</v>
      </c>
      <c r="D12" s="4"/>
      <c r="E12" s="4">
        <v>9</v>
      </c>
      <c r="F12" s="4" t="s">
        <v>352</v>
      </c>
      <c r="G12" s="4"/>
      <c r="I12" s="1">
        <f>C6-10430</f>
        <v>182535</v>
      </c>
      <c r="K12" s="1">
        <f>27-33</f>
        <v>-6</v>
      </c>
    </row>
    <row r="13" spans="1:16">
      <c r="A13" s="4">
        <v>10</v>
      </c>
      <c r="B13" s="4" t="s">
        <v>393</v>
      </c>
      <c r="C13" s="4">
        <v>33540</v>
      </c>
      <c r="D13" s="4"/>
      <c r="E13" s="4">
        <v>10</v>
      </c>
      <c r="F13" s="4" t="s">
        <v>374</v>
      </c>
      <c r="G13" s="4"/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64</v>
      </c>
      <c r="C14" s="4">
        <v>73265</v>
      </c>
      <c r="D14" s="4"/>
      <c r="E14" s="4">
        <v>11</v>
      </c>
      <c r="F14" s="4" t="s">
        <v>204</v>
      </c>
      <c r="G14" s="4"/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233</v>
      </c>
      <c r="C15" s="4"/>
      <c r="D15" s="4"/>
      <c r="E15" s="4">
        <v>12</v>
      </c>
      <c r="F15" s="6" t="s">
        <v>389</v>
      </c>
      <c r="G15" s="4"/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132807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1136170</v>
      </c>
      <c r="D19" s="5"/>
      <c r="E19" s="5"/>
      <c r="F19" s="5"/>
      <c r="G19" s="5">
        <f>SUM(G4:G18)</f>
        <v>1133257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2913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Q34"/>
  <sheetViews>
    <sheetView zoomScale="145" zoomScaleNormal="145" workbookViewId="0">
      <selection activeCell="F19" sqref="F19"/>
    </sheetView>
  </sheetViews>
  <sheetFormatPr defaultColWidth="9.140625" defaultRowHeight="15.75"/>
  <cols>
    <col min="1" max="1" width="6.85546875" style="1" customWidth="1"/>
    <col min="2" max="2" width="19.1406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396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689000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>
        <v>101700</v>
      </c>
      <c r="D5" s="4"/>
      <c r="E5" s="4">
        <v>2</v>
      </c>
      <c r="F5" s="4" t="s">
        <v>18</v>
      </c>
      <c r="G5" s="4">
        <v>300000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177353</v>
      </c>
      <c r="D6" s="4"/>
      <c r="E6" s="4">
        <v>3</v>
      </c>
      <c r="F6" s="4" t="s">
        <v>38</v>
      </c>
      <c r="G6" s="4">
        <v>400000</v>
      </c>
      <c r="N6" s="1">
        <f>190+120</f>
        <v>310</v>
      </c>
    </row>
    <row r="7" spans="1:16">
      <c r="A7" s="4">
        <v>4</v>
      </c>
      <c r="B7" s="4" t="s">
        <v>19</v>
      </c>
      <c r="C7" s="4">
        <v>100000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357</v>
      </c>
      <c r="C8" s="4">
        <v>90000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394</v>
      </c>
      <c r="C9" s="4">
        <v>100000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>
        <v>25500</v>
      </c>
      <c r="D10" s="4"/>
      <c r="E10" s="4">
        <v>7</v>
      </c>
      <c r="F10" s="4" t="s">
        <v>20</v>
      </c>
      <c r="G10" s="4">
        <v>100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13000</v>
      </c>
      <c r="D11" s="4"/>
      <c r="E11" s="4">
        <v>8</v>
      </c>
      <c r="F11" s="4" t="s">
        <v>387</v>
      </c>
      <c r="G11" s="4">
        <v>300000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>
        <v>20000</v>
      </c>
      <c r="D12" s="4"/>
      <c r="E12" s="4">
        <v>9</v>
      </c>
      <c r="F12" s="4" t="s">
        <v>352</v>
      </c>
      <c r="G12" s="4"/>
      <c r="I12" s="1">
        <f>C6-10430</f>
        <v>166923</v>
      </c>
      <c r="K12" s="1">
        <f>27-33</f>
        <v>-6</v>
      </c>
    </row>
    <row r="13" spans="1:16">
      <c r="A13" s="4">
        <v>10</v>
      </c>
      <c r="B13" s="4" t="s">
        <v>314</v>
      </c>
      <c r="C13" s="4">
        <v>20100</v>
      </c>
      <c r="D13" s="4"/>
      <c r="E13" s="4">
        <v>10</v>
      </c>
      <c r="F13" s="4" t="s">
        <v>104</v>
      </c>
      <c r="G13" s="4">
        <v>8516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>
        <v>10000</v>
      </c>
      <c r="D14" s="4"/>
      <c r="E14" s="4">
        <v>11</v>
      </c>
      <c r="F14" s="4" t="s">
        <v>169</v>
      </c>
      <c r="G14" s="4">
        <v>750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>
        <v>30000</v>
      </c>
      <c r="D15" s="4"/>
      <c r="E15" s="4">
        <v>12</v>
      </c>
      <c r="F15" s="6" t="s">
        <v>395</v>
      </c>
      <c r="G15" s="4">
        <v>10000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28290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1376653</v>
      </c>
      <c r="D19" s="5"/>
      <c r="E19" s="5"/>
      <c r="F19" s="5"/>
      <c r="G19" s="5">
        <f>SUM(G4:G18)</f>
        <v>1298171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78482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Q34"/>
  <sheetViews>
    <sheetView zoomScale="145" zoomScaleNormal="145" workbookViewId="0">
      <selection activeCell="J14" sqref="J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399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500000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212206</v>
      </c>
      <c r="D6" s="4"/>
      <c r="E6" s="4">
        <v>3</v>
      </c>
      <c r="F6" s="4" t="s">
        <v>38</v>
      </c>
      <c r="G6" s="4">
        <v>500000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357</v>
      </c>
      <c r="C8" s="4"/>
      <c r="D8" s="4"/>
      <c r="E8" s="4">
        <v>5</v>
      </c>
      <c r="F8" s="4" t="s">
        <v>9</v>
      </c>
      <c r="G8" s="4">
        <v>60</v>
      </c>
      <c r="K8" s="1">
        <f>310+200</f>
        <v>510</v>
      </c>
    </row>
    <row r="9" spans="1:16">
      <c r="A9" s="4">
        <v>6</v>
      </c>
      <c r="B9" s="4" t="s">
        <v>394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402</v>
      </c>
      <c r="G10" s="4">
        <v>3000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401</v>
      </c>
      <c r="G11" s="4">
        <v>450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352</v>
      </c>
      <c r="G12" s="4">
        <v>8500</v>
      </c>
      <c r="I12" s="1">
        <f>C6-10430</f>
        <v>201776</v>
      </c>
      <c r="K12" s="1">
        <f>27-33</f>
        <v>-6</v>
      </c>
    </row>
    <row r="13" spans="1:16">
      <c r="A13" s="4">
        <v>10</v>
      </c>
      <c r="B13" s="4" t="s">
        <v>314</v>
      </c>
      <c r="C13" s="4"/>
      <c r="D13" s="4"/>
      <c r="E13" s="4">
        <v>10</v>
      </c>
      <c r="F13" s="6" t="s">
        <v>397</v>
      </c>
      <c r="G13" s="4">
        <v>6000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398</v>
      </c>
      <c r="G14" s="4">
        <v>30000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400</v>
      </c>
      <c r="G15" s="4">
        <v>5000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111375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712206</v>
      </c>
      <c r="D19" s="5"/>
      <c r="E19" s="5"/>
      <c r="F19" s="5"/>
      <c r="G19" s="5">
        <f>SUM(G4:G18)</f>
        <v>664385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47821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Q34"/>
  <sheetViews>
    <sheetView zoomScale="145" zoomScaleNormal="145" workbookViewId="0">
      <selection activeCell="C4" sqref="C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404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215531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357</v>
      </c>
      <c r="C8" s="4"/>
      <c r="D8" s="4"/>
      <c r="E8" s="4">
        <v>5</v>
      </c>
      <c r="F8" s="4" t="s">
        <v>9</v>
      </c>
      <c r="G8" s="4">
        <v>50</v>
      </c>
      <c r="K8" s="1">
        <f>310+200</f>
        <v>510</v>
      </c>
    </row>
    <row r="9" spans="1:16">
      <c r="A9" s="4">
        <v>6</v>
      </c>
      <c r="B9" s="4" t="s">
        <v>394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402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401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352</v>
      </c>
      <c r="G12" s="4"/>
      <c r="I12" s="1">
        <f>C6-10430</f>
        <v>205101</v>
      </c>
      <c r="K12" s="1">
        <f>27-33</f>
        <v>-6</v>
      </c>
    </row>
    <row r="13" spans="1:16">
      <c r="A13" s="4">
        <v>10</v>
      </c>
      <c r="B13" s="4" t="s">
        <v>351</v>
      </c>
      <c r="C13" s="4">
        <v>46590</v>
      </c>
      <c r="D13" s="4"/>
      <c r="E13" s="4">
        <v>10</v>
      </c>
      <c r="F13" s="6" t="s">
        <v>405</v>
      </c>
      <c r="G13" s="4">
        <v>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403</v>
      </c>
      <c r="G14" s="4">
        <v>300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400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132226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262121</v>
      </c>
      <c r="D19" s="5"/>
      <c r="E19" s="5"/>
      <c r="F19" s="5"/>
      <c r="G19" s="5">
        <f>SUM(G4:G18)</f>
        <v>133576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128545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Q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406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250033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357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394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402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408</v>
      </c>
      <c r="G11" s="4">
        <v>2000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409</v>
      </c>
      <c r="G12" s="4">
        <v>2000</v>
      </c>
      <c r="I12" s="1">
        <f>C6-10430</f>
        <v>239603</v>
      </c>
      <c r="K12" s="1">
        <f>27-33</f>
        <v>-6</v>
      </c>
    </row>
    <row r="13" spans="1:16">
      <c r="A13" s="4">
        <v>10</v>
      </c>
      <c r="B13" s="4" t="s">
        <v>351</v>
      </c>
      <c r="C13" s="4"/>
      <c r="D13" s="4"/>
      <c r="E13" s="4">
        <v>10</v>
      </c>
      <c r="F13" s="6" t="s">
        <v>407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403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400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81066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250033</v>
      </c>
      <c r="D19" s="5"/>
      <c r="E19" s="5"/>
      <c r="F19" s="5"/>
      <c r="G19" s="5">
        <f>SUM(G4:G18)</f>
        <v>88266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161767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Q34"/>
  <sheetViews>
    <sheetView zoomScale="145" zoomScaleNormal="145" workbookViewId="0">
      <selection activeCell="C5" sqref="C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412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200000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268474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357</v>
      </c>
      <c r="C8" s="4"/>
      <c r="D8" s="4"/>
      <c r="E8" s="4">
        <v>5</v>
      </c>
      <c r="F8" s="4" t="s">
        <v>9</v>
      </c>
      <c r="G8" s="4">
        <v>140</v>
      </c>
      <c r="K8" s="1">
        <f>310+200</f>
        <v>510</v>
      </c>
    </row>
    <row r="9" spans="1:16">
      <c r="A9" s="4">
        <v>6</v>
      </c>
      <c r="B9" s="4" t="s">
        <v>394</v>
      </c>
      <c r="C9" s="4"/>
      <c r="D9" s="4"/>
      <c r="E9" s="4">
        <v>6</v>
      </c>
      <c r="F9" s="4" t="s">
        <v>336</v>
      </c>
      <c r="G9" s="4">
        <v>200000</v>
      </c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402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408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409</v>
      </c>
      <c r="G12" s="4"/>
      <c r="I12" s="1">
        <f>C6-10430</f>
        <v>258044</v>
      </c>
      <c r="K12" s="1">
        <f>27-33</f>
        <v>-6</v>
      </c>
    </row>
    <row r="13" spans="1:16">
      <c r="A13" s="4">
        <v>10</v>
      </c>
      <c r="B13" s="4" t="s">
        <v>351</v>
      </c>
      <c r="C13" s="4"/>
      <c r="D13" s="4"/>
      <c r="E13" s="4">
        <v>10</v>
      </c>
      <c r="F13" s="6" t="s">
        <v>407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403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400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213179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468474</v>
      </c>
      <c r="D19" s="5"/>
      <c r="E19" s="5"/>
      <c r="F19" s="5"/>
      <c r="G19" s="5">
        <f>SUM(G4:G18)</f>
        <v>413319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55155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Q34"/>
  <sheetViews>
    <sheetView zoomScale="145" zoomScaleNormal="145" workbookViewId="0">
      <selection activeCell="C4" sqref="C4:C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413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f>813420+250100</f>
        <v>1063520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>
        <v>350000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213179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>
        <v>123470</v>
      </c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124</v>
      </c>
      <c r="C8" s="4">
        <v>50590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>
        <v>45000</v>
      </c>
      <c r="D9" s="4"/>
      <c r="E9" s="4">
        <v>6</v>
      </c>
      <c r="F9" s="4" t="s">
        <v>336</v>
      </c>
      <c r="G9" s="4">
        <v>400000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410</v>
      </c>
      <c r="G10" s="4">
        <v>250900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25</v>
      </c>
      <c r="C11" s="4">
        <v>15320</v>
      </c>
      <c r="D11" s="4"/>
      <c r="E11" s="4">
        <v>8</v>
      </c>
      <c r="F11" s="4" t="s">
        <v>20</v>
      </c>
      <c r="G11" s="4">
        <v>120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409</v>
      </c>
      <c r="G12" s="4"/>
      <c r="I12" s="1">
        <f>C6-10430</f>
        <v>202749</v>
      </c>
      <c r="K12" s="1">
        <f>27-33</f>
        <v>-6</v>
      </c>
    </row>
    <row r="13" spans="1:16">
      <c r="A13" s="4">
        <v>10</v>
      </c>
      <c r="B13" s="4" t="s">
        <v>24</v>
      </c>
      <c r="C13" s="4">
        <v>14000</v>
      </c>
      <c r="D13" s="4"/>
      <c r="E13" s="4">
        <v>10</v>
      </c>
      <c r="F13" s="6" t="s">
        <v>27</v>
      </c>
      <c r="G13" s="4">
        <v>14000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403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400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152212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1575079</v>
      </c>
      <c r="D19" s="5"/>
      <c r="E19" s="5"/>
      <c r="F19" s="5"/>
      <c r="G19" s="5">
        <f>SUM(G4:G18)</f>
        <v>1567732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7347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F25" s="1">
        <f>3800+1600+2000</f>
        <v>7400</v>
      </c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Q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417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704000</v>
      </c>
      <c r="D4" s="4"/>
      <c r="E4" s="4">
        <v>1</v>
      </c>
      <c r="F4" s="4" t="s">
        <v>5</v>
      </c>
      <c r="G4" s="4">
        <v>1092000</v>
      </c>
    </row>
    <row r="5" spans="1:16">
      <c r="A5" s="4">
        <v>2</v>
      </c>
      <c r="B5" s="4" t="s">
        <v>4</v>
      </c>
      <c r="C5" s="4">
        <v>954500</v>
      </c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290338</v>
      </c>
      <c r="D6" s="4"/>
      <c r="E6" s="4">
        <v>3</v>
      </c>
      <c r="F6" s="4" t="s">
        <v>38</v>
      </c>
      <c r="G6" s="4">
        <v>600000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675</v>
      </c>
    </row>
    <row r="8" spans="1:16">
      <c r="A8" s="4">
        <v>5</v>
      </c>
      <c r="B8" s="4" t="s">
        <v>124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8</v>
      </c>
      <c r="C10" s="4">
        <v>100000</v>
      </c>
      <c r="D10" s="4"/>
      <c r="E10" s="4">
        <v>7</v>
      </c>
      <c r="F10" s="6" t="s">
        <v>410</v>
      </c>
      <c r="G10" s="4">
        <v>204850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25</v>
      </c>
      <c r="C11" s="4"/>
      <c r="D11" s="4"/>
      <c r="E11" s="4">
        <v>8</v>
      </c>
      <c r="F11" s="4" t="s">
        <v>414</v>
      </c>
      <c r="G11" s="4">
        <v>6700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415</v>
      </c>
      <c r="G12" s="4">
        <v>6380</v>
      </c>
      <c r="I12" s="1">
        <f>C6-10430</f>
        <v>279908</v>
      </c>
      <c r="K12" s="1">
        <f>27-33</f>
        <v>-6</v>
      </c>
    </row>
    <row r="13" spans="1:16">
      <c r="A13" s="4">
        <v>10</v>
      </c>
      <c r="B13" s="4" t="s">
        <v>24</v>
      </c>
      <c r="C13" s="4">
        <v>10000</v>
      </c>
      <c r="D13" s="4"/>
      <c r="E13" s="4">
        <v>10</v>
      </c>
      <c r="F13" s="6" t="s">
        <v>416</v>
      </c>
      <c r="G13" s="4">
        <v>3180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403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400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141029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2058838</v>
      </c>
      <c r="D19" s="5"/>
      <c r="E19" s="5"/>
      <c r="F19" s="5"/>
      <c r="G19" s="5">
        <f>SUM(G4:G18)</f>
        <v>2055114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3724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F23" s="1">
        <f>45385-766</f>
        <v>44619</v>
      </c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F25" s="1">
        <f>3800+1600+2000</f>
        <v>7400</v>
      </c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Q34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418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404000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275504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124</v>
      </c>
      <c r="C8" s="4"/>
      <c r="D8" s="4"/>
      <c r="E8" s="4">
        <v>5</v>
      </c>
      <c r="F8" s="4" t="s">
        <v>9</v>
      </c>
      <c r="G8" s="4">
        <v>100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>
        <v>450000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25</v>
      </c>
      <c r="C11" s="4"/>
      <c r="D11" s="4"/>
      <c r="E11" s="4">
        <v>8</v>
      </c>
      <c r="F11" s="4" t="s">
        <v>414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415</v>
      </c>
      <c r="G12" s="4"/>
      <c r="I12" s="1">
        <f>C6-10430</f>
        <v>265074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416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403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400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210695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679504</v>
      </c>
      <c r="D19" s="5"/>
      <c r="E19" s="5"/>
      <c r="F19" s="5"/>
      <c r="G19" s="5">
        <f>SUM(G4:G18)</f>
        <v>660795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18709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F23" s="1">
        <f>45385-766</f>
        <v>44619</v>
      </c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F25" s="1">
        <f>3800+1600+2000</f>
        <v>7400</v>
      </c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L23"/>
  <sheetViews>
    <sheetView zoomScale="145" zoomScaleNormal="145" workbookViewId="0">
      <selection activeCell="H21" sqref="H21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79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986000</v>
      </c>
      <c r="D4" s="4"/>
      <c r="E4" s="4">
        <v>1</v>
      </c>
      <c r="F4" s="4" t="s">
        <v>5</v>
      </c>
      <c r="G4" s="4">
        <v>450000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177914</v>
      </c>
      <c r="D6" s="4"/>
      <c r="E6" s="4">
        <v>3</v>
      </c>
      <c r="F6" s="4" t="s">
        <v>38</v>
      </c>
      <c r="G6" s="4">
        <v>700000</v>
      </c>
    </row>
    <row r="7" spans="1:11">
      <c r="A7" s="4">
        <v>4</v>
      </c>
      <c r="B7" s="4" t="s">
        <v>7</v>
      </c>
      <c r="C7" s="4">
        <v>20000</v>
      </c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1">
      <c r="A8" s="4">
        <v>5</v>
      </c>
      <c r="B8" s="4" t="s">
        <v>80</v>
      </c>
      <c r="C8" s="4">
        <v>99942</v>
      </c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>
        <v>345</v>
      </c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81</v>
      </c>
      <c r="G10" s="4">
        <v>24000</v>
      </c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82</v>
      </c>
      <c r="G11" s="4">
        <v>370</v>
      </c>
    </row>
    <row r="12" spans="1:11">
      <c r="A12" s="4">
        <v>9</v>
      </c>
      <c r="B12" s="4"/>
      <c r="C12" s="4"/>
      <c r="D12" s="4"/>
      <c r="E12" s="4">
        <v>9</v>
      </c>
      <c r="F12" s="4" t="s">
        <v>83</v>
      </c>
      <c r="G12" s="4">
        <v>6200</v>
      </c>
    </row>
    <row r="13" spans="1:11">
      <c r="A13" s="4">
        <v>10</v>
      </c>
      <c r="B13" s="4"/>
      <c r="C13" s="4"/>
      <c r="D13" s="4"/>
      <c r="E13" s="4">
        <v>10</v>
      </c>
      <c r="F13" s="4" t="s">
        <v>84</v>
      </c>
      <c r="G13" s="4">
        <v>2000</v>
      </c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74809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 t="s">
        <v>78</v>
      </c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1283856</v>
      </c>
      <c r="D19" s="5"/>
      <c r="E19" s="5"/>
      <c r="F19" s="5"/>
      <c r="G19" s="5">
        <f>SUM(G4:G18)</f>
        <v>1258189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25667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Q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419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632000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>
        <v>320000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277795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124</v>
      </c>
      <c r="C8" s="4"/>
      <c r="D8" s="4"/>
      <c r="E8" s="4">
        <v>5</v>
      </c>
      <c r="F8" s="4" t="s">
        <v>9</v>
      </c>
      <c r="G8" s="4">
        <v>270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>
        <v>250000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410</v>
      </c>
      <c r="G10" s="4">
        <v>163770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25</v>
      </c>
      <c r="C11" s="4"/>
      <c r="D11" s="4"/>
      <c r="E11" s="4">
        <v>8</v>
      </c>
      <c r="F11" s="4" t="s">
        <v>20</v>
      </c>
      <c r="G11" s="4">
        <v>235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415</v>
      </c>
      <c r="G12" s="4"/>
      <c r="I12" s="1">
        <f>C6-10430</f>
        <v>267365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420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403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400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158582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909795</v>
      </c>
      <c r="D19" s="5"/>
      <c r="E19" s="5"/>
      <c r="F19" s="5"/>
      <c r="G19" s="5">
        <f>SUM(G4:G18)</f>
        <v>894957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14838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Q34"/>
  <sheetViews>
    <sheetView zoomScale="145" zoomScaleNormal="145" workbookViewId="0">
      <selection activeCell="F17" sqref="F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421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697900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158582</v>
      </c>
      <c r="D6" s="4"/>
      <c r="E6" s="4">
        <v>3</v>
      </c>
      <c r="F6" s="4" t="s">
        <v>38</v>
      </c>
      <c r="G6" s="4">
        <v>230000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124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410</v>
      </c>
      <c r="G10" s="4">
        <v>245700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20000</v>
      </c>
      <c r="D11" s="4"/>
      <c r="E11" s="4">
        <v>8</v>
      </c>
      <c r="F11" s="4" t="s">
        <v>425</v>
      </c>
      <c r="G11" s="4">
        <v>280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422</v>
      </c>
      <c r="G12" s="4">
        <v>20000</v>
      </c>
      <c r="I12" s="1">
        <f>C6-10430</f>
        <v>148152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423</v>
      </c>
      <c r="G13" s="4">
        <v>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424</v>
      </c>
      <c r="G14" s="4">
        <v>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426</v>
      </c>
      <c r="G15" s="4">
        <v>700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77488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876482</v>
      </c>
      <c r="D19" s="5"/>
      <c r="E19" s="5"/>
      <c r="F19" s="5"/>
      <c r="G19" s="5">
        <f>SUM(G4:G18)</f>
        <v>826188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50294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Q34"/>
  <sheetViews>
    <sheetView zoomScale="145" zoomScaleNormal="145" workbookViewId="0">
      <selection activeCell="F21" sqref="F2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427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249000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142166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124</v>
      </c>
      <c r="C8" s="4"/>
      <c r="D8" s="4"/>
      <c r="E8" s="4">
        <v>5</v>
      </c>
      <c r="F8" s="4" t="s">
        <v>9</v>
      </c>
      <c r="G8" s="4">
        <v>150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>
        <v>270000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175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27</v>
      </c>
      <c r="G12" s="4">
        <v>20000</v>
      </c>
      <c r="I12" s="1">
        <f>C6-10430</f>
        <v>131736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423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428</v>
      </c>
      <c r="C14" s="4"/>
      <c r="D14" s="4"/>
      <c r="E14" s="4">
        <v>11</v>
      </c>
      <c r="F14" s="4" t="s">
        <v>181</v>
      </c>
      <c r="G14" s="4">
        <v>25000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>
        <v>25000</v>
      </c>
      <c r="D15" s="4"/>
      <c r="E15" s="4">
        <v>12</v>
      </c>
      <c r="F15" s="6" t="s">
        <v>426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91016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416166</v>
      </c>
      <c r="D19" s="5"/>
      <c r="E19" s="5"/>
      <c r="F19" s="5"/>
      <c r="G19" s="5">
        <f>SUM(G4:G18)</f>
        <v>409341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6825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Q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429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994200</v>
      </c>
      <c r="D4" s="4"/>
      <c r="E4" s="4">
        <v>1</v>
      </c>
      <c r="F4" s="4" t="s">
        <v>5</v>
      </c>
      <c r="G4" s="4">
        <v>450000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170152</v>
      </c>
      <c r="D6" s="4"/>
      <c r="E6" s="4">
        <v>3</v>
      </c>
      <c r="F6" s="4" t="s">
        <v>38</v>
      </c>
      <c r="G6" s="4">
        <v>600000</v>
      </c>
      <c r="N6" s="1">
        <f>190+120</f>
        <v>310</v>
      </c>
    </row>
    <row r="7" spans="1:16">
      <c r="A7" s="4">
        <v>4</v>
      </c>
      <c r="B7" s="4" t="s">
        <v>19</v>
      </c>
      <c r="C7" s="4">
        <v>150000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108000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358</v>
      </c>
      <c r="C10" s="4">
        <v>100000</v>
      </c>
      <c r="D10" s="4"/>
      <c r="E10" s="4">
        <v>7</v>
      </c>
      <c r="F10" s="6" t="s">
        <v>410</v>
      </c>
      <c r="G10" s="4">
        <v>310800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315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368</v>
      </c>
      <c r="G12" s="4">
        <v>750</v>
      </c>
      <c r="I12" s="1">
        <f>C6-10430</f>
        <v>159722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423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428</v>
      </c>
      <c r="C14" s="4"/>
      <c r="D14" s="4"/>
      <c r="E14" s="4">
        <v>11</v>
      </c>
      <c r="F14" s="4" t="s">
        <v>181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430</v>
      </c>
      <c r="G15" s="4">
        <v>10420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127205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1522352</v>
      </c>
      <c r="D19" s="5"/>
      <c r="E19" s="5"/>
      <c r="F19" s="5"/>
      <c r="G19" s="5">
        <f>SUM(G4:G18)</f>
        <v>1500005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22347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Q34"/>
  <sheetViews>
    <sheetView zoomScale="145" zoomScaleNormal="145" workbookViewId="0">
      <selection activeCell="F21" sqref="F2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431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495400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>
        <v>350000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291169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>
        <v>315000</v>
      </c>
      <c r="K9" s="1">
        <v>80</v>
      </c>
    </row>
    <row r="10" spans="1:16">
      <c r="A10" s="4">
        <v>7</v>
      </c>
      <c r="B10" s="4" t="s">
        <v>358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265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368</v>
      </c>
      <c r="G12" s="4"/>
      <c r="I12" s="1">
        <f>C6-10430</f>
        <v>280739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423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181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430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115250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>
        <v>2200</v>
      </c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788769</v>
      </c>
      <c r="D19" s="5"/>
      <c r="E19" s="5"/>
      <c r="F19" s="5"/>
      <c r="G19" s="5">
        <f>SUM(G4:G18)</f>
        <v>780865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7904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Q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433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657100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152870</v>
      </c>
      <c r="D6" s="4"/>
      <c r="E6" s="4">
        <v>3</v>
      </c>
      <c r="F6" s="4" t="s">
        <v>38</v>
      </c>
      <c r="G6" s="4">
        <v>360000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358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350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422</v>
      </c>
      <c r="G12" s="4">
        <v>90000</v>
      </c>
      <c r="I12" s="1">
        <f>C6-10430</f>
        <v>142440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436</v>
      </c>
      <c r="G13" s="4">
        <v>450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434</v>
      </c>
      <c r="G14" s="4">
        <v>11000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435</v>
      </c>
      <c r="G15" s="4">
        <v>200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81710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809970</v>
      </c>
      <c r="D19" s="5"/>
      <c r="E19" s="5"/>
      <c r="F19" s="5"/>
      <c r="G19" s="5">
        <f>SUM(G4:G18)</f>
        <v>794225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15745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Q34"/>
  <sheetViews>
    <sheetView zoomScale="145" zoomScaleNormal="145" workbookViewId="0">
      <selection activeCell="G2" sqref="G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437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315400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131451</v>
      </c>
      <c r="D6" s="4"/>
      <c r="E6" s="4">
        <v>3</v>
      </c>
      <c r="F6" s="4" t="s">
        <v>38</v>
      </c>
      <c r="G6" s="4">
        <v>315000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358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175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422</v>
      </c>
      <c r="G12" s="4"/>
      <c r="I12" s="1">
        <f>C6-10430</f>
        <v>121021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436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434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435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91111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446851</v>
      </c>
      <c r="D19" s="5"/>
      <c r="E19" s="5"/>
      <c r="F19" s="5"/>
      <c r="G19" s="5">
        <f>SUM(G4:G18)</f>
        <v>406636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40215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Q34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438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678600</v>
      </c>
      <c r="D4" s="4"/>
      <c r="E4" s="4">
        <v>1</v>
      </c>
      <c r="F4" s="4" t="s">
        <v>5</v>
      </c>
      <c r="G4" s="4">
        <v>350000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114103</v>
      </c>
      <c r="D6" s="4"/>
      <c r="E6" s="4">
        <v>3</v>
      </c>
      <c r="F6" s="4" t="s">
        <v>38</v>
      </c>
      <c r="G6" s="4">
        <v>400000</v>
      </c>
      <c r="N6" s="1">
        <f>190+120</f>
        <v>310</v>
      </c>
    </row>
    <row r="7" spans="1:16">
      <c r="A7" s="4">
        <v>4</v>
      </c>
      <c r="B7" s="4" t="s">
        <v>19</v>
      </c>
      <c r="C7" s="4">
        <v>137730</v>
      </c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358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375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422</v>
      </c>
      <c r="G12" s="4"/>
      <c r="I12" s="1">
        <f>C6-10430</f>
        <v>103673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439</v>
      </c>
      <c r="G13" s="4">
        <v>100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434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435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69123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980433</v>
      </c>
      <c r="D19" s="5"/>
      <c r="E19" s="5"/>
      <c r="F19" s="5"/>
      <c r="G19" s="5">
        <f>SUM(G4:G18)</f>
        <v>970213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10220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440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41000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265141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100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358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260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146</v>
      </c>
      <c r="G12" s="4">
        <v>65500</v>
      </c>
      <c r="I12" s="1">
        <f>C6-10430</f>
        <v>254711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439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441</v>
      </c>
      <c r="G14" s="4">
        <v>700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435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183277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306141</v>
      </c>
      <c r="D19" s="5"/>
      <c r="E19" s="5"/>
      <c r="F19" s="5"/>
      <c r="G19" s="5">
        <f>SUM(G4:G18)</f>
        <v>249837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56304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Q34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442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820000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226514</v>
      </c>
      <c r="D6" s="4"/>
      <c r="E6" s="4">
        <v>3</v>
      </c>
      <c r="F6" s="4" t="s">
        <v>38</v>
      </c>
      <c r="G6" s="4">
        <v>700000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18000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98</v>
      </c>
      <c r="C9" s="4">
        <v>86317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/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444</v>
      </c>
      <c r="G12" s="4">
        <v>3680</v>
      </c>
      <c r="I12" s="1">
        <f>C6-10430</f>
        <v>216084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443</v>
      </c>
      <c r="G13" s="4">
        <v>7240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441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435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120213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>
        <v>16000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1150831</v>
      </c>
      <c r="D19" s="5"/>
      <c r="E19" s="5"/>
      <c r="F19" s="5"/>
      <c r="G19" s="5">
        <f>SUM(G4:G18)</f>
        <v>1147598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3233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L23"/>
  <sheetViews>
    <sheetView zoomScale="145" zoomScaleNormal="145" workbookViewId="0">
      <selection activeCell="H21" sqref="H21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79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986000</v>
      </c>
      <c r="D4" s="4"/>
      <c r="E4" s="4">
        <v>1</v>
      </c>
      <c r="F4" s="4" t="s">
        <v>5</v>
      </c>
      <c r="G4" s="4">
        <v>450000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177914</v>
      </c>
      <c r="D6" s="4"/>
      <c r="E6" s="4">
        <v>3</v>
      </c>
      <c r="F6" s="4" t="s">
        <v>38</v>
      </c>
      <c r="G6" s="4">
        <v>700000</v>
      </c>
    </row>
    <row r="7" spans="1:11">
      <c r="A7" s="4">
        <v>4</v>
      </c>
      <c r="B7" s="4" t="s">
        <v>7</v>
      </c>
      <c r="C7" s="4">
        <v>20000</v>
      </c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1">
      <c r="A8" s="4">
        <v>5</v>
      </c>
      <c r="B8" s="4" t="s">
        <v>80</v>
      </c>
      <c r="C8" s="4">
        <v>99942</v>
      </c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>
        <v>345</v>
      </c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81</v>
      </c>
      <c r="G10" s="4">
        <v>24000</v>
      </c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82</v>
      </c>
      <c r="G11" s="4">
        <v>370</v>
      </c>
    </row>
    <row r="12" spans="1:11">
      <c r="A12" s="4">
        <v>9</v>
      </c>
      <c r="B12" s="4"/>
      <c r="C12" s="4"/>
      <c r="D12" s="4"/>
      <c r="E12" s="4">
        <v>9</v>
      </c>
      <c r="F12" s="4" t="s">
        <v>83</v>
      </c>
      <c r="G12" s="4">
        <v>6200</v>
      </c>
    </row>
    <row r="13" spans="1:11">
      <c r="A13" s="4">
        <v>10</v>
      </c>
      <c r="B13" s="4"/>
      <c r="C13" s="4"/>
      <c r="D13" s="4"/>
      <c r="E13" s="4">
        <v>10</v>
      </c>
      <c r="F13" s="4" t="s">
        <v>84</v>
      </c>
      <c r="G13" s="4">
        <v>2000</v>
      </c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74809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 t="s">
        <v>78</v>
      </c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1283856</v>
      </c>
      <c r="D19" s="5"/>
      <c r="E19" s="5"/>
      <c r="F19" s="5"/>
      <c r="G19" s="5">
        <f>SUM(G4:G18)</f>
        <v>1258189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25667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Q34"/>
  <sheetViews>
    <sheetView zoomScale="145" zoomScaleNormal="145" workbookViewId="0">
      <selection activeCell="G7" sqref="G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448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856200</v>
      </c>
      <c r="D4" s="4"/>
      <c r="E4" s="4">
        <v>1</v>
      </c>
      <c r="F4" s="4" t="s">
        <v>5</v>
      </c>
      <c r="G4" s="4">
        <v>580000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159681</v>
      </c>
      <c r="D6" s="4"/>
      <c r="E6" s="4">
        <v>3</v>
      </c>
      <c r="F6" s="4" t="s">
        <v>38</v>
      </c>
      <c r="G6" s="4">
        <v>260000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300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/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23000</v>
      </c>
      <c r="D11" s="4"/>
      <c r="E11" s="4">
        <v>8</v>
      </c>
      <c r="F11" s="4" t="s">
        <v>20</v>
      </c>
      <c r="G11" s="4">
        <v>255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444</v>
      </c>
      <c r="G12" s="4"/>
      <c r="I12" s="1">
        <f>C6-10430</f>
        <v>149251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446</v>
      </c>
      <c r="G13" s="4">
        <v>14760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445</v>
      </c>
      <c r="G14" s="4">
        <v>45000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195</v>
      </c>
      <c r="G15" s="4">
        <v>10000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118605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1038881</v>
      </c>
      <c r="D19" s="5"/>
      <c r="E19" s="5"/>
      <c r="F19" s="5"/>
      <c r="G19" s="5">
        <f>SUM(G4:G18)</f>
        <v>1029220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9661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447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373400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>
        <v>400000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286126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336</v>
      </c>
      <c r="G9" s="4">
        <v>180000</v>
      </c>
      <c r="K9" s="1">
        <v>80</v>
      </c>
    </row>
    <row r="10" spans="1:16">
      <c r="A10" s="4">
        <v>7</v>
      </c>
      <c r="B10" s="4" t="s">
        <v>314</v>
      </c>
      <c r="C10" s="4">
        <v>25000</v>
      </c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385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444</v>
      </c>
      <c r="G12" s="4"/>
      <c r="I12" s="1">
        <f>C6-10430</f>
        <v>275696</v>
      </c>
      <c r="K12" s="1">
        <f>27-33</f>
        <v>-6</v>
      </c>
    </row>
    <row r="13" spans="1:16">
      <c r="A13" s="4">
        <v>10</v>
      </c>
      <c r="B13" s="4" t="s">
        <v>24</v>
      </c>
      <c r="C13" s="4">
        <v>38000</v>
      </c>
      <c r="D13" s="4"/>
      <c r="E13" s="4">
        <v>10</v>
      </c>
      <c r="F13" s="6" t="s">
        <v>446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445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195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140473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722526</v>
      </c>
      <c r="D19" s="5"/>
      <c r="E19" s="5"/>
      <c r="F19" s="5"/>
      <c r="G19" s="5">
        <f>SUM(G4:G18)</f>
        <v>721258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1268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449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111800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140473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336</v>
      </c>
      <c r="G9" s="4">
        <v>200000</v>
      </c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125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450</v>
      </c>
      <c r="C12" s="4">
        <v>9020</v>
      </c>
      <c r="D12" s="4"/>
      <c r="E12" s="4">
        <v>9</v>
      </c>
      <c r="F12" s="4" t="s">
        <v>444</v>
      </c>
      <c r="G12" s="4"/>
      <c r="I12" s="1">
        <f>C6-10430</f>
        <v>130043</v>
      </c>
      <c r="K12" s="1">
        <f>27-33</f>
        <v>-6</v>
      </c>
    </row>
    <row r="13" spans="1:16">
      <c r="A13" s="4">
        <v>10</v>
      </c>
      <c r="B13" s="4" t="s">
        <v>109</v>
      </c>
      <c r="C13" s="4">
        <v>52945</v>
      </c>
      <c r="D13" s="4"/>
      <c r="E13" s="4">
        <v>10</v>
      </c>
      <c r="F13" s="6" t="s">
        <v>446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445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195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113005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314238</v>
      </c>
      <c r="D19" s="5"/>
      <c r="E19" s="5"/>
      <c r="F19" s="5"/>
      <c r="G19" s="5">
        <f>SUM(G4:G18)</f>
        <v>313330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908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Q34"/>
  <sheetViews>
    <sheetView zoomScale="145" zoomScaleNormal="145" workbookViewId="0">
      <selection activeCell="G20" sqref="G2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451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440550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187084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200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450</v>
      </c>
      <c r="C12" s="4"/>
      <c r="D12" s="4"/>
      <c r="E12" s="4">
        <v>9</v>
      </c>
      <c r="F12" s="4" t="s">
        <v>444</v>
      </c>
      <c r="G12" s="4"/>
      <c r="I12" s="1">
        <f>C6-10430</f>
        <v>176654</v>
      </c>
      <c r="K12" s="1">
        <f>27-33</f>
        <v>-6</v>
      </c>
    </row>
    <row r="13" spans="1:16">
      <c r="A13" s="4">
        <v>10</v>
      </c>
      <c r="B13" s="4" t="s">
        <v>109</v>
      </c>
      <c r="C13" s="4"/>
      <c r="D13" s="4"/>
      <c r="E13" s="4">
        <v>10</v>
      </c>
      <c r="F13" s="6" t="s">
        <v>452</v>
      </c>
      <c r="G13" s="4">
        <v>9460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453</v>
      </c>
      <c r="G14" s="4">
        <v>11500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>
        <v>5256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117075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627634</v>
      </c>
      <c r="D19" s="5"/>
      <c r="E19" s="5"/>
      <c r="F19" s="5"/>
      <c r="G19" s="5">
        <f>SUM(G4:G18)</f>
        <v>493991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133643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454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618700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160886</v>
      </c>
      <c r="D6" s="4"/>
      <c r="E6" s="4">
        <v>3</v>
      </c>
      <c r="F6" s="4" t="s">
        <v>38</v>
      </c>
      <c r="G6" s="4">
        <v>600000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77000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>
        <v>425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450</v>
      </c>
      <c r="C12" s="4"/>
      <c r="D12" s="4"/>
      <c r="E12" s="4">
        <v>9</v>
      </c>
      <c r="F12" s="4" t="s">
        <v>444</v>
      </c>
      <c r="G12" s="4"/>
      <c r="I12" s="1">
        <f>C6-10430</f>
        <v>150456</v>
      </c>
      <c r="K12" s="1">
        <f>27-33</f>
        <v>-6</v>
      </c>
    </row>
    <row r="13" spans="1:16">
      <c r="A13" s="4">
        <v>10</v>
      </c>
      <c r="B13" s="4" t="s">
        <v>109</v>
      </c>
      <c r="C13" s="4"/>
      <c r="D13" s="4"/>
      <c r="E13" s="4">
        <v>10</v>
      </c>
      <c r="F13" s="6" t="s">
        <v>452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455</v>
      </c>
      <c r="G14" s="4">
        <v>1500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92499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856586</v>
      </c>
      <c r="D19" s="5"/>
      <c r="E19" s="5"/>
      <c r="F19" s="5"/>
      <c r="G19" s="5">
        <f>SUM(G4:G18)</f>
        <v>844939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11647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Q34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456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445400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>
        <v>11500</v>
      </c>
      <c r="D5" s="4"/>
      <c r="E5" s="4">
        <v>2</v>
      </c>
      <c r="F5" s="4" t="s">
        <v>5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92500</v>
      </c>
      <c r="D6" s="4"/>
      <c r="E6" s="4">
        <v>3</v>
      </c>
      <c r="F6" s="4" t="s">
        <v>38</v>
      </c>
      <c r="G6" s="4">
        <v>220000</v>
      </c>
      <c r="N6" s="1">
        <f>190+120</f>
        <v>310</v>
      </c>
    </row>
    <row r="7" spans="1:16">
      <c r="A7" s="4">
        <v>4</v>
      </c>
      <c r="B7" s="4" t="s">
        <v>19</v>
      </c>
      <c r="C7" s="4">
        <v>100000</v>
      </c>
      <c r="D7" s="4"/>
      <c r="E7" s="4">
        <v>4</v>
      </c>
      <c r="F7" s="4" t="s">
        <v>39</v>
      </c>
      <c r="G7" s="4">
        <v>330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320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50</v>
      </c>
      <c r="C10" s="4">
        <v>9000</v>
      </c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12500</v>
      </c>
      <c r="D11" s="4"/>
      <c r="E11" s="4">
        <v>8</v>
      </c>
      <c r="F11" s="4" t="s">
        <v>20</v>
      </c>
      <c r="G11" s="4">
        <v>575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>
        <v>17400</v>
      </c>
      <c r="D12" s="4"/>
      <c r="E12" s="4">
        <v>9</v>
      </c>
      <c r="F12" s="4" t="s">
        <v>444</v>
      </c>
      <c r="G12" s="4"/>
      <c r="I12" s="1">
        <f>C6-10430</f>
        <v>82070</v>
      </c>
      <c r="K12" s="1">
        <f>27-33</f>
        <v>-6</v>
      </c>
    </row>
    <row r="13" spans="1:16">
      <c r="A13" s="4">
        <v>10</v>
      </c>
      <c r="B13" s="4" t="s">
        <v>109</v>
      </c>
      <c r="C13" s="4"/>
      <c r="D13" s="4"/>
      <c r="E13" s="4">
        <v>10</v>
      </c>
      <c r="F13" s="6" t="s">
        <v>452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455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>
        <v>10000</v>
      </c>
      <c r="D16" s="4"/>
      <c r="E16" s="4">
        <v>13</v>
      </c>
      <c r="F16" s="4" t="s">
        <v>135</v>
      </c>
      <c r="G16" s="4">
        <v>70174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698300</v>
      </c>
      <c r="D19" s="5"/>
      <c r="E19" s="5"/>
      <c r="F19" s="5"/>
      <c r="G19" s="5">
        <f>SUM(G4:G18)</f>
        <v>691399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6901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Q34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456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394800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50</v>
      </c>
      <c r="C10" s="4"/>
      <c r="D10" s="4"/>
      <c r="E10" s="4">
        <v>7</v>
      </c>
      <c r="F10" s="6" t="s">
        <v>410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457</v>
      </c>
      <c r="C11" s="4">
        <v>36790</v>
      </c>
      <c r="D11" s="4"/>
      <c r="E11" s="4">
        <v>8</v>
      </c>
      <c r="F11" s="4" t="s">
        <v>20</v>
      </c>
      <c r="G11" s="4">
        <v>400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444</v>
      </c>
      <c r="G12" s="4"/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109</v>
      </c>
      <c r="C13" s="4"/>
      <c r="D13" s="4"/>
      <c r="E13" s="4">
        <v>10</v>
      </c>
      <c r="F13" s="6" t="s">
        <v>452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455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431590</v>
      </c>
      <c r="D19" s="5"/>
      <c r="E19" s="5"/>
      <c r="F19" s="5"/>
      <c r="G19" s="5">
        <f>SUM(G4:G18)</f>
        <v>400915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30675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Q34"/>
  <sheetViews>
    <sheetView zoomScale="145" zoomScaleNormal="145" workbookViewId="0">
      <selection activeCell="F11" sqref="F1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458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500000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>
        <v>350000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181875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336</v>
      </c>
      <c r="G9" s="4">
        <v>200000</v>
      </c>
      <c r="K9" s="1">
        <v>80</v>
      </c>
    </row>
    <row r="10" spans="1:16">
      <c r="A10" s="4">
        <v>7</v>
      </c>
      <c r="B10" s="4" t="s">
        <v>50</v>
      </c>
      <c r="C10" s="4"/>
      <c r="D10" s="4"/>
      <c r="E10" s="4">
        <v>7</v>
      </c>
      <c r="F10" s="6" t="s">
        <v>460</v>
      </c>
      <c r="G10" s="4">
        <v>870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457</v>
      </c>
      <c r="C11" s="4"/>
      <c r="D11" s="4"/>
      <c r="E11" s="4">
        <v>8</v>
      </c>
      <c r="F11" s="4" t="s">
        <v>20</v>
      </c>
      <c r="G11" s="4">
        <v>270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459</v>
      </c>
      <c r="G12" s="4">
        <v>25000</v>
      </c>
      <c r="I12" s="1">
        <f>C6-10430</f>
        <v>171445</v>
      </c>
      <c r="K12" s="1">
        <f>27-33</f>
        <v>-6</v>
      </c>
    </row>
    <row r="13" spans="1:16">
      <c r="A13" s="4">
        <v>10</v>
      </c>
      <c r="B13" s="4" t="s">
        <v>109</v>
      </c>
      <c r="C13" s="4">
        <v>19470</v>
      </c>
      <c r="D13" s="4"/>
      <c r="E13" s="4">
        <v>10</v>
      </c>
      <c r="F13" s="6" t="s">
        <v>452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455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120803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701345</v>
      </c>
      <c r="D19" s="5"/>
      <c r="E19" s="5"/>
      <c r="F19" s="5"/>
      <c r="G19" s="5">
        <f>SUM(G4:G18)</f>
        <v>697343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4002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461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714250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120803</v>
      </c>
      <c r="D6" s="4"/>
      <c r="E6" s="4">
        <v>3</v>
      </c>
      <c r="F6" s="4" t="s">
        <v>38</v>
      </c>
      <c r="G6" s="4">
        <v>700000</v>
      </c>
      <c r="N6" s="1">
        <f>190+120</f>
        <v>310</v>
      </c>
    </row>
    <row r="7" spans="1:16">
      <c r="A7" s="4">
        <v>4</v>
      </c>
      <c r="B7" s="4" t="s">
        <v>19</v>
      </c>
      <c r="C7" s="4">
        <v>100000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23</v>
      </c>
      <c r="C9" s="4">
        <v>45500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314</v>
      </c>
      <c r="C10" s="4">
        <v>10000</v>
      </c>
      <c r="D10" s="4"/>
      <c r="E10" s="4">
        <v>7</v>
      </c>
      <c r="F10" s="6" t="s">
        <v>460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24</v>
      </c>
      <c r="C11" s="4">
        <v>34000</v>
      </c>
      <c r="D11" s="4"/>
      <c r="E11" s="4">
        <v>8</v>
      </c>
      <c r="F11" s="4" t="s">
        <v>20</v>
      </c>
      <c r="G11" s="4">
        <v>345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459</v>
      </c>
      <c r="G12" s="4"/>
      <c r="I12" s="1">
        <f>C6-10430</f>
        <v>110373</v>
      </c>
      <c r="K12" s="1">
        <f>27-33</f>
        <v>-6</v>
      </c>
    </row>
    <row r="13" spans="1:16">
      <c r="A13" s="4">
        <v>10</v>
      </c>
      <c r="B13" s="4" t="s">
        <v>109</v>
      </c>
      <c r="C13" s="4"/>
      <c r="D13" s="4"/>
      <c r="E13" s="4">
        <v>10</v>
      </c>
      <c r="F13" s="6" t="s">
        <v>452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455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78438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1074553</v>
      </c>
      <c r="D19" s="5"/>
      <c r="E19" s="5"/>
      <c r="F19" s="5"/>
      <c r="G19" s="5">
        <f>SUM(G4:G18)</f>
        <v>1029298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I20" s="1">
        <f>6240+4160+5952</f>
        <v>16352</v>
      </c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45255</v>
      </c>
      <c r="D22" s="5"/>
      <c r="E22" s="5"/>
      <c r="F22" s="5">
        <f>210+135</f>
        <v>345</v>
      </c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H24" s="1">
        <f>75469-6800</f>
        <v>68669</v>
      </c>
      <c r="I24" s="1">
        <f>6300+3400</f>
        <v>9700</v>
      </c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Q34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462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355430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188714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19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23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6" t="s">
        <v>460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24</v>
      </c>
      <c r="C11" s="4"/>
      <c r="D11" s="4"/>
      <c r="E11" s="4">
        <v>8</v>
      </c>
      <c r="F11" s="4" t="s">
        <v>20</v>
      </c>
      <c r="G11" s="4">
        <v>420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464</v>
      </c>
      <c r="C12" s="4">
        <v>20000</v>
      </c>
      <c r="D12" s="4"/>
      <c r="E12" s="4">
        <v>9</v>
      </c>
      <c r="F12" s="4" t="s">
        <v>463</v>
      </c>
      <c r="G12" s="4">
        <v>100</v>
      </c>
      <c r="K12" s="1">
        <f>27-33</f>
        <v>-6</v>
      </c>
    </row>
    <row r="13" spans="1:16">
      <c r="A13" s="4">
        <v>10</v>
      </c>
      <c r="B13" s="4" t="s">
        <v>109</v>
      </c>
      <c r="C13" s="4"/>
      <c r="D13" s="4"/>
      <c r="E13" s="4">
        <v>10</v>
      </c>
      <c r="F13" s="6" t="s">
        <v>82</v>
      </c>
      <c r="G13" s="4">
        <v>450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71</v>
      </c>
      <c r="G14" s="4">
        <v>9000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114953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614144</v>
      </c>
      <c r="D19" s="5"/>
      <c r="E19" s="5"/>
      <c r="F19" s="5"/>
      <c r="G19" s="5">
        <f>SUM(G4:G18)</f>
        <v>525338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88806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23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85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355000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160000</v>
      </c>
    </row>
    <row r="6" spans="1:11">
      <c r="A6" s="4">
        <v>3</v>
      </c>
      <c r="B6" s="4" t="s">
        <v>6</v>
      </c>
      <c r="C6" s="4">
        <v>118755</v>
      </c>
      <c r="D6" s="4"/>
      <c r="E6" s="4">
        <v>3</v>
      </c>
      <c r="F6" s="4" t="s">
        <v>38</v>
      </c>
      <c r="G6" s="4">
        <v>260000</v>
      </c>
    </row>
    <row r="7" spans="1:11">
      <c r="A7" s="4">
        <v>4</v>
      </c>
      <c r="B7" s="4" t="s">
        <v>24</v>
      </c>
      <c r="C7" s="4">
        <v>20000</v>
      </c>
      <c r="D7" s="4"/>
      <c r="E7" s="4">
        <v>4</v>
      </c>
      <c r="F7" s="4" t="s">
        <v>39</v>
      </c>
      <c r="G7" s="4">
        <v>200</v>
      </c>
      <c r="K7" s="1">
        <f>30*20</f>
        <v>600</v>
      </c>
    </row>
    <row r="8" spans="1:11">
      <c r="A8" s="4">
        <v>5</v>
      </c>
      <c r="B8" s="4" t="s">
        <v>86</v>
      </c>
      <c r="C8" s="4">
        <v>10000</v>
      </c>
      <c r="D8" s="4"/>
      <c r="E8" s="4">
        <v>5</v>
      </c>
      <c r="F8" s="4" t="s">
        <v>9</v>
      </c>
      <c r="G8" s="4">
        <v>200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/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81</v>
      </c>
      <c r="G10" s="4"/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82</v>
      </c>
      <c r="G11" s="4"/>
    </row>
    <row r="12" spans="1:11">
      <c r="A12" s="4">
        <v>9</v>
      </c>
      <c r="B12" s="4"/>
      <c r="C12" s="4"/>
      <c r="D12" s="4"/>
      <c r="E12" s="4">
        <v>9</v>
      </c>
      <c r="F12" s="4" t="s">
        <v>83</v>
      </c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84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81395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 t="s">
        <v>78</v>
      </c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503755</v>
      </c>
      <c r="D19" s="5"/>
      <c r="E19" s="5"/>
      <c r="F19" s="5"/>
      <c r="G19" s="5">
        <f>SUM(G4:G18)</f>
        <v>501795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1960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Q34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465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29000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>
        <v>74000</v>
      </c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>
        <v>36000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6" t="s">
        <v>460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24</v>
      </c>
      <c r="C11" s="4"/>
      <c r="D11" s="4"/>
      <c r="E11" s="4">
        <v>8</v>
      </c>
      <c r="F11" s="4" t="s">
        <v>20</v>
      </c>
      <c r="G11" s="4">
        <v>250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464</v>
      </c>
      <c r="C12" s="4"/>
      <c r="D12" s="4"/>
      <c r="E12" s="4">
        <v>9</v>
      </c>
      <c r="F12" s="4" t="s">
        <v>466</v>
      </c>
      <c r="G12" s="4">
        <v>300</v>
      </c>
      <c r="K12" s="1">
        <f>27-33</f>
        <v>-6</v>
      </c>
    </row>
    <row r="13" spans="1:16">
      <c r="A13" s="4">
        <v>10</v>
      </c>
      <c r="B13" s="4" t="s">
        <v>109</v>
      </c>
      <c r="C13" s="4"/>
      <c r="D13" s="4"/>
      <c r="E13" s="4">
        <v>10</v>
      </c>
      <c r="F13" s="6" t="s">
        <v>133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71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139000</v>
      </c>
      <c r="D19" s="5"/>
      <c r="E19" s="5"/>
      <c r="F19" s="5"/>
      <c r="G19" s="5">
        <f>SUM(G4:G18)</f>
        <v>103900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35100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Q34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468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100000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18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f>2360+14400+15000+36678+26794+3432+16289+12924</f>
        <v>127877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6" t="s">
        <v>467</v>
      </c>
      <c r="G10" s="4">
        <v>500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24</v>
      </c>
      <c r="C11" s="4"/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464</v>
      </c>
      <c r="C12" s="4">
        <v>10000</v>
      </c>
      <c r="D12" s="4"/>
      <c r="E12" s="4">
        <v>9</v>
      </c>
      <c r="F12" s="4" t="s">
        <v>466</v>
      </c>
      <c r="G12" s="4"/>
      <c r="K12" s="1">
        <f>27-33</f>
        <v>-6</v>
      </c>
    </row>
    <row r="13" spans="1:16">
      <c r="A13" s="4">
        <v>10</v>
      </c>
      <c r="B13" s="4" t="s">
        <v>109</v>
      </c>
      <c r="C13" s="4"/>
      <c r="D13" s="4"/>
      <c r="E13" s="4">
        <v>10</v>
      </c>
      <c r="F13" s="6" t="s">
        <v>133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71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74232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237877</v>
      </c>
      <c r="D19" s="5"/>
      <c r="E19" s="5"/>
      <c r="F19" s="5"/>
      <c r="G19" s="5">
        <f>SUM(G4:G18)</f>
        <v>175082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62795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469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400000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>
        <v>614000</v>
      </c>
      <c r="D5" s="4"/>
      <c r="E5" s="4">
        <v>2</v>
      </c>
      <c r="F5" s="4" t="s">
        <v>5</v>
      </c>
      <c r="G5" s="4">
        <v>835000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176424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288</v>
      </c>
    </row>
    <row r="8" spans="1:16">
      <c r="A8" s="4">
        <v>5</v>
      </c>
      <c r="B8" s="4" t="s">
        <v>19</v>
      </c>
      <c r="C8" s="4">
        <v>68820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124</v>
      </c>
      <c r="C9" s="4">
        <v>91220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314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470</v>
      </c>
      <c r="C11" s="4">
        <v>36920</v>
      </c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464</v>
      </c>
      <c r="C12" s="4"/>
      <c r="D12" s="4"/>
      <c r="E12" s="4">
        <v>9</v>
      </c>
      <c r="F12" s="4" t="s">
        <v>466</v>
      </c>
      <c r="G12" s="4"/>
      <c r="K12" s="1">
        <f>27-33</f>
        <v>-6</v>
      </c>
    </row>
    <row r="13" spans="1:16">
      <c r="A13" s="4">
        <v>10</v>
      </c>
      <c r="B13" s="4" t="s">
        <v>109</v>
      </c>
      <c r="C13" s="4"/>
      <c r="D13" s="4"/>
      <c r="E13" s="4">
        <v>10</v>
      </c>
      <c r="F13" s="6" t="s">
        <v>226</v>
      </c>
      <c r="G13" s="4">
        <v>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71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128517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1387384</v>
      </c>
      <c r="D19" s="5"/>
      <c r="E19" s="5"/>
      <c r="F19" s="5"/>
      <c r="G19" s="5">
        <f>SUM(G4:G18)</f>
        <v>1365105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22279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Q34"/>
  <sheetViews>
    <sheetView topLeftCell="B1"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471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66000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>
        <v>429800</v>
      </c>
      <c r="D5" s="4"/>
      <c r="E5" s="4">
        <v>2</v>
      </c>
      <c r="F5" s="4" t="s">
        <v>43</v>
      </c>
      <c r="G5" s="4">
        <v>350000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158749</v>
      </c>
      <c r="D6" s="4"/>
      <c r="E6" s="4">
        <v>3</v>
      </c>
      <c r="F6" s="4" t="s">
        <v>38</v>
      </c>
      <c r="G6" s="4">
        <v>375000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472</v>
      </c>
      <c r="C8" s="4">
        <v>50000</v>
      </c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262</v>
      </c>
      <c r="C9" s="4">
        <v>50000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473</v>
      </c>
      <c r="C10" s="4">
        <v>11000</v>
      </c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>
        <v>35000</v>
      </c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464</v>
      </c>
      <c r="C12" s="4">
        <v>21000</v>
      </c>
      <c r="D12" s="4"/>
      <c r="E12" s="4">
        <v>9</v>
      </c>
      <c r="F12" s="4" t="s">
        <v>466</v>
      </c>
      <c r="G12" s="4"/>
      <c r="K12" s="1">
        <f>27-33</f>
        <v>-6</v>
      </c>
    </row>
    <row r="13" spans="1:16">
      <c r="A13" s="4">
        <v>10</v>
      </c>
      <c r="B13" s="4" t="s">
        <v>391</v>
      </c>
      <c r="C13" s="4">
        <v>22880</v>
      </c>
      <c r="D13" s="4"/>
      <c r="E13" s="4">
        <v>10</v>
      </c>
      <c r="F13" s="6" t="s">
        <v>144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241</v>
      </c>
      <c r="G14" s="4">
        <v>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57105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/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844429</v>
      </c>
      <c r="D19" s="5"/>
      <c r="E19" s="5"/>
      <c r="F19" s="5"/>
      <c r="G19" s="5">
        <f>SUM(G4:G18)</f>
        <v>792655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51774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Q34"/>
  <sheetViews>
    <sheetView topLeftCell="B1"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475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154487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472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262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473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/>
      <c r="D11" s="4"/>
      <c r="E11" s="4">
        <v>8</v>
      </c>
      <c r="F11" s="4" t="s">
        <v>20</v>
      </c>
      <c r="G11" s="4">
        <v>390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464</v>
      </c>
      <c r="C12" s="4"/>
      <c r="D12" s="4"/>
      <c r="E12" s="4">
        <v>9</v>
      </c>
      <c r="F12" s="4" t="s">
        <v>466</v>
      </c>
      <c r="G12" s="4"/>
      <c r="K12" s="1">
        <f>27-33</f>
        <v>-6</v>
      </c>
    </row>
    <row r="13" spans="1:16">
      <c r="A13" s="4">
        <v>10</v>
      </c>
      <c r="B13" s="4" t="s">
        <v>476</v>
      </c>
      <c r="C13" s="4">
        <v>33210</v>
      </c>
      <c r="D13" s="4"/>
      <c r="E13" s="4">
        <v>10</v>
      </c>
      <c r="F13" s="6" t="s">
        <v>411</v>
      </c>
      <c r="G13" s="4">
        <v>11000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287</v>
      </c>
      <c r="C14" s="4"/>
      <c r="D14" s="4"/>
      <c r="E14" s="4">
        <v>11</v>
      </c>
      <c r="F14" s="4" t="s">
        <v>241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75420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>
        <v>93200</v>
      </c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187697</v>
      </c>
      <c r="D19" s="5"/>
      <c r="E19" s="5"/>
      <c r="F19" s="5"/>
      <c r="G19" s="5">
        <f>SUM(G4:G18)</f>
        <v>180260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7437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Q34"/>
  <sheetViews>
    <sheetView topLeftCell="B1"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478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721000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75420</v>
      </c>
      <c r="D6" s="4"/>
      <c r="E6" s="4">
        <v>3</v>
      </c>
      <c r="F6" s="4" t="s">
        <v>38</v>
      </c>
      <c r="G6" s="4">
        <v>650000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472</v>
      </c>
      <c r="C8" s="4">
        <v>20000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262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473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/>
      <c r="D11" s="4"/>
      <c r="E11" s="4">
        <v>8</v>
      </c>
      <c r="F11" s="4" t="s">
        <v>20</v>
      </c>
      <c r="G11" s="4">
        <v>320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>
        <v>46550</v>
      </c>
      <c r="D12" s="4"/>
      <c r="E12" s="4">
        <v>9</v>
      </c>
      <c r="F12" s="4" t="s">
        <v>466</v>
      </c>
      <c r="G12" s="4"/>
      <c r="K12" s="1">
        <f>27-33</f>
        <v>-6</v>
      </c>
    </row>
    <row r="13" spans="1:16">
      <c r="A13" s="4">
        <v>10</v>
      </c>
      <c r="B13" s="4" t="s">
        <v>476</v>
      </c>
      <c r="C13" s="4"/>
      <c r="D13" s="4"/>
      <c r="E13" s="4">
        <v>10</v>
      </c>
      <c r="F13" s="6" t="s">
        <v>411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480</v>
      </c>
      <c r="C14" s="4">
        <v>16000</v>
      </c>
      <c r="D14" s="4"/>
      <c r="E14" s="4">
        <v>11</v>
      </c>
      <c r="F14" s="4" t="s">
        <v>21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29038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878970</v>
      </c>
      <c r="D19" s="5"/>
      <c r="E19" s="5"/>
      <c r="F19" s="5"/>
      <c r="G19" s="5">
        <f>SUM(G4:G18)</f>
        <v>839873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39097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Q34"/>
  <sheetViews>
    <sheetView topLeftCell="B1" zoomScale="145" zoomScaleNormal="145" workbookViewId="0">
      <selection activeCell="G10" sqref="G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481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f>534800+21000+107700</f>
        <v>663500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400000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f>192029-16000</f>
        <v>176029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472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233</v>
      </c>
      <c r="C9" s="4">
        <v>17500</v>
      </c>
      <c r="D9" s="4"/>
      <c r="E9" s="4">
        <v>6</v>
      </c>
      <c r="F9" s="4" t="s">
        <v>336</v>
      </c>
      <c r="G9" s="4">
        <v>200000</v>
      </c>
      <c r="K9" s="1">
        <v>80</v>
      </c>
    </row>
    <row r="10" spans="1:16">
      <c r="A10" s="4">
        <v>7</v>
      </c>
      <c r="B10" s="4" t="s">
        <v>482</v>
      </c>
      <c r="C10" s="4">
        <v>50000</v>
      </c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/>
      <c r="D11" s="4"/>
      <c r="E11" s="4">
        <v>8</v>
      </c>
      <c r="F11" s="4" t="s">
        <v>20</v>
      </c>
      <c r="G11" s="4">
        <v>370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/>
      <c r="D12" s="4"/>
      <c r="E12" s="4">
        <v>9</v>
      </c>
      <c r="F12" s="4" t="s">
        <v>466</v>
      </c>
      <c r="G12" s="4"/>
      <c r="K12" s="1">
        <f>27-33</f>
        <v>-6</v>
      </c>
    </row>
    <row r="13" spans="1:16">
      <c r="A13" s="4">
        <v>10</v>
      </c>
      <c r="B13" s="4" t="s">
        <v>476</v>
      </c>
      <c r="C13" s="4"/>
      <c r="D13" s="4"/>
      <c r="E13" s="4">
        <v>10</v>
      </c>
      <c r="F13" s="6" t="s">
        <v>411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480</v>
      </c>
      <c r="C14" s="4"/>
      <c r="D14" s="4"/>
      <c r="E14" s="4">
        <v>11</v>
      </c>
      <c r="F14" s="4" t="s">
        <v>483</v>
      </c>
      <c r="G14" s="4">
        <v>1600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102972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907029</v>
      </c>
      <c r="D19" s="5"/>
      <c r="E19" s="5"/>
      <c r="F19" s="5"/>
      <c r="G19" s="5">
        <f>SUM(G4:G18)</f>
        <v>905442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1587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25586-14586</f>
        <v>11000</v>
      </c>
      <c r="K23" s="1">
        <v>6450</v>
      </c>
      <c r="Q23" s="1">
        <f>66129+10000</f>
        <v>76129</v>
      </c>
    </row>
    <row r="24" spans="1:17">
      <c r="J24" s="1">
        <f>105135-40000</f>
        <v>65135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Q34"/>
  <sheetViews>
    <sheetView topLeftCell="B1" zoomScale="145" zoomScaleNormal="145" workbookViewId="0">
      <selection activeCell="F21" sqref="F2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484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327270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270000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121370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472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233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482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/>
      <c r="D11" s="4"/>
      <c r="E11" s="4">
        <v>8</v>
      </c>
      <c r="F11" s="4" t="s">
        <v>20</v>
      </c>
      <c r="G11" s="4">
        <v>125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/>
      <c r="D12" s="4"/>
      <c r="E12" s="4">
        <v>9</v>
      </c>
      <c r="F12" s="4" t="s">
        <v>486</v>
      </c>
      <c r="G12" s="4">
        <v>61150</v>
      </c>
      <c r="K12" s="1">
        <f>27-33</f>
        <v>-6</v>
      </c>
    </row>
    <row r="13" spans="1:16">
      <c r="A13" s="4">
        <v>10</v>
      </c>
      <c r="B13" s="4" t="s">
        <v>476</v>
      </c>
      <c r="C13" s="4"/>
      <c r="D13" s="4"/>
      <c r="E13" s="4">
        <v>10</v>
      </c>
      <c r="F13" s="6" t="s">
        <v>411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480</v>
      </c>
      <c r="C14" s="4"/>
      <c r="D14" s="4"/>
      <c r="E14" s="4">
        <v>11</v>
      </c>
      <c r="F14" s="4" t="s">
        <v>485</v>
      </c>
      <c r="G14" s="4">
        <v>15000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140</v>
      </c>
      <c r="G15" s="4">
        <v>8000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54580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448640</v>
      </c>
      <c r="D19" s="5"/>
      <c r="E19" s="5"/>
      <c r="F19" s="5"/>
      <c r="G19" s="5">
        <f>SUM(G4:G18)</f>
        <v>409255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39385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Q34"/>
  <sheetViews>
    <sheetView topLeftCell="B1" zoomScale="145" zoomScaleNormal="145" workbookViewId="0">
      <selection activeCell="F16" sqref="F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487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306460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147535</v>
      </c>
      <c r="D6" s="4"/>
      <c r="E6" s="4">
        <v>3</v>
      </c>
      <c r="F6" s="4" t="s">
        <v>38</v>
      </c>
      <c r="G6" s="4">
        <v>280000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19</v>
      </c>
      <c r="C8" s="4">
        <v>50000</v>
      </c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233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482</v>
      </c>
      <c r="C10" s="4"/>
      <c r="D10" s="4"/>
      <c r="E10" s="4">
        <v>7</v>
      </c>
      <c r="F10" s="6" t="s">
        <v>467</v>
      </c>
      <c r="G10" s="4">
        <v>150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>
        <v>21500</v>
      </c>
      <c r="D11" s="4"/>
      <c r="E11" s="4">
        <v>8</v>
      </c>
      <c r="F11" s="4" t="s">
        <v>20</v>
      </c>
      <c r="G11" s="4">
        <v>220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/>
      <c r="D12" s="4"/>
      <c r="E12" s="4">
        <v>9</v>
      </c>
      <c r="F12" s="4" t="s">
        <v>486</v>
      </c>
      <c r="G12" s="4"/>
      <c r="K12" s="1">
        <f>27-33</f>
        <v>-6</v>
      </c>
    </row>
    <row r="13" spans="1:16">
      <c r="A13" s="4">
        <v>10</v>
      </c>
      <c r="B13" s="4" t="s">
        <v>476</v>
      </c>
      <c r="C13" s="4"/>
      <c r="D13" s="4"/>
      <c r="E13" s="4">
        <v>10</v>
      </c>
      <c r="F13" s="6" t="s">
        <v>411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480</v>
      </c>
      <c r="C14" s="4"/>
      <c r="D14" s="4"/>
      <c r="E14" s="4">
        <v>11</v>
      </c>
      <c r="F14" s="4" t="s">
        <v>488</v>
      </c>
      <c r="G14" s="4">
        <v>600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140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93867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525495</v>
      </c>
      <c r="D19" s="5"/>
      <c r="E19" s="5"/>
      <c r="F19" s="5"/>
      <c r="G19" s="5">
        <f>SUM(G4:G18)</f>
        <v>525302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193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Q34"/>
  <sheetViews>
    <sheetView topLeftCell="B1"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489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361700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500000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137401</v>
      </c>
      <c r="D6" s="4"/>
      <c r="E6" s="4">
        <v>3</v>
      </c>
      <c r="F6" s="4" t="s">
        <v>38</v>
      </c>
      <c r="G6" s="4">
        <v>300000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9</v>
      </c>
      <c r="G8" s="4">
        <v>330</v>
      </c>
      <c r="K8" s="1">
        <f>310+200</f>
        <v>510</v>
      </c>
    </row>
    <row r="9" spans="1:16">
      <c r="A9" s="4">
        <v>6</v>
      </c>
      <c r="B9" s="4" t="s">
        <v>7</v>
      </c>
      <c r="C9" s="4">
        <v>50000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482</v>
      </c>
      <c r="C10" s="4">
        <v>400000</v>
      </c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/>
      <c r="D11" s="4"/>
      <c r="E11" s="4">
        <v>8</v>
      </c>
      <c r="F11" s="4" t="s">
        <v>20</v>
      </c>
      <c r="G11" s="4">
        <v>155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/>
      <c r="D12" s="4"/>
      <c r="E12" s="4">
        <v>9</v>
      </c>
      <c r="F12" s="4" t="s">
        <v>486</v>
      </c>
      <c r="G12" s="4"/>
      <c r="K12" s="1">
        <f>27-33</f>
        <v>-6</v>
      </c>
    </row>
    <row r="13" spans="1:16">
      <c r="A13" s="4">
        <v>10</v>
      </c>
      <c r="B13" s="4" t="s">
        <v>476</v>
      </c>
      <c r="C13" s="4"/>
      <c r="D13" s="4"/>
      <c r="E13" s="4">
        <v>10</v>
      </c>
      <c r="F13" s="6" t="s">
        <v>255</v>
      </c>
      <c r="G13" s="4">
        <v>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480</v>
      </c>
      <c r="C14" s="4"/>
      <c r="D14" s="4"/>
      <c r="E14" s="4">
        <v>11</v>
      </c>
      <c r="F14" s="4" t="s">
        <v>490</v>
      </c>
      <c r="G14" s="4">
        <v>2640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140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31959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1049101</v>
      </c>
      <c r="D19" s="5"/>
      <c r="E19" s="5"/>
      <c r="F19" s="5"/>
      <c r="G19" s="5">
        <f>SUM(G4:G18)</f>
        <v>1035449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13652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L23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87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347420</v>
      </c>
      <c r="D4" s="4"/>
      <c r="E4" s="4">
        <v>1</v>
      </c>
      <c r="F4" s="4" t="s">
        <v>5</v>
      </c>
      <c r="G4" s="4">
        <v>300000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86692</v>
      </c>
      <c r="D6" s="4"/>
      <c r="E6" s="4">
        <v>3</v>
      </c>
      <c r="F6" s="4" t="s">
        <v>38</v>
      </c>
      <c r="G6" s="4">
        <v>100000</v>
      </c>
    </row>
    <row r="7" spans="1:11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1">
      <c r="A8" s="4">
        <v>5</v>
      </c>
      <c r="B8" s="4" t="s">
        <v>86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>
        <v>300</v>
      </c>
    </row>
    <row r="10" spans="1:11">
      <c r="A10" s="4">
        <v>7</v>
      </c>
      <c r="B10" s="4" t="s">
        <v>23</v>
      </c>
      <c r="C10" s="4">
        <v>8000</v>
      </c>
      <c r="D10" s="4"/>
      <c r="E10" s="4">
        <v>7</v>
      </c>
      <c r="F10" s="4" t="s">
        <v>52</v>
      </c>
      <c r="G10" s="4">
        <v>210</v>
      </c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82</v>
      </c>
      <c r="G11" s="4"/>
    </row>
    <row r="12" spans="1:11">
      <c r="A12" s="4">
        <v>9</v>
      </c>
      <c r="B12" s="4"/>
      <c r="C12" s="4"/>
      <c r="D12" s="4"/>
      <c r="E12" s="4">
        <v>9</v>
      </c>
      <c r="F12" s="4" t="s">
        <v>83</v>
      </c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84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27918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 t="s">
        <v>78</v>
      </c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442112</v>
      </c>
      <c r="D19" s="5"/>
      <c r="E19" s="5"/>
      <c r="F19" s="5"/>
      <c r="G19" s="5">
        <f>SUM(G4:G18)</f>
        <v>428893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13219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Q34"/>
  <sheetViews>
    <sheetView topLeftCell="B1" zoomScale="145" zoomScaleNormal="145" workbookViewId="0">
      <selection activeCell="G2" sqref="G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491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>
        <v>54000</v>
      </c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150</v>
      </c>
      <c r="K8" s="1">
        <f>310+200</f>
        <v>510</v>
      </c>
    </row>
    <row r="9" spans="1:16">
      <c r="A9" s="4">
        <v>6</v>
      </c>
      <c r="B9" s="4" t="s">
        <v>7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482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/>
      <c r="D11" s="4"/>
      <c r="E11" s="4">
        <v>8</v>
      </c>
      <c r="F11" s="4" t="s">
        <v>20</v>
      </c>
      <c r="G11" s="4">
        <v>460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/>
      <c r="D12" s="4"/>
      <c r="E12" s="4">
        <v>9</v>
      </c>
      <c r="F12" s="4" t="s">
        <v>486</v>
      </c>
      <c r="G12" s="4"/>
      <c r="K12" s="1">
        <f>27-33</f>
        <v>-6</v>
      </c>
    </row>
    <row r="13" spans="1:16">
      <c r="A13" s="4">
        <v>10</v>
      </c>
      <c r="B13" s="4" t="s">
        <v>476</v>
      </c>
      <c r="C13" s="4"/>
      <c r="D13" s="4"/>
      <c r="E13" s="4">
        <v>10</v>
      </c>
      <c r="F13" s="6" t="s">
        <v>255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480</v>
      </c>
      <c r="C14" s="4"/>
      <c r="D14" s="4"/>
      <c r="E14" s="4">
        <v>11</v>
      </c>
      <c r="F14" s="4" t="s">
        <v>490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263</v>
      </c>
      <c r="G15" s="4">
        <v>750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>
        <v>7000</v>
      </c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54000</v>
      </c>
      <c r="D19" s="5"/>
      <c r="E19" s="5"/>
      <c r="F19" s="5"/>
      <c r="G19" s="5">
        <f>SUM(G4:G18)</f>
        <v>8360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45640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Q34"/>
  <sheetViews>
    <sheetView zoomScale="145" zoomScaleNormal="145" workbookViewId="0">
      <selection activeCell="F21" sqref="F2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492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1497500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450188</v>
      </c>
      <c r="D6" s="4"/>
      <c r="E6" s="4">
        <v>3</v>
      </c>
      <c r="F6" s="4" t="s">
        <v>38</v>
      </c>
      <c r="G6" s="4">
        <v>1700000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7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482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/>
      <c r="D11" s="4"/>
      <c r="E11" s="4">
        <v>8</v>
      </c>
      <c r="F11" s="4" t="s">
        <v>20</v>
      </c>
      <c r="G11" s="4">
        <v>175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/>
      <c r="D12" s="4"/>
      <c r="E12" s="4">
        <v>9</v>
      </c>
      <c r="F12" s="4" t="s">
        <v>486</v>
      </c>
      <c r="G12" s="4"/>
      <c r="K12" s="1">
        <f>27-33</f>
        <v>-6</v>
      </c>
    </row>
    <row r="13" spans="1:16">
      <c r="A13" s="4">
        <v>10</v>
      </c>
      <c r="B13" s="4" t="s">
        <v>476</v>
      </c>
      <c r="C13" s="4"/>
      <c r="D13" s="4"/>
      <c r="E13" s="4">
        <v>10</v>
      </c>
      <c r="F13" s="6" t="s">
        <v>255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480</v>
      </c>
      <c r="C14" s="4"/>
      <c r="D14" s="4"/>
      <c r="E14" s="4">
        <v>11</v>
      </c>
      <c r="F14" s="4" t="s">
        <v>133</v>
      </c>
      <c r="G14" s="4">
        <v>100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212076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1947688</v>
      </c>
      <c r="D19" s="5"/>
      <c r="E19" s="5"/>
      <c r="F19" s="5"/>
      <c r="G19" s="5">
        <f>SUM(G4:G18)</f>
        <v>1912701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34987</v>
      </c>
      <c r="D22" s="5"/>
      <c r="E22" s="5"/>
      <c r="F22" s="5"/>
      <c r="G22" s="5"/>
      <c r="K22" s="1">
        <v>4455</v>
      </c>
      <c r="N22" s="1">
        <f>53+31</f>
        <v>84</v>
      </c>
      <c r="Q22" s="1">
        <f>27038-12500</f>
        <v>14538</v>
      </c>
    </row>
    <row r="23" spans="1:17"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Q34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493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f>250000+406360</f>
        <v>656360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500000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236388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>
        <v>60000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7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482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/>
      <c r="D11" s="4"/>
      <c r="E11" s="4">
        <v>8</v>
      </c>
      <c r="F11" s="4" t="s">
        <v>20</v>
      </c>
      <c r="G11" s="4">
        <v>640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/>
      <c r="D12" s="4"/>
      <c r="E12" s="4">
        <v>9</v>
      </c>
      <c r="F12" s="4" t="s">
        <v>495</v>
      </c>
      <c r="G12" s="4">
        <v>250</v>
      </c>
      <c r="K12" s="1">
        <f>27-33</f>
        <v>-6</v>
      </c>
    </row>
    <row r="13" spans="1:16">
      <c r="A13" s="4">
        <v>10</v>
      </c>
      <c r="B13" s="4" t="s">
        <v>494</v>
      </c>
      <c r="C13" s="4">
        <v>45000</v>
      </c>
      <c r="D13" s="4"/>
      <c r="E13" s="4">
        <v>10</v>
      </c>
      <c r="F13" s="6" t="s">
        <v>169</v>
      </c>
      <c r="G13" s="4">
        <v>700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480</v>
      </c>
      <c r="C14" s="4"/>
      <c r="D14" s="4"/>
      <c r="E14" s="4">
        <v>11</v>
      </c>
      <c r="F14" s="4" t="s">
        <v>133</v>
      </c>
      <c r="G14" s="4">
        <v>3000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131196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997748</v>
      </c>
      <c r="D19" s="5"/>
      <c r="E19" s="5"/>
      <c r="F19" s="5"/>
      <c r="G19" s="5">
        <f>SUM(G4:G18)</f>
        <v>986351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11397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Q34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496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373400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131196</v>
      </c>
      <c r="D6" s="4"/>
      <c r="E6" s="4">
        <v>3</v>
      </c>
      <c r="F6" s="4" t="s">
        <v>38</v>
      </c>
      <c r="G6" s="4">
        <v>300000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19</v>
      </c>
      <c r="C8" s="4">
        <v>94250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7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482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474</v>
      </c>
      <c r="C11" s="4"/>
      <c r="D11" s="4"/>
      <c r="E11" s="4">
        <v>8</v>
      </c>
      <c r="F11" s="4" t="s">
        <v>20</v>
      </c>
      <c r="G11" s="4">
        <v>560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/>
      <c r="D12" s="4"/>
      <c r="E12" s="4">
        <v>9</v>
      </c>
      <c r="F12" s="4" t="s">
        <v>495</v>
      </c>
      <c r="G12" s="4"/>
      <c r="K12" s="1">
        <f>27-33</f>
        <v>-6</v>
      </c>
    </row>
    <row r="13" spans="1:16">
      <c r="A13" s="4">
        <v>10</v>
      </c>
      <c r="B13" s="4" t="s">
        <v>494</v>
      </c>
      <c r="C13" s="4"/>
      <c r="D13" s="4"/>
      <c r="E13" s="4">
        <v>10</v>
      </c>
      <c r="F13" s="6" t="s">
        <v>204</v>
      </c>
      <c r="G13" s="4">
        <v>100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480</v>
      </c>
      <c r="C14" s="4"/>
      <c r="D14" s="4"/>
      <c r="E14" s="4">
        <v>11</v>
      </c>
      <c r="F14" s="4" t="s">
        <v>133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131</v>
      </c>
      <c r="C15" s="4"/>
      <c r="D15" s="4"/>
      <c r="E15" s="4">
        <v>12</v>
      </c>
      <c r="F15" s="6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79797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598846</v>
      </c>
      <c r="D19" s="5"/>
      <c r="E19" s="5"/>
      <c r="F19" s="5"/>
      <c r="G19" s="5">
        <f>SUM(G4:G18)</f>
        <v>580922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17924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Q34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497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684200</v>
      </c>
      <c r="D4" s="4"/>
      <c r="E4" s="4">
        <v>1</v>
      </c>
      <c r="F4" s="4" t="s">
        <v>5</v>
      </c>
      <c r="G4" s="4">
        <v>685000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79797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124</v>
      </c>
      <c r="C7" s="4">
        <v>70000</v>
      </c>
      <c r="D7" s="4"/>
      <c r="E7" s="4">
        <v>4</v>
      </c>
      <c r="F7" s="4" t="s">
        <v>39</v>
      </c>
      <c r="G7" s="4">
        <v>273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7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>
        <v>20000</v>
      </c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498</v>
      </c>
      <c r="C11" s="4">
        <v>32409</v>
      </c>
      <c r="D11" s="4"/>
      <c r="E11" s="4">
        <v>8</v>
      </c>
      <c r="F11" s="4" t="s">
        <v>20</v>
      </c>
      <c r="G11" s="4">
        <v>195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479</v>
      </c>
      <c r="C12" s="4"/>
      <c r="D12" s="4"/>
      <c r="E12" s="4">
        <v>9</v>
      </c>
      <c r="F12" s="4" t="s">
        <v>495</v>
      </c>
      <c r="G12" s="4"/>
      <c r="K12" s="1">
        <f>27-33</f>
        <v>-6</v>
      </c>
    </row>
    <row r="13" spans="1:16">
      <c r="A13" s="4">
        <v>10</v>
      </c>
      <c r="B13" s="4" t="s">
        <v>494</v>
      </c>
      <c r="C13" s="4"/>
      <c r="D13" s="4"/>
      <c r="E13" s="4">
        <v>10</v>
      </c>
      <c r="F13" s="6" t="s">
        <v>502</v>
      </c>
      <c r="G13" s="4">
        <v>20000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360</v>
      </c>
      <c r="C14" s="4">
        <v>50000</v>
      </c>
      <c r="D14" s="4"/>
      <c r="E14" s="4">
        <v>11</v>
      </c>
      <c r="F14" s="4" t="s">
        <v>499</v>
      </c>
      <c r="G14" s="4">
        <v>3000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501</v>
      </c>
      <c r="C15" s="4">
        <v>135575</v>
      </c>
      <c r="D15" s="4"/>
      <c r="E15" s="4">
        <v>12</v>
      </c>
      <c r="F15" s="6" t="s">
        <v>500</v>
      </c>
      <c r="G15" s="4">
        <v>3000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50483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1071981</v>
      </c>
      <c r="D19" s="5"/>
      <c r="E19" s="5"/>
      <c r="F19" s="5"/>
      <c r="G19" s="5">
        <f>SUM(G4:G18)</f>
        <v>1012251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59730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Q34"/>
  <sheetViews>
    <sheetView zoomScale="145" zoomScaleNormal="145" workbookViewId="0">
      <selection activeCell="G1" sqref="G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503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504030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400000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92343</v>
      </c>
      <c r="D6" s="4"/>
      <c r="E6" s="4">
        <v>3</v>
      </c>
      <c r="F6" s="4" t="s">
        <v>38</v>
      </c>
      <c r="G6" s="4">
        <v>400000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7</v>
      </c>
      <c r="C9" s="4">
        <v>50000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>
        <v>72500</v>
      </c>
      <c r="D10" s="4"/>
      <c r="E10" s="4">
        <v>7</v>
      </c>
      <c r="F10" s="6" t="s">
        <v>467</v>
      </c>
      <c r="G10" s="4">
        <v>100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127</v>
      </c>
      <c r="C11" s="4">
        <v>22000</v>
      </c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287</v>
      </c>
      <c r="C12" s="4">
        <v>116600</v>
      </c>
      <c r="D12" s="4"/>
      <c r="E12" s="4">
        <v>9</v>
      </c>
      <c r="F12" s="4" t="s">
        <v>221</v>
      </c>
      <c r="G12" s="4">
        <v>10000</v>
      </c>
      <c r="K12" s="1">
        <f>27-33</f>
        <v>-6</v>
      </c>
    </row>
    <row r="13" spans="1:16">
      <c r="A13" s="4">
        <v>10</v>
      </c>
      <c r="B13" s="4" t="s">
        <v>494</v>
      </c>
      <c r="C13" s="4"/>
      <c r="D13" s="4"/>
      <c r="E13" s="4">
        <v>10</v>
      </c>
      <c r="F13" s="6" t="s">
        <v>27</v>
      </c>
      <c r="G13" s="4">
        <v>18000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>
        <v>27500</v>
      </c>
      <c r="D14" s="4"/>
      <c r="E14" s="4">
        <v>11</v>
      </c>
      <c r="F14" s="4" t="s">
        <v>499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501</v>
      </c>
      <c r="C15" s="4"/>
      <c r="D15" s="4"/>
      <c r="E15" s="4">
        <v>12</v>
      </c>
      <c r="F15" s="6" t="s">
        <v>133</v>
      </c>
      <c r="G15" s="4">
        <v>2000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39907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884973</v>
      </c>
      <c r="D19" s="5"/>
      <c r="E19" s="5"/>
      <c r="F19" s="5"/>
      <c r="G19" s="5">
        <f>SUM(G4:G18)</f>
        <v>870507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14466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Q34"/>
  <sheetViews>
    <sheetView zoomScale="145" zoomScaleNormal="145" workbookViewId="0">
      <selection activeCell="C15" sqref="C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504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370</v>
      </c>
      <c r="C9" s="4">
        <v>52400</v>
      </c>
      <c r="D9" s="4"/>
      <c r="E9" s="4">
        <v>6</v>
      </c>
      <c r="F9" s="4" t="s">
        <v>336</v>
      </c>
      <c r="G9" s="4">
        <v>200000</v>
      </c>
      <c r="K9" s="1">
        <v>80</v>
      </c>
    </row>
    <row r="10" spans="1:16">
      <c r="A10" s="4">
        <v>7</v>
      </c>
      <c r="B10" s="4" t="s">
        <v>24</v>
      </c>
      <c r="C10" s="4">
        <v>45000</v>
      </c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50</v>
      </c>
      <c r="C11" s="4">
        <v>27000</v>
      </c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506</v>
      </c>
      <c r="C12" s="4">
        <v>32000</v>
      </c>
      <c r="D12" s="4"/>
      <c r="E12" s="4">
        <v>9</v>
      </c>
      <c r="F12" s="4" t="s">
        <v>82</v>
      </c>
      <c r="G12" s="4">
        <v>450</v>
      </c>
      <c r="K12" s="1">
        <f>27-33</f>
        <v>-6</v>
      </c>
    </row>
    <row r="13" spans="1:16">
      <c r="A13" s="4">
        <v>10</v>
      </c>
      <c r="B13" s="4" t="s">
        <v>505</v>
      </c>
      <c r="C13" s="4">
        <v>20000</v>
      </c>
      <c r="D13" s="4"/>
      <c r="E13" s="4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>
        <v>31500</v>
      </c>
      <c r="D14" s="4"/>
      <c r="E14" s="4">
        <v>11</v>
      </c>
      <c r="F14" s="4" t="s">
        <v>21</v>
      </c>
      <c r="G14" s="4">
        <v>7000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501</v>
      </c>
      <c r="C15" s="4"/>
      <c r="D15" s="4"/>
      <c r="E15" s="4">
        <v>12</v>
      </c>
      <c r="F15" s="6" t="s">
        <v>133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207900</v>
      </c>
      <c r="D19" s="5"/>
      <c r="E19" s="5"/>
      <c r="F19" s="5"/>
      <c r="G19" s="5">
        <f>SUM(G4:G18)</f>
        <v>207650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250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Q34"/>
  <sheetViews>
    <sheetView zoomScale="145" zoomScaleNormal="145" workbookViewId="0">
      <selection activeCell="C4" sqref="C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507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505460</v>
      </c>
      <c r="D4" s="4"/>
      <c r="E4" s="4">
        <v>1</v>
      </c>
      <c r="F4" s="4" t="s">
        <v>5</v>
      </c>
      <c r="G4" s="4">
        <v>100000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208375</v>
      </c>
      <c r="D6" s="4"/>
      <c r="E6" s="4">
        <v>3</v>
      </c>
      <c r="F6" s="4" t="s">
        <v>38</v>
      </c>
      <c r="G6" s="4">
        <v>400000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160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370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50</v>
      </c>
      <c r="C11" s="4"/>
      <c r="D11" s="4"/>
      <c r="E11" s="4">
        <v>8</v>
      </c>
      <c r="F11" s="4" t="s">
        <v>20</v>
      </c>
      <c r="G11" s="4">
        <v>415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506</v>
      </c>
      <c r="C12" s="4"/>
      <c r="D12" s="4"/>
      <c r="E12" s="4">
        <v>9</v>
      </c>
      <c r="F12" s="4" t="s">
        <v>82</v>
      </c>
      <c r="G12" s="4"/>
      <c r="K12" s="1">
        <f>27-33</f>
        <v>-6</v>
      </c>
    </row>
    <row r="13" spans="1:16">
      <c r="A13" s="4">
        <v>10</v>
      </c>
      <c r="B13" s="4" t="s">
        <v>505</v>
      </c>
      <c r="C13" s="4"/>
      <c r="D13" s="4"/>
      <c r="E13" s="4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21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501</v>
      </c>
      <c r="C15" s="4"/>
      <c r="D15" s="4"/>
      <c r="E15" s="4">
        <v>12</v>
      </c>
      <c r="F15" s="6" t="s">
        <v>133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89875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713835</v>
      </c>
      <c r="D19" s="5"/>
      <c r="E19" s="5"/>
      <c r="F19" s="5"/>
      <c r="G19" s="5">
        <f>SUM(G4:G18)</f>
        <v>590750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123085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Q34"/>
  <sheetViews>
    <sheetView zoomScale="145" zoomScaleNormal="145" workbookViewId="0">
      <selection activeCell="G2" sqref="G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511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491450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270000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89875</v>
      </c>
      <c r="D6" s="4"/>
      <c r="E6" s="4">
        <v>3</v>
      </c>
      <c r="F6" s="4" t="s">
        <v>38</v>
      </c>
      <c r="G6" s="4">
        <v>270000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370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50</v>
      </c>
      <c r="C11" s="4"/>
      <c r="D11" s="4"/>
      <c r="E11" s="4">
        <v>8</v>
      </c>
      <c r="F11" s="4" t="s">
        <v>20</v>
      </c>
      <c r="G11" s="4">
        <v>360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508</v>
      </c>
      <c r="C12" s="4">
        <v>38364</v>
      </c>
      <c r="D12" s="4"/>
      <c r="E12" s="4">
        <v>9</v>
      </c>
      <c r="F12" s="4" t="s">
        <v>82</v>
      </c>
      <c r="G12" s="4"/>
      <c r="K12" s="1">
        <f>27-33</f>
        <v>-6</v>
      </c>
    </row>
    <row r="13" spans="1:16">
      <c r="A13" s="4">
        <v>10</v>
      </c>
      <c r="B13" s="4" t="s">
        <v>509</v>
      </c>
      <c r="C13" s="4">
        <v>18740</v>
      </c>
      <c r="D13" s="4"/>
      <c r="E13" s="4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21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>
        <v>40000</v>
      </c>
      <c r="D15" s="4"/>
      <c r="E15" s="4">
        <v>12</v>
      </c>
      <c r="F15" s="6" t="s">
        <v>93</v>
      </c>
      <c r="G15" s="4">
        <v>1500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79875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678429</v>
      </c>
      <c r="D19" s="5"/>
      <c r="E19" s="5"/>
      <c r="F19" s="5"/>
      <c r="G19" s="5">
        <f>SUM(G4:G18)</f>
        <v>622235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56194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Q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512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482000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157521</v>
      </c>
      <c r="D6" s="4"/>
      <c r="E6" s="4">
        <v>3</v>
      </c>
      <c r="F6" s="4" t="s">
        <v>38</v>
      </c>
      <c r="G6" s="4">
        <v>290000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370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50</v>
      </c>
      <c r="C11" s="4"/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508</v>
      </c>
      <c r="C12" s="4"/>
      <c r="D12" s="4"/>
      <c r="E12" s="4">
        <v>9</v>
      </c>
      <c r="F12" s="4" t="s">
        <v>82</v>
      </c>
      <c r="G12" s="4"/>
      <c r="K12" s="1">
        <f>27-33</f>
        <v>-6</v>
      </c>
    </row>
    <row r="13" spans="1:16">
      <c r="A13" s="4">
        <v>10</v>
      </c>
      <c r="B13" s="4" t="s">
        <v>509</v>
      </c>
      <c r="C13" s="4"/>
      <c r="D13" s="4"/>
      <c r="E13" s="4">
        <v>10</v>
      </c>
      <c r="F13" s="6" t="s">
        <v>513</v>
      </c>
      <c r="G13" s="4">
        <v>300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21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93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95978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639521</v>
      </c>
      <c r="D19" s="5"/>
      <c r="E19" s="5"/>
      <c r="F19" s="5"/>
      <c r="G19" s="5">
        <f>SUM(G4:G18)</f>
        <v>586793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52728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L23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88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295000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30018</v>
      </c>
      <c r="D6" s="4"/>
      <c r="E6" s="4">
        <v>3</v>
      </c>
      <c r="F6" s="4" t="s">
        <v>38</v>
      </c>
      <c r="G6" s="4">
        <v>150000</v>
      </c>
    </row>
    <row r="7" spans="1:11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>
        <v>100</v>
      </c>
      <c r="K7" s="1">
        <f>30*20</f>
        <v>600</v>
      </c>
    </row>
    <row r="8" spans="1:11">
      <c r="A8" s="4">
        <v>5</v>
      </c>
      <c r="B8" s="4" t="s">
        <v>86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>
        <v>220</v>
      </c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52</v>
      </c>
      <c r="G10" s="4">
        <v>110000</v>
      </c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82</v>
      </c>
      <c r="G11" s="4"/>
    </row>
    <row r="12" spans="1:11">
      <c r="A12" s="4">
        <v>9</v>
      </c>
      <c r="B12" s="4"/>
      <c r="C12" s="4"/>
      <c r="D12" s="4"/>
      <c r="E12" s="4">
        <v>9</v>
      </c>
      <c r="F12" s="4" t="s">
        <v>83</v>
      </c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84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30018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325018</v>
      </c>
      <c r="D19" s="5"/>
      <c r="E19" s="5"/>
      <c r="F19" s="5"/>
      <c r="G19" s="5">
        <f>SUM(G4:G18)</f>
        <v>290588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34430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Q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514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366300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167479</v>
      </c>
      <c r="D6" s="4"/>
      <c r="E6" s="4">
        <v>3</v>
      </c>
      <c r="F6" s="4" t="s">
        <v>38</v>
      </c>
      <c r="G6" s="4">
        <v>350000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370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50</v>
      </c>
      <c r="C11" s="4"/>
      <c r="D11" s="4"/>
      <c r="E11" s="4">
        <v>8</v>
      </c>
      <c r="F11" s="4" t="s">
        <v>20</v>
      </c>
      <c r="G11" s="4">
        <v>560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508</v>
      </c>
      <c r="C12" s="4"/>
      <c r="D12" s="4"/>
      <c r="E12" s="4">
        <v>9</v>
      </c>
      <c r="F12" s="4" t="s">
        <v>82</v>
      </c>
      <c r="G12" s="4"/>
      <c r="K12" s="1">
        <f>27-33</f>
        <v>-6</v>
      </c>
    </row>
    <row r="13" spans="1:16">
      <c r="A13" s="4">
        <v>10</v>
      </c>
      <c r="B13" s="4" t="s">
        <v>509</v>
      </c>
      <c r="C13" s="4"/>
      <c r="D13" s="4"/>
      <c r="E13" s="4">
        <v>10</v>
      </c>
      <c r="F13" s="6" t="s">
        <v>513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21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93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122479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533779</v>
      </c>
      <c r="D19" s="5"/>
      <c r="E19" s="5"/>
      <c r="F19" s="5"/>
      <c r="G19" s="5">
        <f>SUM(G4:G18)</f>
        <v>473439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60340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Q34"/>
  <sheetViews>
    <sheetView topLeftCell="A4" zoomScale="145" zoomScaleNormal="145" workbookViewId="0">
      <selection activeCell="C12" sqref="C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515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501800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250000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122479</v>
      </c>
      <c r="D6" s="4"/>
      <c r="E6" s="4">
        <v>3</v>
      </c>
      <c r="F6" s="4" t="s">
        <v>38</v>
      </c>
      <c r="G6" s="4">
        <v>290000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7</v>
      </c>
      <c r="C9" s="4">
        <v>50000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24</v>
      </c>
      <c r="C10" s="4">
        <v>61500</v>
      </c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50</v>
      </c>
      <c r="C11" s="4"/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519</v>
      </c>
      <c r="C12" s="4"/>
      <c r="D12" s="4"/>
      <c r="E12" s="4">
        <v>9</v>
      </c>
      <c r="F12" s="4" t="s">
        <v>516</v>
      </c>
      <c r="G12" s="4">
        <v>12880</v>
      </c>
      <c r="K12" s="1">
        <f>27-33</f>
        <v>-6</v>
      </c>
    </row>
    <row r="13" spans="1:16">
      <c r="A13" s="4">
        <v>10</v>
      </c>
      <c r="B13" s="4" t="s">
        <v>509</v>
      </c>
      <c r="C13" s="4"/>
      <c r="D13" s="4"/>
      <c r="E13" s="4">
        <v>10</v>
      </c>
      <c r="F13" s="6" t="s">
        <v>517</v>
      </c>
      <c r="G13" s="4">
        <v>9360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>
        <v>20000</v>
      </c>
      <c r="D14" s="4"/>
      <c r="E14" s="4">
        <v>11</v>
      </c>
      <c r="F14" s="4" t="s">
        <v>518</v>
      </c>
      <c r="G14" s="4">
        <v>2920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520</v>
      </c>
      <c r="G15" s="4">
        <v>36150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40385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855779</v>
      </c>
      <c r="D19" s="5"/>
      <c r="E19" s="5"/>
      <c r="F19" s="5"/>
      <c r="G19" s="5">
        <f>SUM(G4:G18)</f>
        <v>842360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13419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Q34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521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122000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180</v>
      </c>
      <c r="K8" s="1">
        <f>310+200</f>
        <v>510</v>
      </c>
    </row>
    <row r="9" spans="1:16">
      <c r="A9" s="4">
        <v>6</v>
      </c>
      <c r="B9" s="4" t="s">
        <v>7</v>
      </c>
      <c r="C9" s="4"/>
      <c r="D9" s="4"/>
      <c r="E9" s="4">
        <v>6</v>
      </c>
      <c r="F9" s="4" t="s">
        <v>336</v>
      </c>
      <c r="G9" s="4">
        <v>250000</v>
      </c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50</v>
      </c>
      <c r="C11" s="4"/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519</v>
      </c>
      <c r="C12" s="4">
        <v>34200</v>
      </c>
      <c r="D12" s="4"/>
      <c r="E12" s="4">
        <v>9</v>
      </c>
      <c r="F12" s="4" t="s">
        <v>516</v>
      </c>
      <c r="G12" s="4"/>
      <c r="K12" s="1">
        <f>27-33</f>
        <v>-6</v>
      </c>
    </row>
    <row r="13" spans="1:16">
      <c r="A13" s="4">
        <v>10</v>
      </c>
      <c r="B13" s="4" t="s">
        <v>501</v>
      </c>
      <c r="C13" s="4">
        <v>118980</v>
      </c>
      <c r="D13" s="4"/>
      <c r="E13" s="4">
        <v>10</v>
      </c>
      <c r="F13" s="6" t="s">
        <v>517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71</v>
      </c>
      <c r="G14" s="4">
        <v>9000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520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477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275180</v>
      </c>
      <c r="D19" s="5"/>
      <c r="E19" s="5"/>
      <c r="F19" s="5"/>
      <c r="G19" s="5">
        <f>SUM(G4:G18)</f>
        <v>259180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16000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Q34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522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378300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197311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130</v>
      </c>
      <c r="K8" s="1">
        <f>310+200</f>
        <v>510</v>
      </c>
    </row>
    <row r="9" spans="1:16">
      <c r="A9" s="4">
        <v>6</v>
      </c>
      <c r="B9" s="4" t="s">
        <v>7</v>
      </c>
      <c r="C9" s="4"/>
      <c r="D9" s="4"/>
      <c r="E9" s="4">
        <v>6</v>
      </c>
      <c r="F9" s="4" t="s">
        <v>336</v>
      </c>
      <c r="G9" s="4">
        <v>350000</v>
      </c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314</v>
      </c>
      <c r="C11" s="4">
        <v>10000</v>
      </c>
      <c r="D11" s="4"/>
      <c r="E11" s="4">
        <v>8</v>
      </c>
      <c r="F11" s="4" t="s">
        <v>20</v>
      </c>
      <c r="G11" s="4">
        <v>600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519</v>
      </c>
      <c r="C12" s="4"/>
      <c r="D12" s="4"/>
      <c r="E12" s="4">
        <v>9</v>
      </c>
      <c r="F12" s="4" t="s">
        <v>516</v>
      </c>
      <c r="G12" s="4"/>
      <c r="K12" s="1">
        <f>27-33</f>
        <v>-6</v>
      </c>
    </row>
    <row r="13" spans="1:16">
      <c r="A13" s="4">
        <v>10</v>
      </c>
      <c r="B13" s="4" t="s">
        <v>501</v>
      </c>
      <c r="C13" s="4"/>
      <c r="D13" s="4"/>
      <c r="E13" s="4">
        <v>10</v>
      </c>
      <c r="F13" s="6" t="s">
        <v>517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114</v>
      </c>
      <c r="G14" s="4">
        <v>5500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523</v>
      </c>
      <c r="G15" s="4">
        <v>3000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219881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524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585611</v>
      </c>
      <c r="D19" s="5"/>
      <c r="E19" s="5"/>
      <c r="F19" s="5"/>
      <c r="G19" s="5">
        <f>SUM(G4:G18)</f>
        <v>579111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6500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Q34"/>
  <sheetViews>
    <sheetView zoomScale="145" zoomScaleNormal="145" workbookViewId="0">
      <selection activeCell="F8" sqref="F8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527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530350</v>
      </c>
      <c r="D4" s="4"/>
      <c r="E4" s="4">
        <v>1</v>
      </c>
      <c r="F4" s="4" t="s">
        <v>5</v>
      </c>
      <c r="G4" s="4">
        <v>350000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321976</v>
      </c>
      <c r="D6" s="4"/>
      <c r="E6" s="4">
        <v>3</v>
      </c>
      <c r="F6" s="4" t="s">
        <v>38</v>
      </c>
      <c r="G6" s="4">
        <v>260000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7</v>
      </c>
      <c r="C9" s="4">
        <v>38000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7</v>
      </c>
      <c r="C10" s="4">
        <v>14000</v>
      </c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314</v>
      </c>
      <c r="C11" s="4"/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519</v>
      </c>
      <c r="C12" s="4"/>
      <c r="D12" s="4"/>
      <c r="E12" s="4">
        <v>9</v>
      </c>
      <c r="F12" s="4" t="s">
        <v>516</v>
      </c>
      <c r="G12" s="4"/>
      <c r="K12" s="1">
        <f>27-33</f>
        <v>-6</v>
      </c>
    </row>
    <row r="13" spans="1:16">
      <c r="A13" s="4">
        <v>10</v>
      </c>
      <c r="B13" s="4" t="s">
        <v>501</v>
      </c>
      <c r="C13" s="4"/>
      <c r="D13" s="4"/>
      <c r="E13" s="4">
        <v>10</v>
      </c>
      <c r="F13" s="6" t="s">
        <v>525</v>
      </c>
      <c r="G13" s="4">
        <v>14800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526</v>
      </c>
      <c r="G14" s="4">
        <v>25000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523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148541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524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904326</v>
      </c>
      <c r="D19" s="5"/>
      <c r="E19" s="5"/>
      <c r="F19" s="5"/>
      <c r="G19" s="5">
        <f>SUM(G4:G18)</f>
        <v>798906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105420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Q34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528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969300</v>
      </c>
      <c r="D4" s="4"/>
      <c r="E4" s="4">
        <v>1</v>
      </c>
      <c r="F4" s="4" t="s">
        <v>5</v>
      </c>
      <c r="G4" s="4">
        <v>626000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400000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189793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273</v>
      </c>
    </row>
    <row r="8" spans="1:16">
      <c r="A8" s="4">
        <v>5</v>
      </c>
      <c r="B8" s="4" t="s">
        <v>19</v>
      </c>
      <c r="C8" s="4">
        <v>104480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>
        <v>65000</v>
      </c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8</v>
      </c>
      <c r="C10" s="4">
        <v>60000</v>
      </c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109</v>
      </c>
      <c r="C11" s="4">
        <v>23570</v>
      </c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529</v>
      </c>
      <c r="C12" s="4">
        <v>33700</v>
      </c>
      <c r="D12" s="4"/>
      <c r="E12" s="4">
        <v>9</v>
      </c>
      <c r="F12" s="4" t="s">
        <v>410</v>
      </c>
      <c r="G12" s="4">
        <v>97343</v>
      </c>
      <c r="K12" s="1">
        <f>27-33</f>
        <v>-6</v>
      </c>
    </row>
    <row r="13" spans="1:16">
      <c r="A13" s="4">
        <v>10</v>
      </c>
      <c r="B13" s="4" t="s">
        <v>24</v>
      </c>
      <c r="C13" s="4">
        <v>4000</v>
      </c>
      <c r="D13" s="4"/>
      <c r="E13" s="4">
        <v>10</v>
      </c>
      <c r="F13" s="6" t="s">
        <v>530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>
        <v>26000</v>
      </c>
      <c r="D14" s="4"/>
      <c r="E14" s="4">
        <v>11</v>
      </c>
      <c r="F14" s="4" t="s">
        <v>531</v>
      </c>
      <c r="G14" s="4">
        <v>600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523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85619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524</v>
      </c>
      <c r="G17" s="4"/>
      <c r="J17" s="1">
        <f>71678-25000</f>
        <v>46678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6700+6380+3180</f>
        <v>16260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1475843</v>
      </c>
      <c r="D19" s="5"/>
      <c r="E19" s="5"/>
      <c r="F19" s="5"/>
      <c r="G19" s="5">
        <f>SUM(G4:G18)</f>
        <v>1463135</v>
      </c>
      <c r="J19" s="1">
        <f>26*24</f>
        <v>624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J20" s="1">
        <f>42100-41527</f>
        <v>573</v>
      </c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12708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Q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532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f>330000+148500</f>
        <v>478500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209187</v>
      </c>
      <c r="D6" s="4"/>
      <c r="E6" s="4">
        <v>3</v>
      </c>
      <c r="F6" s="4" t="s">
        <v>38</v>
      </c>
      <c r="G6" s="4">
        <v>325000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336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7</v>
      </c>
      <c r="C11" s="4">
        <v>74500</v>
      </c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529</v>
      </c>
      <c r="C12" s="4"/>
      <c r="D12" s="4"/>
      <c r="E12" s="4">
        <v>9</v>
      </c>
      <c r="F12" s="4" t="s">
        <v>534</v>
      </c>
      <c r="G12" s="4">
        <v>70</v>
      </c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533</v>
      </c>
      <c r="G13" s="4">
        <v>11000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535</v>
      </c>
      <c r="C14" s="4">
        <v>10000</v>
      </c>
      <c r="D14" s="4"/>
      <c r="E14" s="4">
        <v>11</v>
      </c>
      <c r="F14" s="4" t="s">
        <v>133</v>
      </c>
      <c r="G14" s="4">
        <v>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>
        <v>10000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159187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>
        <v>750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772187</v>
      </c>
      <c r="D19" s="5"/>
      <c r="E19" s="5"/>
      <c r="F19" s="5"/>
      <c r="G19" s="5">
        <f>SUM(G4:G18)</f>
        <v>756977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15210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Q34"/>
  <sheetViews>
    <sheetView zoomScale="145" zoomScaleNormal="145" workbookViewId="0">
      <selection activeCell="E11" sqref="E1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536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566500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164187</v>
      </c>
      <c r="D6" s="4"/>
      <c r="E6" s="4">
        <v>3</v>
      </c>
      <c r="F6" s="4" t="s">
        <v>38</v>
      </c>
      <c r="G6" s="4">
        <v>280000</v>
      </c>
      <c r="N6" s="1">
        <f>190+120</f>
        <v>310</v>
      </c>
    </row>
    <row r="7" spans="1:16">
      <c r="A7" s="4">
        <v>4</v>
      </c>
      <c r="B7" s="4" t="s">
        <v>124</v>
      </c>
      <c r="C7" s="4">
        <v>59937</v>
      </c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537</v>
      </c>
      <c r="G9" s="4">
        <v>400000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529</v>
      </c>
      <c r="C12" s="4"/>
      <c r="D12" s="4"/>
      <c r="E12" s="4">
        <v>9</v>
      </c>
      <c r="F12" s="4" t="s">
        <v>534</v>
      </c>
      <c r="G12" s="4"/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117</v>
      </c>
      <c r="G13" s="4">
        <v>450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535</v>
      </c>
      <c r="C14" s="4"/>
      <c r="D14" s="4"/>
      <c r="E14" s="4">
        <v>11</v>
      </c>
      <c r="F14" s="4" t="s">
        <v>133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124893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890624</v>
      </c>
      <c r="D19" s="5"/>
      <c r="E19" s="5"/>
      <c r="F19" s="5"/>
      <c r="G19" s="5">
        <f>SUM(G4:G18)</f>
        <v>805743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84881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Q34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538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71000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>
        <v>609600</v>
      </c>
      <c r="D5" s="4"/>
      <c r="E5" s="4">
        <v>2</v>
      </c>
      <c r="F5" s="4" t="s">
        <v>43</v>
      </c>
      <c r="G5" s="4">
        <v>320000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256989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537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20</v>
      </c>
      <c r="G11" s="4">
        <v>500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529</v>
      </c>
      <c r="C12" s="4"/>
      <c r="D12" s="4"/>
      <c r="E12" s="4">
        <v>9</v>
      </c>
      <c r="F12" s="4" t="s">
        <v>534</v>
      </c>
      <c r="G12" s="4"/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204</v>
      </c>
      <c r="G13" s="4">
        <v>100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535</v>
      </c>
      <c r="C14" s="4"/>
      <c r="D14" s="4"/>
      <c r="E14" s="4">
        <v>11</v>
      </c>
      <c r="F14" s="4" t="s">
        <v>539</v>
      </c>
      <c r="G14" s="4">
        <v>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215702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937589</v>
      </c>
      <c r="D19" s="5"/>
      <c r="E19" s="5"/>
      <c r="F19" s="5"/>
      <c r="G19" s="5">
        <f>SUM(G4:G18)</f>
        <v>937267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322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Q34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540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200000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228177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537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529</v>
      </c>
      <c r="C12" s="4"/>
      <c r="D12" s="4"/>
      <c r="E12" s="4">
        <v>9</v>
      </c>
      <c r="F12" s="4" t="s">
        <v>534</v>
      </c>
      <c r="G12" s="4"/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6" t="s">
        <v>541</v>
      </c>
      <c r="G13" s="4">
        <v>300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535</v>
      </c>
      <c r="C14" s="4"/>
      <c r="D14" s="4"/>
      <c r="E14" s="4">
        <v>11</v>
      </c>
      <c r="F14" s="4" t="s">
        <v>539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163534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428177</v>
      </c>
      <c r="D19" s="5"/>
      <c r="E19" s="5"/>
      <c r="F19" s="5"/>
      <c r="G19" s="5">
        <f>SUM(G4:G18)</f>
        <v>364184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63993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"/>
  <sheetViews>
    <sheetView zoomScale="145" zoomScaleNormal="145" workbookViewId="0">
      <selection activeCell="G8" sqref="G8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2.140625" style="1" customWidth="1"/>
    <col min="4" max="4" width="5" style="1" customWidth="1"/>
    <col min="5" max="5" width="5.7109375" style="1" customWidth="1"/>
    <col min="6" max="6" width="18.140625" style="1" customWidth="1"/>
    <col min="7" max="7" width="18.28515625" style="1" customWidth="1"/>
    <col min="8" max="16384" width="9.140625" style="1"/>
  </cols>
  <sheetData>
    <row r="1" spans="1:7" ht="17.25">
      <c r="B1" s="1" t="s">
        <v>13</v>
      </c>
      <c r="F1" s="2" t="s">
        <v>14</v>
      </c>
      <c r="G1" s="3" t="s">
        <v>15</v>
      </c>
    </row>
    <row r="3" spans="1:7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7">
      <c r="A4" s="4">
        <v>1</v>
      </c>
      <c r="B4" s="4" t="s">
        <v>4</v>
      </c>
      <c r="C4" s="4">
        <v>935500</v>
      </c>
      <c r="D4" s="4"/>
      <c r="E4" s="4">
        <v>1</v>
      </c>
      <c r="F4" s="4" t="s">
        <v>5</v>
      </c>
      <c r="G4" s="4">
        <v>450000</v>
      </c>
    </row>
    <row r="5" spans="1:7">
      <c r="A5" s="4">
        <v>2</v>
      </c>
      <c r="B5" s="4" t="s">
        <v>6</v>
      </c>
      <c r="C5" s="4">
        <v>201056</v>
      </c>
      <c r="D5" s="4"/>
      <c r="E5" s="4">
        <v>2</v>
      </c>
      <c r="F5" s="4" t="s">
        <v>16</v>
      </c>
      <c r="G5" s="4">
        <v>500000</v>
      </c>
    </row>
    <row r="6" spans="1:7">
      <c r="A6" s="4">
        <v>3</v>
      </c>
      <c r="B6" s="4" t="s">
        <v>17</v>
      </c>
      <c r="C6" s="4">
        <v>10000</v>
      </c>
      <c r="D6" s="4"/>
      <c r="E6" s="4">
        <v>3</v>
      </c>
      <c r="F6" s="4" t="s">
        <v>18</v>
      </c>
      <c r="G6" s="4">
        <v>200000</v>
      </c>
    </row>
    <row r="7" spans="1:7">
      <c r="A7" s="4">
        <v>4</v>
      </c>
      <c r="B7" s="4" t="s">
        <v>19</v>
      </c>
      <c r="C7" s="4">
        <v>99800</v>
      </c>
      <c r="D7" s="4"/>
      <c r="E7" s="4">
        <v>4</v>
      </c>
      <c r="F7" s="4" t="s">
        <v>9</v>
      </c>
      <c r="G7" s="4">
        <v>250</v>
      </c>
    </row>
    <row r="8" spans="1:7">
      <c r="A8" s="4">
        <v>5</v>
      </c>
      <c r="B8" s="4" t="s">
        <v>7</v>
      </c>
      <c r="C8" s="4">
        <v>40000</v>
      </c>
      <c r="D8" s="4"/>
      <c r="E8" s="4">
        <v>5</v>
      </c>
      <c r="F8" s="4" t="s">
        <v>10</v>
      </c>
      <c r="G8" s="4">
        <v>315</v>
      </c>
    </row>
    <row r="9" spans="1:7">
      <c r="A9" s="4">
        <v>6</v>
      </c>
      <c r="B9" s="4"/>
      <c r="C9" s="4"/>
      <c r="D9" s="4"/>
      <c r="E9" s="4">
        <v>6</v>
      </c>
      <c r="F9" s="4" t="s">
        <v>20</v>
      </c>
      <c r="G9" s="4">
        <v>410</v>
      </c>
    </row>
    <row r="10" spans="1:7">
      <c r="A10" s="4">
        <v>7</v>
      </c>
      <c r="B10" s="4"/>
      <c r="C10" s="4"/>
      <c r="D10" s="4"/>
      <c r="E10" s="4">
        <v>7</v>
      </c>
      <c r="F10" s="4"/>
      <c r="G10" s="4"/>
    </row>
    <row r="11" spans="1:7">
      <c r="A11" s="4">
        <v>8</v>
      </c>
      <c r="B11" s="4"/>
      <c r="C11" s="4"/>
      <c r="D11" s="4"/>
      <c r="E11" s="4">
        <v>8</v>
      </c>
      <c r="F11" s="4"/>
      <c r="G11" s="4"/>
    </row>
    <row r="12" spans="1:7">
      <c r="A12" s="4">
        <v>9</v>
      </c>
      <c r="B12" s="4"/>
      <c r="C12" s="4"/>
      <c r="D12" s="4"/>
      <c r="E12" s="4">
        <v>9</v>
      </c>
      <c r="F12" s="4"/>
      <c r="G12" s="4"/>
    </row>
    <row r="13" spans="1:7">
      <c r="A13" s="4">
        <v>10</v>
      </c>
      <c r="B13" s="4"/>
      <c r="C13" s="4"/>
      <c r="D13" s="4"/>
      <c r="E13" s="4">
        <v>10</v>
      </c>
      <c r="F13" s="4"/>
      <c r="G13" s="4"/>
    </row>
    <row r="14" spans="1:7">
      <c r="A14" s="4">
        <v>11</v>
      </c>
      <c r="B14" s="4"/>
      <c r="C14" s="4"/>
      <c r="D14" s="4"/>
      <c r="E14" s="4">
        <v>11</v>
      </c>
      <c r="F14" s="4"/>
      <c r="G14" s="4"/>
    </row>
    <row r="15" spans="1:7">
      <c r="A15" s="4">
        <v>12</v>
      </c>
      <c r="B15" s="4"/>
      <c r="C15" s="4"/>
      <c r="D15" s="4"/>
      <c r="E15" s="4">
        <v>12</v>
      </c>
      <c r="F15" s="4" t="s">
        <v>6</v>
      </c>
      <c r="G15" s="4">
        <v>123502</v>
      </c>
    </row>
    <row r="16" spans="1:7">
      <c r="A16" s="4">
        <v>13</v>
      </c>
      <c r="B16" s="4"/>
      <c r="C16" s="4"/>
      <c r="D16" s="4"/>
      <c r="E16" s="4">
        <v>13</v>
      </c>
      <c r="F16" s="4"/>
      <c r="G16" s="4"/>
    </row>
    <row r="17" spans="1:7">
      <c r="A17" s="4">
        <v>14</v>
      </c>
      <c r="B17" s="4"/>
      <c r="C17" s="4"/>
      <c r="D17" s="4"/>
      <c r="E17" s="4">
        <v>14</v>
      </c>
      <c r="F17" s="4"/>
      <c r="G17" s="4"/>
    </row>
    <row r="18" spans="1:7">
      <c r="A18" s="4">
        <v>15</v>
      </c>
      <c r="B18" s="4"/>
      <c r="C18" s="4"/>
      <c r="D18" s="4"/>
      <c r="E18" s="4">
        <v>15</v>
      </c>
      <c r="F18" s="4"/>
      <c r="G18" s="4"/>
    </row>
    <row r="19" spans="1:7">
      <c r="A19" s="5"/>
      <c r="B19" s="5"/>
      <c r="C19" s="5">
        <f>SUM(C4:C18)</f>
        <v>1286356</v>
      </c>
      <c r="D19" s="5"/>
      <c r="E19" s="5"/>
      <c r="F19" s="5"/>
      <c r="G19" s="5">
        <f>SUM(G4:G18)</f>
        <v>1274477</v>
      </c>
    </row>
    <row r="20" spans="1:7">
      <c r="A20" s="5"/>
      <c r="B20" s="5"/>
      <c r="C20" s="5"/>
      <c r="D20" s="5"/>
      <c r="E20" s="5"/>
      <c r="F20" s="5"/>
      <c r="G20" s="5"/>
    </row>
    <row r="21" spans="1:7">
      <c r="A21" s="5"/>
      <c r="B21" s="5"/>
      <c r="C21" s="5"/>
      <c r="D21" s="5"/>
      <c r="E21" s="5"/>
      <c r="F21" s="5"/>
      <c r="G21" s="5"/>
    </row>
    <row r="22" spans="1:7">
      <c r="A22" s="5"/>
      <c r="B22" s="5" t="s">
        <v>12</v>
      </c>
      <c r="C22" s="5">
        <f>C19-G19</f>
        <v>11879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L23"/>
  <sheetViews>
    <sheetView topLeftCell="A7"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89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395950</v>
      </c>
      <c r="D4" s="4"/>
      <c r="E4" s="4">
        <v>1</v>
      </c>
      <c r="F4" s="4" t="s">
        <v>5</v>
      </c>
      <c r="G4" s="4">
        <v>300000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159963</v>
      </c>
      <c r="D6" s="4"/>
      <c r="E6" s="4">
        <v>3</v>
      </c>
      <c r="F6" s="4" t="s">
        <v>38</v>
      </c>
      <c r="G6" s="4">
        <v>250000</v>
      </c>
    </row>
    <row r="7" spans="1:11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1">
      <c r="A8" s="4">
        <v>5</v>
      </c>
      <c r="B8" s="4" t="s">
        <v>19</v>
      </c>
      <c r="C8" s="4">
        <v>99940</v>
      </c>
      <c r="D8" s="4"/>
      <c r="E8" s="4">
        <v>5</v>
      </c>
      <c r="F8" s="4" t="s">
        <v>9</v>
      </c>
      <c r="G8" s="4">
        <v>200</v>
      </c>
    </row>
    <row r="9" spans="1:11">
      <c r="A9" s="4">
        <v>6</v>
      </c>
      <c r="B9" s="4" t="s">
        <v>7</v>
      </c>
      <c r="C9" s="4">
        <v>50000</v>
      </c>
      <c r="D9" s="4"/>
      <c r="E9" s="4">
        <v>6</v>
      </c>
      <c r="F9" s="4" t="s">
        <v>44</v>
      </c>
      <c r="G9" s="4"/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52</v>
      </c>
      <c r="G10" s="4">
        <v>420</v>
      </c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82</v>
      </c>
      <c r="G11" s="4"/>
    </row>
    <row r="12" spans="1:11">
      <c r="A12" s="4">
        <v>9</v>
      </c>
      <c r="B12" s="4"/>
      <c r="C12" s="4"/>
      <c r="D12" s="4"/>
      <c r="E12" s="4">
        <v>9</v>
      </c>
      <c r="F12" s="4" t="s">
        <v>83</v>
      </c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84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95888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705853</v>
      </c>
      <c r="D19" s="5"/>
      <c r="E19" s="5"/>
      <c r="F19" s="5"/>
      <c r="G19" s="5">
        <f>SUM(G4:G18)</f>
        <v>646723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59130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Q34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542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626000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163534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156</v>
      </c>
      <c r="C9" s="4">
        <v>80000</v>
      </c>
      <c r="D9" s="4"/>
      <c r="E9" s="4">
        <v>6</v>
      </c>
      <c r="F9" s="4" t="s">
        <v>52</v>
      </c>
      <c r="G9" s="4">
        <v>272420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543</v>
      </c>
      <c r="G10" s="4">
        <v>16000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156</v>
      </c>
      <c r="C11" s="4"/>
      <c r="D11" s="4"/>
      <c r="E11" s="4">
        <v>8</v>
      </c>
      <c r="F11" s="4" t="s">
        <v>20</v>
      </c>
      <c r="G11" s="4">
        <v>410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547</v>
      </c>
      <c r="C12" s="4">
        <v>16000</v>
      </c>
      <c r="D12" s="4"/>
      <c r="E12" s="4">
        <v>9</v>
      </c>
      <c r="F12" s="4" t="s">
        <v>534</v>
      </c>
      <c r="G12" s="4"/>
      <c r="K12" s="1">
        <f>27-33</f>
        <v>-6</v>
      </c>
    </row>
    <row r="13" spans="1:16">
      <c r="A13" s="4">
        <v>10</v>
      </c>
      <c r="B13" s="4" t="s">
        <v>546</v>
      </c>
      <c r="C13" s="4">
        <v>14000</v>
      </c>
      <c r="D13" s="4"/>
      <c r="E13" s="4">
        <v>10</v>
      </c>
      <c r="F13" s="6" t="s">
        <v>545</v>
      </c>
      <c r="G13" s="4">
        <v>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535</v>
      </c>
      <c r="C14" s="4"/>
      <c r="D14" s="4"/>
      <c r="E14" s="4">
        <v>11</v>
      </c>
      <c r="F14" s="4" t="s">
        <v>423</v>
      </c>
      <c r="G14" s="4">
        <v>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>
        <f>11000+123534</f>
        <v>134534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 t="s">
        <v>544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949534</v>
      </c>
      <c r="D19" s="5"/>
      <c r="E19" s="5"/>
      <c r="F19" s="5"/>
      <c r="G19" s="5">
        <f>SUM(G4:G18)</f>
        <v>925834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23700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Q34"/>
  <sheetViews>
    <sheetView zoomScale="145" zoomScaleNormal="145" workbookViewId="0">
      <selection activeCell="F11" sqref="F1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548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876400</v>
      </c>
      <c r="D4" s="4"/>
      <c r="E4" s="4">
        <v>1</v>
      </c>
      <c r="F4" s="4" t="s">
        <v>5</v>
      </c>
      <c r="G4" s="4">
        <v>800000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162840</v>
      </c>
      <c r="D6" s="4"/>
      <c r="E6" s="4">
        <v>3</v>
      </c>
      <c r="F6" s="4" t="s">
        <v>38</v>
      </c>
      <c r="G6" s="4">
        <v>275000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275</v>
      </c>
    </row>
    <row r="8" spans="1:16">
      <c r="A8" s="4">
        <v>5</v>
      </c>
      <c r="B8" s="4" t="s">
        <v>7</v>
      </c>
      <c r="C8" s="4">
        <v>60618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>
        <v>97485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>
        <v>50000</v>
      </c>
      <c r="D10" s="4"/>
      <c r="E10" s="4">
        <v>7</v>
      </c>
      <c r="F10" s="6" t="s">
        <v>543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156</v>
      </c>
      <c r="C11" s="4"/>
      <c r="D11" s="4"/>
      <c r="E11" s="4">
        <v>8</v>
      </c>
      <c r="F11" s="4" t="s">
        <v>20</v>
      </c>
      <c r="G11" s="4">
        <v>610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547</v>
      </c>
      <c r="C12" s="4"/>
      <c r="D12" s="4"/>
      <c r="E12" s="4">
        <v>9</v>
      </c>
      <c r="F12" s="4" t="s">
        <v>534</v>
      </c>
      <c r="G12" s="4"/>
      <c r="K12" s="1">
        <f>27-33</f>
        <v>-6</v>
      </c>
    </row>
    <row r="13" spans="1:16">
      <c r="A13" s="4">
        <v>10</v>
      </c>
      <c r="B13" s="4" t="s">
        <v>546</v>
      </c>
      <c r="C13" s="4"/>
      <c r="D13" s="4"/>
      <c r="E13" s="4">
        <v>10</v>
      </c>
      <c r="F13" s="6" t="s">
        <v>549</v>
      </c>
      <c r="G13" s="4">
        <v>280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535</v>
      </c>
      <c r="C14" s="4"/>
      <c r="D14" s="4"/>
      <c r="E14" s="4">
        <v>11</v>
      </c>
      <c r="F14" s="4" t="s">
        <v>374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127840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1247343</v>
      </c>
      <c r="D19" s="5"/>
      <c r="E19" s="5"/>
      <c r="F19" s="5"/>
      <c r="G19" s="5">
        <f>SUM(G4:G18)</f>
        <v>1214305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33038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Q34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550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121000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127840</v>
      </c>
      <c r="D6" s="4"/>
      <c r="E6" s="4">
        <v>3</v>
      </c>
      <c r="F6" s="4" t="s">
        <v>38</v>
      </c>
      <c r="G6" s="4">
        <v>280000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543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19500</v>
      </c>
      <c r="D11" s="4"/>
      <c r="E11" s="4">
        <v>8</v>
      </c>
      <c r="F11" s="4" t="s">
        <v>20</v>
      </c>
      <c r="G11" s="4">
        <v>90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547</v>
      </c>
      <c r="C12" s="4">
        <v>11000</v>
      </c>
      <c r="D12" s="4"/>
      <c r="E12" s="4">
        <v>9</v>
      </c>
      <c r="F12" s="4" t="s">
        <v>534</v>
      </c>
      <c r="G12" s="4"/>
      <c r="K12" s="1">
        <f>27-33</f>
        <v>-6</v>
      </c>
    </row>
    <row r="13" spans="1:16">
      <c r="A13" s="4">
        <v>10</v>
      </c>
      <c r="B13" s="4" t="s">
        <v>127</v>
      </c>
      <c r="C13" s="4">
        <v>29000</v>
      </c>
      <c r="D13" s="4"/>
      <c r="E13" s="4">
        <v>10</v>
      </c>
      <c r="F13" s="6" t="s">
        <v>551</v>
      </c>
      <c r="G13" s="4">
        <v>1500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>
        <v>80000</v>
      </c>
      <c r="D14" s="4"/>
      <c r="E14" s="4">
        <v>11</v>
      </c>
      <c r="F14" s="4" t="s">
        <v>374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82796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388340</v>
      </c>
      <c r="D19" s="5"/>
      <c r="E19" s="5"/>
      <c r="F19" s="5"/>
      <c r="G19" s="5">
        <f>SUM(G4:G18)</f>
        <v>364636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23704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Q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552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238920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127864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543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57000</v>
      </c>
      <c r="D11" s="4"/>
      <c r="E11" s="4">
        <v>8</v>
      </c>
      <c r="F11" s="4" t="s">
        <v>20</v>
      </c>
      <c r="G11" s="4">
        <v>460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553</v>
      </c>
      <c r="C12" s="4">
        <v>4160</v>
      </c>
      <c r="D12" s="4"/>
      <c r="E12" s="4">
        <v>9</v>
      </c>
      <c r="F12" s="4" t="s">
        <v>534</v>
      </c>
      <c r="G12" s="4"/>
      <c r="K12" s="1">
        <f>27-33</f>
        <v>-6</v>
      </c>
    </row>
    <row r="13" spans="1:16">
      <c r="A13" s="4">
        <v>10</v>
      </c>
      <c r="B13" s="4" t="s">
        <v>127</v>
      </c>
      <c r="C13" s="4">
        <v>25000</v>
      </c>
      <c r="D13" s="4"/>
      <c r="E13" s="4">
        <v>10</v>
      </c>
      <c r="F13" s="6" t="s">
        <v>551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554</v>
      </c>
      <c r="C14" s="4">
        <v>4650</v>
      </c>
      <c r="D14" s="4"/>
      <c r="E14" s="4">
        <v>11</v>
      </c>
      <c r="F14" s="4" t="s">
        <v>27</v>
      </c>
      <c r="G14" s="4">
        <v>2000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95352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457594</v>
      </c>
      <c r="D19" s="5"/>
      <c r="E19" s="5"/>
      <c r="F19" s="5"/>
      <c r="G19" s="5">
        <f>SUM(G4:G18)</f>
        <v>448212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9382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Q34"/>
  <sheetViews>
    <sheetView zoomScale="145" zoomScaleNormal="145" workbookViewId="0">
      <selection activeCell="F18" sqref="F18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555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270900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103538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543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553</v>
      </c>
      <c r="C12" s="4"/>
      <c r="D12" s="4"/>
      <c r="E12" s="4">
        <v>9</v>
      </c>
      <c r="F12" s="4" t="s">
        <v>557</v>
      </c>
      <c r="G12" s="4">
        <v>1400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6" t="s">
        <v>41</v>
      </c>
      <c r="G13" s="4">
        <v>17086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554</v>
      </c>
      <c r="C14" s="4"/>
      <c r="D14" s="4"/>
      <c r="E14" s="4">
        <v>11</v>
      </c>
      <c r="F14" s="4" t="s">
        <v>556</v>
      </c>
      <c r="G14" s="4">
        <v>50000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77285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374438</v>
      </c>
      <c r="D19" s="5"/>
      <c r="E19" s="5"/>
      <c r="F19" s="5"/>
      <c r="G19" s="5">
        <f>SUM(G4:G18)</f>
        <v>346121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28317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Q34"/>
  <sheetViews>
    <sheetView zoomScale="145" zoomScaleNormal="145" workbookViewId="0">
      <selection activeCell="G18" sqref="G18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558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512100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87150</v>
      </c>
      <c r="D6" s="4"/>
      <c r="E6" s="4">
        <v>3</v>
      </c>
      <c r="F6" s="4" t="s">
        <v>38</v>
      </c>
      <c r="G6" s="4">
        <v>220000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>
        <v>130645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543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559</v>
      </c>
      <c r="C11" s="4">
        <v>10085</v>
      </c>
      <c r="D11" s="4"/>
      <c r="E11" s="4">
        <v>8</v>
      </c>
      <c r="F11" s="4" t="s">
        <v>20</v>
      </c>
      <c r="G11" s="4">
        <v>720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547</v>
      </c>
      <c r="C12" s="4">
        <v>20500</v>
      </c>
      <c r="D12" s="4"/>
      <c r="E12" s="4">
        <v>9</v>
      </c>
      <c r="F12" s="4" t="s">
        <v>557</v>
      </c>
      <c r="G12" s="4"/>
      <c r="K12" s="1">
        <f>27-33</f>
        <v>-6</v>
      </c>
    </row>
    <row r="13" spans="1:16">
      <c r="A13" s="4">
        <v>10</v>
      </c>
      <c r="B13" s="4" t="s">
        <v>233</v>
      </c>
      <c r="C13" s="4">
        <v>40000</v>
      </c>
      <c r="D13" s="4"/>
      <c r="E13" s="4">
        <v>10</v>
      </c>
      <c r="F13" s="6" t="s">
        <v>560</v>
      </c>
      <c r="G13" s="4">
        <v>80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561</v>
      </c>
      <c r="C14" s="4">
        <v>23000</v>
      </c>
      <c r="D14" s="4"/>
      <c r="E14" s="4">
        <v>11</v>
      </c>
      <c r="F14" s="4" t="s">
        <v>71</v>
      </c>
      <c r="G14" s="4">
        <v>9000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510</v>
      </c>
      <c r="C15" s="4"/>
      <c r="D15" s="4"/>
      <c r="E15" s="4">
        <v>12</v>
      </c>
      <c r="F15" s="6" t="s">
        <v>181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68917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742835</v>
      </c>
      <c r="D19" s="5"/>
      <c r="E19" s="5"/>
      <c r="F19" s="5"/>
      <c r="G19" s="5">
        <f>SUM(G4:G18)</f>
        <v>729932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12903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Q34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568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259700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68917</v>
      </c>
      <c r="D6" s="4"/>
      <c r="E6" s="4">
        <v>3</v>
      </c>
      <c r="F6" s="4" t="s">
        <v>38</v>
      </c>
      <c r="G6" s="4">
        <v>520000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>
        <v>60050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>
        <v>100000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543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559</v>
      </c>
      <c r="C11" s="4"/>
      <c r="D11" s="4"/>
      <c r="E11" s="4">
        <v>8</v>
      </c>
      <c r="F11" s="6" t="s">
        <v>60</v>
      </c>
      <c r="G11" s="4">
        <v>5500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562</v>
      </c>
      <c r="C12" s="4">
        <v>37210</v>
      </c>
      <c r="D12" s="4"/>
      <c r="E12" s="4">
        <v>9</v>
      </c>
      <c r="F12" s="4" t="s">
        <v>563</v>
      </c>
      <c r="G12" s="4">
        <v>3000</v>
      </c>
      <c r="K12" s="1">
        <f>27-33</f>
        <v>-6</v>
      </c>
    </row>
    <row r="13" spans="1:16">
      <c r="A13" s="4">
        <v>10</v>
      </c>
      <c r="B13" s="4" t="s">
        <v>127</v>
      </c>
      <c r="C13" s="4">
        <v>18000</v>
      </c>
      <c r="D13" s="4"/>
      <c r="E13" s="4">
        <v>10</v>
      </c>
      <c r="F13" s="4" t="s">
        <v>567</v>
      </c>
      <c r="G13" s="4">
        <v>9620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561</v>
      </c>
      <c r="C14" s="4">
        <v>18900</v>
      </c>
      <c r="D14" s="4"/>
      <c r="E14" s="4">
        <v>11</v>
      </c>
      <c r="F14" s="4" t="s">
        <v>565</v>
      </c>
      <c r="G14" s="4">
        <v>16280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564</v>
      </c>
      <c r="C15" s="4">
        <v>15000</v>
      </c>
      <c r="D15" s="4"/>
      <c r="E15" s="4">
        <v>12</v>
      </c>
      <c r="F15" s="4" t="s">
        <v>566</v>
      </c>
      <c r="G15" s="4">
        <v>8180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>
        <v>5880</v>
      </c>
      <c r="D16" s="4"/>
      <c r="E16" s="4">
        <v>13</v>
      </c>
      <c r="F16" s="4" t="s">
        <v>135</v>
      </c>
      <c r="G16" s="4">
        <v>19691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368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/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583657</v>
      </c>
      <c r="D19" s="5"/>
      <c r="E19" s="5"/>
      <c r="F19" s="5"/>
      <c r="G19" s="5">
        <f>SUM(G4:G18)</f>
        <v>582621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1036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Q34"/>
  <sheetViews>
    <sheetView zoomScale="145" zoomScaleNormal="145" workbookViewId="0">
      <selection activeCell="C10" sqref="C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569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506410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300000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358924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479</v>
      </c>
      <c r="C9" s="4">
        <v>57400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573</v>
      </c>
      <c r="C10" s="4">
        <v>47200</v>
      </c>
      <c r="D10" s="4"/>
      <c r="E10" s="4">
        <v>7</v>
      </c>
      <c r="F10" s="6" t="s">
        <v>543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287</v>
      </c>
      <c r="C11" s="4">
        <v>37700</v>
      </c>
      <c r="D11" s="4"/>
      <c r="E11" s="4">
        <v>8</v>
      </c>
      <c r="F11" s="6" t="s">
        <v>44</v>
      </c>
      <c r="G11" s="4">
        <v>425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314</v>
      </c>
      <c r="C12" s="4">
        <v>13500</v>
      </c>
      <c r="D12" s="4"/>
      <c r="E12" s="4">
        <v>9</v>
      </c>
      <c r="F12" s="4" t="s">
        <v>574</v>
      </c>
      <c r="G12" s="4">
        <v>270</v>
      </c>
      <c r="K12" s="1">
        <f>27-33</f>
        <v>-6</v>
      </c>
    </row>
    <row r="13" spans="1:16">
      <c r="A13" s="4">
        <v>10</v>
      </c>
      <c r="B13" s="4" t="s">
        <v>127</v>
      </c>
      <c r="C13" s="4">
        <v>13000</v>
      </c>
      <c r="D13" s="4"/>
      <c r="E13" s="4">
        <v>10</v>
      </c>
      <c r="F13" s="4" t="s">
        <v>567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>
        <v>15000</v>
      </c>
      <c r="D14" s="4"/>
      <c r="E14" s="4">
        <v>11</v>
      </c>
      <c r="F14" s="4" t="s">
        <v>565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>
        <v>40000</v>
      </c>
      <c r="D15" s="4"/>
      <c r="E15" s="4">
        <v>12</v>
      </c>
      <c r="F15" s="4" t="s">
        <v>572</v>
      </c>
      <c r="G15" s="4">
        <v>50000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161054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1089134</v>
      </c>
      <c r="D19" s="5"/>
      <c r="E19" s="5"/>
      <c r="F19" s="5"/>
      <c r="G19" s="5">
        <f>SUM(G4:G18)</f>
        <v>1062314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26820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Q34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575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540720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161054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479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573</v>
      </c>
      <c r="C10" s="4"/>
      <c r="D10" s="4"/>
      <c r="E10" s="4">
        <v>7</v>
      </c>
      <c r="F10" s="6" t="s">
        <v>467</v>
      </c>
      <c r="G10" s="4">
        <v>115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287</v>
      </c>
      <c r="C11" s="4"/>
      <c r="D11" s="4"/>
      <c r="E11" s="4">
        <v>8</v>
      </c>
      <c r="F11" s="6" t="s">
        <v>44</v>
      </c>
      <c r="G11" s="4">
        <v>590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388</v>
      </c>
      <c r="C12" s="4">
        <v>100900</v>
      </c>
      <c r="D12" s="4"/>
      <c r="E12" s="4">
        <v>9</v>
      </c>
      <c r="F12" s="4" t="s">
        <v>574</v>
      </c>
      <c r="G12" s="4"/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567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133</v>
      </c>
      <c r="G14" s="4">
        <v>2300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572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164054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802674</v>
      </c>
      <c r="D19" s="5"/>
      <c r="E19" s="5"/>
      <c r="F19" s="5"/>
      <c r="G19" s="5">
        <f>SUM(G4:G18)</f>
        <v>667474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135200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Q34"/>
  <sheetViews>
    <sheetView zoomScale="145" zoomScaleNormal="145" workbookViewId="0">
      <selection activeCell="F11" sqref="F1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576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318300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244617</v>
      </c>
      <c r="D6" s="4"/>
      <c r="E6" s="4">
        <v>3</v>
      </c>
      <c r="F6" s="4" t="s">
        <v>38</v>
      </c>
      <c r="G6" s="4">
        <v>340000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479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573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578</v>
      </c>
      <c r="C11" s="4">
        <v>39000</v>
      </c>
      <c r="D11" s="4"/>
      <c r="E11" s="4">
        <v>8</v>
      </c>
      <c r="F11" s="6" t="s">
        <v>577</v>
      </c>
      <c r="G11" s="4">
        <v>500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388</v>
      </c>
      <c r="C12" s="4"/>
      <c r="D12" s="4"/>
      <c r="E12" s="4">
        <v>9</v>
      </c>
      <c r="F12" s="4" t="s">
        <v>579</v>
      </c>
      <c r="G12" s="4">
        <v>800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567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193</v>
      </c>
      <c r="G14" s="4">
        <v>3000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572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116188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601917</v>
      </c>
      <c r="D19" s="5"/>
      <c r="E19" s="5"/>
      <c r="F19" s="5"/>
      <c r="G19" s="5">
        <f>SUM(G4:G18)</f>
        <v>460938</v>
      </c>
      <c r="J19" s="1">
        <f>185606-16000-79000</f>
        <v>90606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140979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L23"/>
  <sheetViews>
    <sheetView zoomScale="145" zoomScaleNormal="145" workbookViewId="0">
      <selection activeCell="G1" sqref="G1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90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131930</v>
      </c>
      <c r="D6" s="4"/>
      <c r="E6" s="4">
        <v>3</v>
      </c>
      <c r="F6" s="4" t="s">
        <v>38</v>
      </c>
      <c r="G6" s="4"/>
    </row>
    <row r="7" spans="1:11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/>
      <c r="K7" s="1">
        <f>30*20</f>
        <v>600</v>
      </c>
    </row>
    <row r="8" spans="1:11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70</v>
      </c>
    </row>
    <row r="9" spans="1:11">
      <c r="A9" s="4">
        <v>6</v>
      </c>
      <c r="B9" s="4" t="s">
        <v>7</v>
      </c>
      <c r="C9" s="4"/>
      <c r="D9" s="4"/>
      <c r="E9" s="4">
        <v>6</v>
      </c>
      <c r="F9" s="4" t="s">
        <v>44</v>
      </c>
      <c r="G9" s="4"/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52</v>
      </c>
      <c r="G10" s="4"/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82</v>
      </c>
      <c r="G11" s="4"/>
    </row>
    <row r="12" spans="1:11">
      <c r="A12" s="4">
        <v>9</v>
      </c>
      <c r="B12" s="4"/>
      <c r="C12" s="4"/>
      <c r="D12" s="4"/>
      <c r="E12" s="4">
        <v>9</v>
      </c>
      <c r="F12" s="4" t="s">
        <v>83</v>
      </c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84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99538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131930</v>
      </c>
      <c r="D19" s="5"/>
      <c r="E19" s="5"/>
      <c r="F19" s="5"/>
      <c r="G19" s="5">
        <f>SUM(G4:G18)</f>
        <v>99608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32322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Q34"/>
  <sheetViews>
    <sheetView zoomScale="145" zoomScaleNormal="145" workbookViewId="0">
      <selection activeCell="J12" sqref="J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580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f>645000+106100</f>
        <v>751100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300000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212592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320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479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156</v>
      </c>
      <c r="C10" s="4">
        <v>58000</v>
      </c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578</v>
      </c>
      <c r="C11" s="4"/>
      <c r="D11" s="4"/>
      <c r="E11" s="4">
        <v>8</v>
      </c>
      <c r="F11" s="6" t="s">
        <v>577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388</v>
      </c>
      <c r="C12" s="4"/>
      <c r="D12" s="4"/>
      <c r="E12" s="4">
        <v>9</v>
      </c>
      <c r="F12" s="4" t="s">
        <v>579</v>
      </c>
      <c r="G12" s="4"/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567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193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572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f>5000+164599</f>
        <v>169599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1071692</v>
      </c>
      <c r="D19" s="5"/>
      <c r="E19" s="5"/>
      <c r="F19" s="5"/>
      <c r="G19" s="5">
        <f>SUM(G4:G18)</f>
        <v>1020219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51473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Q34"/>
  <sheetViews>
    <sheetView zoomScale="145" zoomScaleNormal="145" workbookViewId="0">
      <selection activeCell="H14" sqref="H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581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205039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130</v>
      </c>
      <c r="K8" s="1">
        <f>310+200</f>
        <v>510</v>
      </c>
    </row>
    <row r="9" spans="1:16">
      <c r="A9" s="4">
        <v>6</v>
      </c>
      <c r="B9" s="4" t="s">
        <v>479</v>
      </c>
      <c r="C9" s="4"/>
      <c r="D9" s="4"/>
      <c r="E9" s="4">
        <v>6</v>
      </c>
      <c r="F9" s="4" t="s">
        <v>52</v>
      </c>
      <c r="G9" s="4" t="s">
        <v>78</v>
      </c>
      <c r="K9" s="1">
        <v>80</v>
      </c>
    </row>
    <row r="10" spans="1:16">
      <c r="A10" s="4">
        <v>7</v>
      </c>
      <c r="B10" s="4" t="s">
        <v>156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578</v>
      </c>
      <c r="C11" s="4"/>
      <c r="D11" s="4"/>
      <c r="E11" s="4">
        <v>8</v>
      </c>
      <c r="F11" s="6" t="s">
        <v>577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388</v>
      </c>
      <c r="C12" s="4"/>
      <c r="D12" s="4"/>
      <c r="E12" s="4">
        <v>9</v>
      </c>
      <c r="F12" s="4" t="s">
        <v>579</v>
      </c>
      <c r="G12" s="4"/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567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193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572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124831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205039</v>
      </c>
      <c r="D19" s="5"/>
      <c r="E19" s="5"/>
      <c r="F19" s="5"/>
      <c r="G19" s="5">
        <f>SUM(G4:G18)</f>
        <v>124961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80078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Q34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582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628500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210859</v>
      </c>
      <c r="D6" s="4"/>
      <c r="E6" s="4">
        <v>3</v>
      </c>
      <c r="F6" s="4" t="s">
        <v>38</v>
      </c>
      <c r="G6" s="4">
        <v>420000</v>
      </c>
      <c r="N6" s="1">
        <f>190+120</f>
        <v>310</v>
      </c>
    </row>
    <row r="7" spans="1:16">
      <c r="A7" s="4">
        <v>4</v>
      </c>
      <c r="B7" s="4" t="s">
        <v>124</v>
      </c>
      <c r="C7" s="4">
        <v>90370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36240</v>
      </c>
      <c r="D8" s="4"/>
      <c r="E8" s="4">
        <v>5</v>
      </c>
      <c r="F8" s="4" t="s">
        <v>9</v>
      </c>
      <c r="G8" s="4">
        <v>280</v>
      </c>
      <c r="K8" s="1">
        <f>310+200</f>
        <v>510</v>
      </c>
    </row>
    <row r="9" spans="1:16">
      <c r="A9" s="4">
        <v>6</v>
      </c>
      <c r="B9" s="4" t="s">
        <v>19</v>
      </c>
      <c r="C9" s="4">
        <v>129490</v>
      </c>
      <c r="D9" s="4"/>
      <c r="E9" s="4">
        <v>6</v>
      </c>
      <c r="F9" s="4" t="s">
        <v>52</v>
      </c>
      <c r="G9" s="4" t="s">
        <v>78</v>
      </c>
      <c r="K9" s="1">
        <v>80</v>
      </c>
    </row>
    <row r="10" spans="1:16">
      <c r="A10" s="4">
        <v>7</v>
      </c>
      <c r="B10" s="4" t="s">
        <v>156</v>
      </c>
      <c r="C10" s="4"/>
      <c r="D10" s="4"/>
      <c r="E10" s="4">
        <v>7</v>
      </c>
      <c r="F10" s="6" t="s">
        <v>467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578</v>
      </c>
      <c r="C11" s="4"/>
      <c r="D11" s="4"/>
      <c r="E11" s="4">
        <v>8</v>
      </c>
      <c r="F11" s="6" t="s">
        <v>577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388</v>
      </c>
      <c r="C12" s="4"/>
      <c r="D12" s="4"/>
      <c r="E12" s="4">
        <v>9</v>
      </c>
      <c r="F12" s="4" t="s">
        <v>579</v>
      </c>
      <c r="G12" s="4"/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567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583</v>
      </c>
      <c r="G14" s="4">
        <v>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572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162858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1095459</v>
      </c>
      <c r="D19" s="5"/>
      <c r="E19" s="5"/>
      <c r="F19" s="5"/>
      <c r="G19" s="5">
        <f>SUM(G4:G18)</f>
        <v>984353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111106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Q34"/>
  <sheetViews>
    <sheetView zoomScale="145" zoomScaleNormal="145" workbookViewId="0">
      <selection activeCell="I15" sqref="I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584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740400</v>
      </c>
      <c r="D4" s="4"/>
      <c r="E4" s="4">
        <v>1</v>
      </c>
      <c r="F4" s="4" t="s">
        <v>5</v>
      </c>
      <c r="G4" s="4">
        <v>700000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162859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273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400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>
        <v>45890</v>
      </c>
      <c r="K9" s="1">
        <v>80</v>
      </c>
    </row>
    <row r="10" spans="1:16">
      <c r="A10" s="4">
        <v>7</v>
      </c>
      <c r="B10" s="4" t="s">
        <v>8</v>
      </c>
      <c r="C10" s="4">
        <v>80000</v>
      </c>
      <c r="D10" s="4"/>
      <c r="E10" s="4">
        <v>7</v>
      </c>
      <c r="F10" s="6" t="s">
        <v>20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23000</v>
      </c>
      <c r="D11" s="4"/>
      <c r="E11" s="4">
        <v>8</v>
      </c>
      <c r="F11" s="6" t="s">
        <v>82</v>
      </c>
      <c r="G11" s="4">
        <v>450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561</v>
      </c>
      <c r="C12" s="4">
        <v>10000</v>
      </c>
      <c r="D12" s="4"/>
      <c r="E12" s="4">
        <v>9</v>
      </c>
      <c r="F12" s="4" t="s">
        <v>579</v>
      </c>
      <c r="G12" s="4"/>
      <c r="K12" s="1">
        <f>27-33</f>
        <v>-6</v>
      </c>
    </row>
    <row r="13" spans="1:16">
      <c r="A13" s="4">
        <v>10</v>
      </c>
      <c r="B13" s="4" t="s">
        <v>319</v>
      </c>
      <c r="C13" s="4">
        <v>30000</v>
      </c>
      <c r="D13" s="4"/>
      <c r="E13" s="4">
        <v>10</v>
      </c>
      <c r="F13" s="4" t="s">
        <v>567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583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572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96078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1046259</v>
      </c>
      <c r="D19" s="5"/>
      <c r="E19" s="5"/>
      <c r="F19" s="5"/>
      <c r="G19" s="5">
        <f>SUM(G4:G18)</f>
        <v>1043291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2968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Q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585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341500</v>
      </c>
      <c r="D4" s="4"/>
      <c r="E4" s="4">
        <v>1</v>
      </c>
      <c r="F4" s="4" t="s">
        <v>5</v>
      </c>
      <c r="G4" s="4">
        <v>100000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106079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365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20</v>
      </c>
      <c r="G10" s="4">
        <v>700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82</v>
      </c>
      <c r="G11" s="4" t="s">
        <v>586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299</v>
      </c>
      <c r="C12" s="4">
        <v>30000</v>
      </c>
      <c r="D12" s="4"/>
      <c r="E12" s="4">
        <v>9</v>
      </c>
      <c r="F12" s="4" t="s">
        <v>579</v>
      </c>
      <c r="G12" s="4"/>
      <c r="K12" s="1">
        <f>27-33</f>
        <v>-6</v>
      </c>
    </row>
    <row r="13" spans="1:16">
      <c r="A13" s="4">
        <v>10</v>
      </c>
      <c r="B13" s="4" t="s">
        <v>319</v>
      </c>
      <c r="C13" s="4"/>
      <c r="D13" s="4"/>
      <c r="E13" s="4">
        <v>10</v>
      </c>
      <c r="F13" s="4" t="s">
        <v>567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583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572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83279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477579</v>
      </c>
      <c r="D19" s="5"/>
      <c r="E19" s="5"/>
      <c r="F19" s="5"/>
      <c r="G19" s="5">
        <f>SUM(G4:G18)</f>
        <v>434559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43020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587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483660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225000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118808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>
        <v>87485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20</v>
      </c>
      <c r="G10" s="4">
        <v>100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31000</v>
      </c>
      <c r="D11" s="4"/>
      <c r="E11" s="4">
        <v>8</v>
      </c>
      <c r="F11" s="6" t="s">
        <v>184</v>
      </c>
      <c r="G11" s="4">
        <v>1000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561</v>
      </c>
      <c r="C12" s="4">
        <v>2500</v>
      </c>
      <c r="D12" s="4"/>
      <c r="E12" s="4">
        <v>9</v>
      </c>
      <c r="F12" s="4" t="s">
        <v>579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>
        <v>17000</v>
      </c>
      <c r="D13" s="4"/>
      <c r="E13" s="4">
        <v>10</v>
      </c>
      <c r="F13" s="4" t="s">
        <v>567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588</v>
      </c>
      <c r="G14" s="4">
        <v>100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572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82332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652968</v>
      </c>
      <c r="D19" s="5"/>
      <c r="E19" s="5"/>
      <c r="F19" s="5"/>
      <c r="G19" s="5">
        <f>SUM(G4:G18)</f>
        <v>646467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6501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Q36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589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471950</v>
      </c>
      <c r="D4" s="4"/>
      <c r="E4" s="4">
        <v>1</v>
      </c>
      <c r="F4" s="4" t="s">
        <v>5</v>
      </c>
      <c r="G4" s="4">
        <v>100000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131364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500</v>
      </c>
      <c r="K8" s="1">
        <f>310+200</f>
        <v>510</v>
      </c>
    </row>
    <row r="9" spans="1:16">
      <c r="A9" s="4">
        <v>6</v>
      </c>
      <c r="B9" s="4" t="s">
        <v>19</v>
      </c>
      <c r="C9" s="4">
        <v>100000</v>
      </c>
      <c r="D9" s="4"/>
      <c r="E9" s="4">
        <v>6</v>
      </c>
      <c r="F9" s="4" t="s">
        <v>52</v>
      </c>
      <c r="G9" s="4">
        <v>600000</v>
      </c>
      <c r="K9" s="1">
        <v>80</v>
      </c>
    </row>
    <row r="10" spans="1:16">
      <c r="A10" s="4">
        <v>7</v>
      </c>
      <c r="B10" s="4" t="s">
        <v>24</v>
      </c>
      <c r="C10" s="4">
        <v>56000</v>
      </c>
      <c r="D10" s="4"/>
      <c r="E10" s="4">
        <v>7</v>
      </c>
      <c r="F10" s="6" t="s">
        <v>20</v>
      </c>
      <c r="G10" s="4">
        <v>350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31000</v>
      </c>
      <c r="D11" s="4"/>
      <c r="E11" s="4">
        <v>8</v>
      </c>
      <c r="F11" s="6" t="s">
        <v>591</v>
      </c>
      <c r="G11" s="4">
        <v>250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590</v>
      </c>
      <c r="C12" s="4">
        <v>25000</v>
      </c>
      <c r="D12" s="4"/>
      <c r="E12" s="4">
        <v>9</v>
      </c>
      <c r="F12" s="4" t="s">
        <v>27</v>
      </c>
      <c r="G12" s="4">
        <v>2000</v>
      </c>
      <c r="K12" s="1">
        <f>27-33</f>
        <v>-6</v>
      </c>
    </row>
    <row r="13" spans="1:16">
      <c r="A13" s="4">
        <v>10</v>
      </c>
      <c r="B13" s="4" t="s">
        <v>547</v>
      </c>
      <c r="C13" s="4">
        <v>16500</v>
      </c>
      <c r="D13" s="4"/>
      <c r="E13" s="4">
        <v>10</v>
      </c>
      <c r="F13" s="4" t="s">
        <v>592</v>
      </c>
      <c r="G13" s="4">
        <v>8360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>
        <v>8500</v>
      </c>
      <c r="D14" s="4"/>
      <c r="E14" s="4">
        <v>11</v>
      </c>
      <c r="F14" s="4" t="s">
        <v>144</v>
      </c>
      <c r="G14" s="4">
        <v>150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593</v>
      </c>
      <c r="G15" s="4">
        <v>6940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44559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570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890314</v>
      </c>
      <c r="D19" s="5"/>
      <c r="E19" s="5"/>
      <c r="F19" s="5"/>
      <c r="G19" s="5">
        <f>SUM(G4:G18)</f>
        <v>863224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27090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Q36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594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643300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132280</v>
      </c>
      <c r="D6" s="4"/>
      <c r="E6" s="4">
        <v>3</v>
      </c>
      <c r="F6" s="4" t="s">
        <v>38</v>
      </c>
      <c r="G6" s="4">
        <v>350000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>
        <v>29870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20</v>
      </c>
      <c r="G10" s="4">
        <v>205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591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590</v>
      </c>
      <c r="C12" s="4"/>
      <c r="D12" s="4"/>
      <c r="E12" s="4">
        <v>9</v>
      </c>
      <c r="F12" s="4" t="s">
        <v>595</v>
      </c>
      <c r="G12" s="4">
        <v>100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592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284</v>
      </c>
      <c r="G14" s="4">
        <v>2000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593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70903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>
        <v>25000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805450</v>
      </c>
      <c r="D19" s="5"/>
      <c r="E19" s="5"/>
      <c r="F19" s="5"/>
      <c r="G19" s="5">
        <f>SUM(G4:G18)</f>
        <v>748678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56772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Q36"/>
  <sheetViews>
    <sheetView zoomScale="145" zoomScaleNormal="145" workbookViewId="0">
      <selection activeCell="F18" sqref="F18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596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311070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70903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20</v>
      </c>
      <c r="G10" s="4">
        <v>180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591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590</v>
      </c>
      <c r="C12" s="4"/>
      <c r="D12" s="4"/>
      <c r="E12" s="4">
        <v>9</v>
      </c>
      <c r="F12" s="4" t="s">
        <v>597</v>
      </c>
      <c r="G12" s="4">
        <v>1000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598</v>
      </c>
      <c r="G13" s="4">
        <v>1050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599</v>
      </c>
      <c r="G14" s="4">
        <v>200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368</v>
      </c>
      <c r="G15" s="4">
        <v>750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60903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381973</v>
      </c>
      <c r="D19" s="5"/>
      <c r="E19" s="5"/>
      <c r="F19" s="5"/>
      <c r="G19" s="5">
        <f>SUM(G4:G18)</f>
        <v>364533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17440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Q36"/>
  <sheetViews>
    <sheetView zoomScale="145" zoomScaleNormal="145" workbookViewId="0">
      <selection activeCell="G18" sqref="G18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600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183130</v>
      </c>
      <c r="D4" s="4"/>
      <c r="E4" s="4">
        <v>1</v>
      </c>
      <c r="F4" s="4" t="s">
        <v>5</v>
      </c>
      <c r="G4" s="4">
        <v>100000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60903</v>
      </c>
      <c r="D6" s="4"/>
      <c r="E6" s="4">
        <v>3</v>
      </c>
      <c r="F6" s="4" t="s">
        <v>38</v>
      </c>
      <c r="G6" s="4">
        <v>130000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60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24</v>
      </c>
      <c r="C10" s="4">
        <v>14000</v>
      </c>
      <c r="D10" s="4"/>
      <c r="E10" s="4">
        <v>7</v>
      </c>
      <c r="F10" s="6" t="s">
        <v>20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4000</v>
      </c>
      <c r="D11" s="4"/>
      <c r="E11" s="4">
        <v>8</v>
      </c>
      <c r="F11" s="6" t="s">
        <v>467</v>
      </c>
      <c r="G11" s="4">
        <v>50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590</v>
      </c>
      <c r="C12" s="4">
        <v>24000</v>
      </c>
      <c r="D12" s="4"/>
      <c r="E12" s="4">
        <v>9</v>
      </c>
      <c r="F12" s="4" t="s">
        <v>603</v>
      </c>
      <c r="G12" s="4">
        <v>100</v>
      </c>
      <c r="K12" s="1">
        <f>27-33</f>
        <v>-6</v>
      </c>
    </row>
    <row r="13" spans="1:16">
      <c r="A13" s="4">
        <v>10</v>
      </c>
      <c r="B13" s="4" t="s">
        <v>601</v>
      </c>
      <c r="C13" s="4">
        <v>17180</v>
      </c>
      <c r="D13" s="4"/>
      <c r="E13" s="4">
        <v>10</v>
      </c>
      <c r="F13" s="4" t="s">
        <v>269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309</v>
      </c>
      <c r="G14" s="4">
        <v>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602</v>
      </c>
      <c r="G15" s="4">
        <v>6480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41423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303213</v>
      </c>
      <c r="D19" s="5"/>
      <c r="E19" s="5"/>
      <c r="F19" s="5"/>
      <c r="G19" s="5">
        <f>SUM(G4:G18)</f>
        <v>288613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14600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N23"/>
  <sheetViews>
    <sheetView zoomScale="145" zoomScaleNormal="145" workbookViewId="0">
      <selection activeCell="I17" sqref="I17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91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916250</v>
      </c>
      <c r="D4" s="4"/>
      <c r="E4" s="4">
        <v>1</v>
      </c>
      <c r="F4" s="4" t="s">
        <v>5</v>
      </c>
      <c r="G4" s="4">
        <v>450000</v>
      </c>
    </row>
    <row r="5" spans="1:14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200000</v>
      </c>
    </row>
    <row r="6" spans="1:14">
      <c r="A6" s="4">
        <v>3</v>
      </c>
      <c r="B6" s="4" t="s">
        <v>6</v>
      </c>
      <c r="C6" s="4">
        <v>186445</v>
      </c>
      <c r="D6" s="4"/>
      <c r="E6" s="4">
        <v>3</v>
      </c>
      <c r="F6" s="4" t="s">
        <v>38</v>
      </c>
      <c r="G6" s="4">
        <v>450000</v>
      </c>
    </row>
    <row r="7" spans="1:14">
      <c r="A7" s="4">
        <v>4</v>
      </c>
      <c r="B7" s="4" t="s">
        <v>92</v>
      </c>
      <c r="C7" s="4">
        <v>59050</v>
      </c>
      <c r="D7" s="4"/>
      <c r="E7" s="4">
        <v>4</v>
      </c>
      <c r="F7" s="4" t="s">
        <v>39</v>
      </c>
      <c r="G7" s="4">
        <v>315</v>
      </c>
      <c r="K7" s="1">
        <f>30*20</f>
        <v>600</v>
      </c>
    </row>
    <row r="8" spans="1:14">
      <c r="A8" s="4">
        <v>5</v>
      </c>
      <c r="B8" s="4" t="s">
        <v>19</v>
      </c>
      <c r="C8" s="4">
        <v>99940</v>
      </c>
      <c r="D8" s="4"/>
      <c r="E8" s="4">
        <v>5</v>
      </c>
      <c r="F8" s="4" t="s">
        <v>9</v>
      </c>
      <c r="G8" s="4">
        <v>250</v>
      </c>
    </row>
    <row r="9" spans="1:14">
      <c r="A9" s="4">
        <v>6</v>
      </c>
      <c r="B9" s="4" t="s">
        <v>7</v>
      </c>
      <c r="C9" s="4">
        <v>50000</v>
      </c>
      <c r="D9" s="4"/>
      <c r="E9" s="4">
        <v>6</v>
      </c>
      <c r="F9" s="4" t="s">
        <v>44</v>
      </c>
      <c r="G9" s="4">
        <v>270</v>
      </c>
    </row>
    <row r="10" spans="1:14">
      <c r="A10" s="4">
        <v>7</v>
      </c>
      <c r="B10" s="4" t="s">
        <v>64</v>
      </c>
      <c r="C10" s="4">
        <v>150000</v>
      </c>
      <c r="D10" s="4"/>
      <c r="E10" s="4">
        <v>7</v>
      </c>
      <c r="F10" s="4" t="s">
        <v>52</v>
      </c>
      <c r="G10" s="4">
        <v>200000</v>
      </c>
    </row>
    <row r="11" spans="1:14">
      <c r="A11" s="4">
        <v>8</v>
      </c>
      <c r="B11" s="4" t="s">
        <v>51</v>
      </c>
      <c r="C11" s="4"/>
      <c r="D11" s="4"/>
      <c r="E11" s="4">
        <v>8</v>
      </c>
      <c r="F11" s="4" t="s">
        <v>93</v>
      </c>
      <c r="G11" s="4">
        <v>1500</v>
      </c>
    </row>
    <row r="12" spans="1:14">
      <c r="A12" s="4">
        <v>9</v>
      </c>
      <c r="B12" s="4"/>
      <c r="C12" s="4"/>
      <c r="D12" s="4"/>
      <c r="E12" s="4">
        <v>9</v>
      </c>
      <c r="F12" s="4" t="s">
        <v>83</v>
      </c>
      <c r="G12" s="4"/>
    </row>
    <row r="13" spans="1:14">
      <c r="A13" s="4">
        <v>10</v>
      </c>
      <c r="B13" s="4"/>
      <c r="C13" s="4"/>
      <c r="D13" s="4"/>
      <c r="E13" s="4">
        <v>10</v>
      </c>
      <c r="F13" s="4" t="s">
        <v>94</v>
      </c>
      <c r="G13" s="4">
        <v>44000</v>
      </c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93727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1461685</v>
      </c>
      <c r="D19" s="5"/>
      <c r="E19" s="5"/>
      <c r="F19" s="5"/>
      <c r="G19" s="5">
        <f>SUM(G4:G18)</f>
        <v>1440062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21623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Q36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604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204700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41423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6" t="s">
        <v>20</v>
      </c>
      <c r="G10" s="4">
        <v>180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605</v>
      </c>
      <c r="G11" s="4">
        <v>58000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590</v>
      </c>
      <c r="C12" s="4"/>
      <c r="D12" s="4"/>
      <c r="E12" s="4">
        <v>9</v>
      </c>
      <c r="F12" s="4" t="s">
        <v>603</v>
      </c>
      <c r="G12" s="4"/>
      <c r="K12" s="1">
        <f>27-33</f>
        <v>-6</v>
      </c>
    </row>
    <row r="13" spans="1:16">
      <c r="A13" s="4">
        <v>10</v>
      </c>
      <c r="B13" s="4" t="s">
        <v>601</v>
      </c>
      <c r="C13" s="4"/>
      <c r="D13" s="4"/>
      <c r="E13" s="4">
        <v>10</v>
      </c>
      <c r="F13" s="4" t="s">
        <v>269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606</v>
      </c>
      <c r="G14" s="4">
        <v>80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602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36423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246123</v>
      </c>
      <c r="D19" s="5"/>
      <c r="E19" s="5"/>
      <c r="F19" s="5"/>
      <c r="G19" s="5">
        <f>SUM(G4:G18)</f>
        <v>244933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1190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Q36"/>
  <sheetViews>
    <sheetView zoomScale="145" zoomScaleNormal="145" workbookViewId="0">
      <selection activeCell="I20" sqref="I2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607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299740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69686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24</v>
      </c>
      <c r="C10" s="4">
        <v>28000</v>
      </c>
      <c r="D10" s="4"/>
      <c r="E10" s="4">
        <v>7</v>
      </c>
      <c r="F10" s="6" t="s">
        <v>20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23000</v>
      </c>
      <c r="D11" s="4"/>
      <c r="E11" s="4">
        <v>8</v>
      </c>
      <c r="F11" s="6" t="s">
        <v>605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590</v>
      </c>
      <c r="C12" s="4"/>
      <c r="D12" s="4"/>
      <c r="E12" s="4">
        <v>9</v>
      </c>
      <c r="F12" s="4" t="s">
        <v>603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>
        <v>42000</v>
      </c>
      <c r="D13" s="4"/>
      <c r="E13" s="4">
        <v>10</v>
      </c>
      <c r="F13" s="4" t="s">
        <v>269</v>
      </c>
      <c r="G13" s="4">
        <v>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606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602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51314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512426</v>
      </c>
      <c r="D19" s="5"/>
      <c r="E19" s="5"/>
      <c r="F19" s="5"/>
      <c r="G19" s="5">
        <f>SUM(G4:G18)</f>
        <v>503084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9342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Q36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608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378100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130670</v>
      </c>
      <c r="D6" s="4"/>
      <c r="E6" s="4">
        <v>3</v>
      </c>
      <c r="F6" s="4" t="s">
        <v>38</v>
      </c>
      <c r="G6" s="4">
        <v>330000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>
        <v>74235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156</v>
      </c>
      <c r="C10" s="4">
        <v>69000</v>
      </c>
      <c r="D10" s="4"/>
      <c r="E10" s="4">
        <v>7</v>
      </c>
      <c r="F10" s="6" t="s">
        <v>20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610</v>
      </c>
      <c r="G11" s="4">
        <v>76000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590</v>
      </c>
      <c r="C12" s="4"/>
      <c r="D12" s="4"/>
      <c r="E12" s="4">
        <v>9</v>
      </c>
      <c r="F12" s="4" t="s">
        <v>603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609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434</v>
      </c>
      <c r="G14" s="4">
        <v>11000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374</v>
      </c>
      <c r="G15" s="4">
        <v>10000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83070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 t="s">
        <v>78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652005</v>
      </c>
      <c r="D19" s="5"/>
      <c r="E19" s="5"/>
      <c r="F19" s="5"/>
      <c r="G19" s="5">
        <f>SUM(G4:G18)</f>
        <v>512670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139335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Q36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611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968150</v>
      </c>
      <c r="D4" s="4"/>
      <c r="E4" s="4">
        <v>1</v>
      </c>
      <c r="F4" s="4" t="s">
        <v>5</v>
      </c>
      <c r="G4" s="4">
        <v>700000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83070</v>
      </c>
      <c r="D6" s="4"/>
      <c r="E6" s="4">
        <v>3</v>
      </c>
      <c r="F6" s="4" t="s">
        <v>38</v>
      </c>
      <c r="G6" s="4">
        <v>240000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275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>
        <v>30000</v>
      </c>
      <c r="D10" s="4"/>
      <c r="E10" s="4">
        <v>7</v>
      </c>
      <c r="F10" s="6" t="s">
        <v>20</v>
      </c>
      <c r="G10" s="4">
        <v>325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610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287</v>
      </c>
      <c r="C12" s="4">
        <v>14670</v>
      </c>
      <c r="D12" s="4"/>
      <c r="E12" s="4">
        <v>9</v>
      </c>
      <c r="F12" s="4" t="s">
        <v>603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609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434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374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60602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 t="s">
        <v>78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1095890</v>
      </c>
      <c r="D19" s="5"/>
      <c r="E19" s="5"/>
      <c r="F19" s="5"/>
      <c r="G19" s="5">
        <f>SUM(G4:G18)</f>
        <v>1001502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94388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612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509850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164257</v>
      </c>
      <c r="D6" s="4"/>
      <c r="E6" s="4">
        <v>3</v>
      </c>
      <c r="F6" s="4" t="s">
        <v>38</v>
      </c>
      <c r="G6" s="4">
        <v>160000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>
        <v>113440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20</v>
      </c>
      <c r="G10" s="4">
        <v>160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610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287</v>
      </c>
      <c r="C12" s="4"/>
      <c r="D12" s="4"/>
      <c r="E12" s="4">
        <v>9</v>
      </c>
      <c r="F12" s="4" t="s">
        <v>603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609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434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423</v>
      </c>
      <c r="G15" s="4">
        <v>1200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119431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787547</v>
      </c>
      <c r="D19" s="5"/>
      <c r="E19" s="5"/>
      <c r="F19" s="5"/>
      <c r="G19" s="5">
        <f>SUM(G4:G18)</f>
        <v>781261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6286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Q36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613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646300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203590</v>
      </c>
      <c r="D6" s="4"/>
      <c r="E6" s="4">
        <v>3</v>
      </c>
      <c r="F6" s="4" t="s">
        <v>38</v>
      </c>
      <c r="G6" s="4">
        <v>400000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55280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>
        <v>100000</v>
      </c>
      <c r="D9" s="4"/>
      <c r="E9" s="4">
        <v>6</v>
      </c>
      <c r="F9" s="4" t="s">
        <v>52</v>
      </c>
      <c r="G9" s="4">
        <v>144305</v>
      </c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20</v>
      </c>
      <c r="G10" s="4">
        <v>450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610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287</v>
      </c>
      <c r="C12" s="4"/>
      <c r="D12" s="4"/>
      <c r="E12" s="4">
        <v>9</v>
      </c>
      <c r="F12" s="4" t="s">
        <v>603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609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615</v>
      </c>
      <c r="G14" s="4">
        <v>450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614</v>
      </c>
      <c r="G15" s="4">
        <v>2000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122424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1005170</v>
      </c>
      <c r="D19" s="5"/>
      <c r="E19" s="5"/>
      <c r="F19" s="5"/>
      <c r="G19" s="5">
        <f>SUM(G4:G18)</f>
        <v>970144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35026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Q36"/>
  <sheetViews>
    <sheetView zoomScale="145" zoomScaleNormal="145" workbookViewId="0">
      <selection activeCell="F8" sqref="F8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616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456000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200000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241142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20</v>
      </c>
      <c r="G10" s="4">
        <v>440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610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287</v>
      </c>
      <c r="C12" s="4"/>
      <c r="D12" s="4"/>
      <c r="E12" s="4">
        <v>9</v>
      </c>
      <c r="F12" s="4" t="s">
        <v>603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609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241</v>
      </c>
      <c r="C14" s="4"/>
      <c r="D14" s="4"/>
      <c r="E14" s="4">
        <v>11</v>
      </c>
      <c r="F14" s="4" t="s">
        <v>615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319</v>
      </c>
      <c r="C15" s="4"/>
      <c r="D15" s="4"/>
      <c r="E15" s="4">
        <v>12</v>
      </c>
      <c r="F15" s="4" t="s">
        <v>617</v>
      </c>
      <c r="G15" s="4">
        <v>15000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384</v>
      </c>
      <c r="C16" s="4"/>
      <c r="D16" s="4"/>
      <c r="E16" s="4">
        <v>13</v>
      </c>
      <c r="F16" s="4" t="s">
        <v>135</v>
      </c>
      <c r="G16" s="4">
        <v>143938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432</v>
      </c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697142</v>
      </c>
      <c r="D19" s="5"/>
      <c r="E19" s="5"/>
      <c r="F19" s="5"/>
      <c r="G19" s="5">
        <f>SUM(G4:G18)</f>
        <v>609878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87264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Q36"/>
  <sheetViews>
    <sheetView zoomScale="145" zoomScaleNormal="145" workbookViewId="0">
      <selection activeCell="H10" sqref="H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618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475200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159176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270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8</v>
      </c>
      <c r="C10" s="4"/>
      <c r="D10" s="4"/>
      <c r="E10" s="4">
        <v>7</v>
      </c>
      <c r="F10" s="6" t="s">
        <v>20</v>
      </c>
      <c r="G10" s="4">
        <v>360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16500</v>
      </c>
      <c r="D11" s="4"/>
      <c r="E11" s="4">
        <v>8</v>
      </c>
      <c r="F11" s="6" t="s">
        <v>610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>
        <v>30000</v>
      </c>
      <c r="D12" s="4"/>
      <c r="E12" s="4">
        <v>9</v>
      </c>
      <c r="F12" s="4" t="s">
        <v>603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>
        <v>8000</v>
      </c>
      <c r="D13" s="4"/>
      <c r="E13" s="4">
        <v>10</v>
      </c>
      <c r="F13" s="4" t="s">
        <v>609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265</v>
      </c>
      <c r="C14" s="4"/>
      <c r="D14" s="4"/>
      <c r="E14" s="4">
        <v>11</v>
      </c>
      <c r="F14" s="4" t="s">
        <v>620</v>
      </c>
      <c r="G14" s="4">
        <v>7840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>
        <v>16000</v>
      </c>
      <c r="D15" s="4"/>
      <c r="E15" s="4">
        <v>12</v>
      </c>
      <c r="F15" s="4" t="s">
        <v>617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25000</v>
      </c>
      <c r="D16" s="4"/>
      <c r="E16" s="4">
        <v>13</v>
      </c>
      <c r="F16" s="4" t="s">
        <v>135</v>
      </c>
      <c r="G16" s="4">
        <v>126238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50</v>
      </c>
      <c r="C17" s="4">
        <v>6000</v>
      </c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735876</v>
      </c>
      <c r="D19" s="5"/>
      <c r="E19" s="5"/>
      <c r="F19" s="5"/>
      <c r="G19" s="5">
        <f>SUM(G4:G18)</f>
        <v>734923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953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621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176500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162022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370</v>
      </c>
      <c r="C10" s="4">
        <v>29962</v>
      </c>
      <c r="D10" s="4"/>
      <c r="E10" s="4">
        <v>7</v>
      </c>
      <c r="F10" s="6" t="s">
        <v>20</v>
      </c>
      <c r="G10" s="4">
        <v>285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623</v>
      </c>
      <c r="C11" s="4">
        <v>36775</v>
      </c>
      <c r="D11" s="4"/>
      <c r="E11" s="4">
        <v>8</v>
      </c>
      <c r="F11" s="6" t="s">
        <v>610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>
        <v>27000</v>
      </c>
      <c r="D12" s="4"/>
      <c r="E12" s="4">
        <v>9</v>
      </c>
      <c r="F12" s="4" t="s">
        <v>603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609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265</v>
      </c>
      <c r="C14" s="4"/>
      <c r="D14" s="4"/>
      <c r="E14" s="4">
        <v>11</v>
      </c>
      <c r="F14" s="4" t="s">
        <v>27</v>
      </c>
      <c r="G14" s="4">
        <v>2000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622</v>
      </c>
      <c r="G15" s="4">
        <v>15000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25100</v>
      </c>
      <c r="D16" s="4"/>
      <c r="E16" s="4">
        <v>13</v>
      </c>
      <c r="F16" s="4" t="s">
        <v>135</v>
      </c>
      <c r="G16" s="4">
        <v>132238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50</v>
      </c>
      <c r="C17" s="4">
        <v>11500</v>
      </c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468859</v>
      </c>
      <c r="D19" s="5"/>
      <c r="E19" s="5"/>
      <c r="F19" s="5"/>
      <c r="G19" s="5">
        <f>SUM(G4:G18)</f>
        <v>399823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69036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624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969100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142102</v>
      </c>
      <c r="D6" s="4"/>
      <c r="E6" s="4">
        <v>3</v>
      </c>
      <c r="F6" s="4" t="s">
        <v>38</v>
      </c>
      <c r="G6" s="4">
        <v>700000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370</v>
      </c>
      <c r="C10" s="4"/>
      <c r="D10" s="4"/>
      <c r="E10" s="4">
        <v>7</v>
      </c>
      <c r="F10" s="6" t="s">
        <v>20</v>
      </c>
      <c r="G10" s="4">
        <v>285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623</v>
      </c>
      <c r="C11" s="4"/>
      <c r="D11" s="4"/>
      <c r="E11" s="4">
        <v>8</v>
      </c>
      <c r="F11" s="6" t="s">
        <v>625</v>
      </c>
      <c r="G11" s="4">
        <v>100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626</v>
      </c>
      <c r="G12" s="4">
        <v>2000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483</v>
      </c>
      <c r="G13" s="4">
        <v>700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265</v>
      </c>
      <c r="C14" s="4"/>
      <c r="D14" s="4"/>
      <c r="E14" s="4">
        <v>11</v>
      </c>
      <c r="F14" s="4" t="s">
        <v>27</v>
      </c>
      <c r="G14" s="4">
        <v>8000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71</v>
      </c>
      <c r="G15" s="4">
        <v>9000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73028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50</v>
      </c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1161202</v>
      </c>
      <c r="D19" s="5"/>
      <c r="E19" s="5"/>
      <c r="F19" s="5"/>
      <c r="G19" s="5">
        <f>SUM(G4:G18)</f>
        <v>1093678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67524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N23"/>
  <sheetViews>
    <sheetView zoomScale="145" zoomScaleNormal="145" workbookViewId="0">
      <selection activeCell="G8" sqref="G8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95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227600</v>
      </c>
      <c r="D4" s="4"/>
      <c r="E4" s="4">
        <v>1</v>
      </c>
      <c r="F4" s="4" t="s">
        <v>5</v>
      </c>
      <c r="G4" s="4"/>
    </row>
    <row r="5" spans="1:14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4">
      <c r="A6" s="4">
        <v>3</v>
      </c>
      <c r="B6" s="4" t="s">
        <v>6</v>
      </c>
      <c r="C6" s="4">
        <v>93727</v>
      </c>
      <c r="D6" s="4"/>
      <c r="E6" s="4">
        <v>3</v>
      </c>
      <c r="F6" s="4" t="s">
        <v>38</v>
      </c>
      <c r="G6" s="4">
        <v>250000</v>
      </c>
    </row>
    <row r="7" spans="1:14">
      <c r="A7" s="4">
        <v>4</v>
      </c>
      <c r="B7" s="4" t="s">
        <v>96</v>
      </c>
      <c r="C7" s="4">
        <v>13000</v>
      </c>
      <c r="D7" s="4"/>
      <c r="E7" s="4">
        <v>4</v>
      </c>
      <c r="F7" s="4" t="s">
        <v>39</v>
      </c>
      <c r="G7" s="4">
        <v>130</v>
      </c>
      <c r="K7" s="1">
        <f>30*20</f>
        <v>600</v>
      </c>
    </row>
    <row r="8" spans="1:14">
      <c r="A8" s="4">
        <v>5</v>
      </c>
      <c r="B8" s="4" t="s">
        <v>13</v>
      </c>
      <c r="C8" s="4">
        <v>13000</v>
      </c>
      <c r="D8" s="4"/>
      <c r="E8" s="4">
        <v>5</v>
      </c>
      <c r="F8" s="4" t="s">
        <v>9</v>
      </c>
      <c r="G8" s="4">
        <v>250</v>
      </c>
    </row>
    <row r="9" spans="1:14">
      <c r="A9" s="4">
        <v>6</v>
      </c>
      <c r="B9" s="4" t="s">
        <v>7</v>
      </c>
      <c r="C9" s="4"/>
      <c r="D9" s="4"/>
      <c r="E9" s="4">
        <v>6</v>
      </c>
      <c r="F9" s="4" t="s">
        <v>44</v>
      </c>
      <c r="G9" s="4">
        <v>285</v>
      </c>
    </row>
    <row r="10" spans="1:14">
      <c r="A10" s="4">
        <v>7</v>
      </c>
      <c r="B10" s="4" t="s">
        <v>64</v>
      </c>
      <c r="C10" s="4"/>
      <c r="D10" s="4"/>
      <c r="E10" s="4">
        <v>7</v>
      </c>
      <c r="F10" s="4" t="s">
        <v>52</v>
      </c>
      <c r="G10" s="4"/>
    </row>
    <row r="11" spans="1:14">
      <c r="A11" s="4">
        <v>8</v>
      </c>
      <c r="B11" s="4" t="s">
        <v>51</v>
      </c>
      <c r="C11" s="4"/>
      <c r="D11" s="4"/>
      <c r="E11" s="4">
        <v>8</v>
      </c>
      <c r="F11" s="4" t="s">
        <v>93</v>
      </c>
      <c r="G11" s="4"/>
    </row>
    <row r="12" spans="1:14">
      <c r="A12" s="4">
        <v>9</v>
      </c>
      <c r="B12" s="4"/>
      <c r="C12" s="4"/>
      <c r="D12" s="4"/>
      <c r="E12" s="4">
        <v>9</v>
      </c>
      <c r="F12" s="4" t="s">
        <v>83</v>
      </c>
      <c r="G12" s="4"/>
    </row>
    <row r="13" spans="1:14">
      <c r="A13" s="4">
        <v>10</v>
      </c>
      <c r="B13" s="4"/>
      <c r="C13" s="4"/>
      <c r="D13" s="4"/>
      <c r="E13" s="4">
        <v>10</v>
      </c>
      <c r="F13" s="4" t="s">
        <v>94</v>
      </c>
      <c r="G13" s="4"/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55182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347327</v>
      </c>
      <c r="D19" s="5"/>
      <c r="E19" s="5"/>
      <c r="F19" s="5"/>
      <c r="G19" s="5">
        <f>SUM(G4:G18)</f>
        <v>305847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41480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627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424500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73028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>
        <v>36930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370</v>
      </c>
      <c r="C10" s="4"/>
      <c r="D10" s="4"/>
      <c r="E10" s="4">
        <v>7</v>
      </c>
      <c r="F10" s="6" t="s">
        <v>20</v>
      </c>
      <c r="G10" s="4">
        <v>390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35500</v>
      </c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>
        <v>50000</v>
      </c>
      <c r="D12" s="4"/>
      <c r="E12" s="4">
        <v>9</v>
      </c>
      <c r="F12" s="4" t="s">
        <v>626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>
        <v>21000</v>
      </c>
      <c r="D13" s="4"/>
      <c r="E13" s="4">
        <v>10</v>
      </c>
      <c r="F13" s="4" t="s">
        <v>483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>
        <v>10000</v>
      </c>
      <c r="D14" s="4"/>
      <c r="E14" s="4">
        <v>11</v>
      </c>
      <c r="F14" s="4" t="s">
        <v>628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>
        <v>14000</v>
      </c>
      <c r="D15" s="4"/>
      <c r="E15" s="4">
        <v>12</v>
      </c>
      <c r="F15" s="4" t="s">
        <v>499</v>
      </c>
      <c r="G15" s="4">
        <v>3000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13500</v>
      </c>
      <c r="D16" s="4"/>
      <c r="E16" s="4">
        <v>13</v>
      </c>
      <c r="F16" s="4" t="s">
        <v>135</v>
      </c>
      <c r="G16" s="4">
        <v>68028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678458</v>
      </c>
      <c r="D19" s="5"/>
      <c r="E19" s="5"/>
      <c r="F19" s="5"/>
      <c r="G19" s="5">
        <f>SUM(G4:G18)</f>
        <v>571783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106675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629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68028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100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370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626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630</v>
      </c>
      <c r="G13" s="4">
        <v>7002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55</v>
      </c>
      <c r="G14" s="4">
        <v>9288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27</v>
      </c>
      <c r="G15" s="4">
        <v>10500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37363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128028</v>
      </c>
      <c r="D19" s="5"/>
      <c r="E19" s="5"/>
      <c r="F19" s="5"/>
      <c r="G19" s="5">
        <f>SUM(G4:G18)</f>
        <v>64253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63775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Q36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631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440700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106131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>
        <v>87672</v>
      </c>
      <c r="K9" s="1">
        <v>80</v>
      </c>
    </row>
    <row r="10" spans="1:16">
      <c r="A10" s="4">
        <v>7</v>
      </c>
      <c r="B10" s="4" t="s">
        <v>370</v>
      </c>
      <c r="C10" s="4"/>
      <c r="D10" s="4"/>
      <c r="E10" s="4">
        <v>7</v>
      </c>
      <c r="F10" s="6" t="s">
        <v>20</v>
      </c>
      <c r="G10" s="4">
        <v>285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24000</v>
      </c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626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>
        <v>14000</v>
      </c>
      <c r="D13" s="4"/>
      <c r="E13" s="4">
        <v>10</v>
      </c>
      <c r="F13" s="4" t="s">
        <v>630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55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632</v>
      </c>
      <c r="G15" s="4">
        <v>63800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71836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181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571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584831</v>
      </c>
      <c r="D19" s="5"/>
      <c r="E19" s="5"/>
      <c r="F19" s="5"/>
      <c r="G19" s="5">
        <f>SUM(G4:G18)</f>
        <v>574108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10723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Q36"/>
  <sheetViews>
    <sheetView zoomScale="145" zoomScaleNormal="145" workbookViewId="0">
      <selection activeCell="H14" sqref="H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633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46000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71836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124</v>
      </c>
      <c r="C7" s="4">
        <v>50000</v>
      </c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>
        <v>116692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370</v>
      </c>
      <c r="C10" s="4"/>
      <c r="D10" s="4"/>
      <c r="E10" s="4">
        <v>7</v>
      </c>
      <c r="F10" s="6" t="s">
        <v>20</v>
      </c>
      <c r="G10" s="4">
        <v>385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636</v>
      </c>
      <c r="G12" s="4">
        <v>50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630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634</v>
      </c>
      <c r="G14" s="4">
        <v>7470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204</v>
      </c>
      <c r="G15" s="4">
        <v>100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33728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>
        <v>1500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>
        <v>500</v>
      </c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284528</v>
      </c>
      <c r="D19" s="5"/>
      <c r="E19" s="5"/>
      <c r="F19" s="5"/>
      <c r="G19" s="5">
        <f>SUM(G4:G18)</f>
        <v>144083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140445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637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849700</v>
      </c>
      <c r="D4" s="4"/>
      <c r="E4" s="4">
        <v>1</v>
      </c>
      <c r="F4" s="4" t="s">
        <v>5</v>
      </c>
      <c r="G4" s="4">
        <v>1102000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40158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8</v>
      </c>
      <c r="C7" s="4">
        <v>65000</v>
      </c>
      <c r="D7" s="4"/>
      <c r="E7" s="4">
        <v>4</v>
      </c>
      <c r="F7" s="4" t="s">
        <v>39</v>
      </c>
      <c r="G7" s="4">
        <v>290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638</v>
      </c>
      <c r="C10" s="4">
        <v>17200</v>
      </c>
      <c r="D10" s="4"/>
      <c r="E10" s="4">
        <v>7</v>
      </c>
      <c r="F10" s="6" t="s">
        <v>20</v>
      </c>
      <c r="G10" s="4">
        <v>180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>
        <v>55000</v>
      </c>
      <c r="D12" s="4"/>
      <c r="E12" s="4">
        <v>9</v>
      </c>
      <c r="F12" s="4" t="s">
        <v>636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>
        <v>14000</v>
      </c>
      <c r="D13" s="4"/>
      <c r="E13" s="4">
        <v>10</v>
      </c>
      <c r="F13" s="4" t="s">
        <v>630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>
        <v>10000</v>
      </c>
      <c r="D14" s="4"/>
      <c r="E14" s="4">
        <v>11</v>
      </c>
      <c r="F14" s="4" t="s">
        <v>634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204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29000</v>
      </c>
      <c r="D16" s="4"/>
      <c r="E16" s="4">
        <v>13</v>
      </c>
      <c r="F16" s="4" t="s">
        <v>135</v>
      </c>
      <c r="G16" s="4">
        <v>26248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1130058</v>
      </c>
      <c r="D19" s="5"/>
      <c r="E19" s="5"/>
      <c r="F19" s="5"/>
      <c r="G19" s="5">
        <f>SUM(G4:G18)</f>
        <v>1129068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990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639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404000</v>
      </c>
      <c r="D4" s="4"/>
      <c r="E4" s="4">
        <v>1</v>
      </c>
      <c r="F4" s="4" t="s">
        <v>5</v>
      </c>
      <c r="G4" s="4">
        <v>100000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119059</v>
      </c>
      <c r="D6" s="4"/>
      <c r="E6" s="4">
        <v>3</v>
      </c>
      <c r="F6" s="4" t="s">
        <v>38</v>
      </c>
      <c r="G6" s="4">
        <v>330000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160</v>
      </c>
    </row>
    <row r="8" spans="1:16">
      <c r="A8" s="4">
        <v>5</v>
      </c>
      <c r="B8" s="4" t="s">
        <v>7</v>
      </c>
      <c r="C8" s="4">
        <v>54240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638</v>
      </c>
      <c r="C10" s="4"/>
      <c r="D10" s="4"/>
      <c r="E10" s="4">
        <v>7</v>
      </c>
      <c r="F10" s="6" t="s">
        <v>20</v>
      </c>
      <c r="G10" s="4">
        <v>280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636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181</v>
      </c>
      <c r="G13" s="4">
        <v>15000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634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269</v>
      </c>
      <c r="G15" s="4">
        <v>3000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66342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577299</v>
      </c>
      <c r="D19" s="5"/>
      <c r="E19" s="5"/>
      <c r="F19" s="5"/>
      <c r="G19" s="5">
        <f>SUM(G4:G18)</f>
        <v>515032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62267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640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377150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200000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157291</v>
      </c>
      <c r="D6" s="4"/>
      <c r="E6" s="4">
        <v>3</v>
      </c>
      <c r="F6" s="4" t="s">
        <v>38</v>
      </c>
      <c r="G6" s="4">
        <v>225000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289</v>
      </c>
      <c r="C10" s="4">
        <v>11000</v>
      </c>
      <c r="D10" s="4"/>
      <c r="E10" s="4">
        <v>7</v>
      </c>
      <c r="F10" s="6" t="s">
        <v>20</v>
      </c>
      <c r="G10" s="4">
        <v>310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636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181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641</v>
      </c>
      <c r="G14" s="4">
        <v>1040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309</v>
      </c>
      <c r="G15" s="4">
        <v>40000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77753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 t="s">
        <v>138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545441</v>
      </c>
      <c r="D19" s="5"/>
      <c r="E19" s="5"/>
      <c r="F19" s="5"/>
      <c r="G19" s="5">
        <f>SUM(G4:G18)</f>
        <v>544553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888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Q36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642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369220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103588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>
        <v>54730</v>
      </c>
      <c r="K9" s="1">
        <v>80</v>
      </c>
    </row>
    <row r="10" spans="1:16">
      <c r="A10" s="4">
        <v>7</v>
      </c>
      <c r="B10" s="4" t="s">
        <v>289</v>
      </c>
      <c r="C10" s="4"/>
      <c r="D10" s="4"/>
      <c r="E10" s="4">
        <v>7</v>
      </c>
      <c r="F10" s="6" t="s">
        <v>20</v>
      </c>
      <c r="G10" s="4">
        <v>280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636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>
        <v>1000</v>
      </c>
      <c r="D13" s="4"/>
      <c r="E13" s="4">
        <v>10</v>
      </c>
      <c r="F13" s="4" t="s">
        <v>181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263</v>
      </c>
      <c r="G14" s="4">
        <v>750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309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8000</v>
      </c>
      <c r="D16" s="4"/>
      <c r="E16" s="4">
        <v>13</v>
      </c>
      <c r="F16" s="4" t="s">
        <v>135</v>
      </c>
      <c r="G16" s="4">
        <v>74920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481808</v>
      </c>
      <c r="D19" s="5"/>
      <c r="E19" s="5"/>
      <c r="F19" s="5"/>
      <c r="G19" s="5">
        <f>SUM(G4:G18)</f>
        <v>481150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658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Q36"/>
  <sheetViews>
    <sheetView zoomScale="145" zoomScaleNormal="145" workbookViewId="0">
      <selection activeCell="F9" sqref="F9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643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644</v>
      </c>
      <c r="C5" s="4">
        <v>123000</v>
      </c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/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289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636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181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309</v>
      </c>
      <c r="G15" s="4">
        <v>50000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123000</v>
      </c>
      <c r="D19" s="5"/>
      <c r="E19" s="5"/>
      <c r="F19" s="5"/>
      <c r="G19" s="5">
        <f>SUM(G4:G18)</f>
        <v>50000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73000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Q36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645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843200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644</v>
      </c>
      <c r="C5" s="4"/>
      <c r="D5" s="4"/>
      <c r="E5" s="4">
        <v>2</v>
      </c>
      <c r="F5" s="4" t="s">
        <v>43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198625</v>
      </c>
      <c r="D6" s="4"/>
      <c r="E6" s="4">
        <v>3</v>
      </c>
      <c r="F6" s="4" t="s">
        <v>38</v>
      </c>
      <c r="G6" s="4">
        <v>500000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320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400</v>
      </c>
      <c r="K8" s="1">
        <f>310+200</f>
        <v>510</v>
      </c>
    </row>
    <row r="9" spans="1:16">
      <c r="A9" s="4">
        <v>6</v>
      </c>
      <c r="B9" s="4" t="s">
        <v>19</v>
      </c>
      <c r="C9" s="4">
        <v>100000</v>
      </c>
      <c r="D9" s="4"/>
      <c r="E9" s="4">
        <v>6</v>
      </c>
      <c r="F9" s="4" t="s">
        <v>52</v>
      </c>
      <c r="G9" s="4">
        <v>270000</v>
      </c>
      <c r="K9" s="1">
        <v>80</v>
      </c>
    </row>
    <row r="10" spans="1:16">
      <c r="A10" s="4">
        <v>7</v>
      </c>
      <c r="B10" s="4" t="s">
        <v>289</v>
      </c>
      <c r="C10" s="4"/>
      <c r="D10" s="4"/>
      <c r="E10" s="4">
        <v>7</v>
      </c>
      <c r="F10" s="6" t="s">
        <v>20</v>
      </c>
      <c r="G10" s="4">
        <v>435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>
        <v>23300</v>
      </c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636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117</v>
      </c>
      <c r="G13" s="4">
        <v>450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309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62192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1215125</v>
      </c>
      <c r="D19" s="5"/>
      <c r="E19" s="5"/>
      <c r="F19" s="5"/>
      <c r="G19" s="5">
        <f>SUM(G4:G18)</f>
        <v>1183797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31328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N23"/>
  <sheetViews>
    <sheetView zoomScale="145" zoomScaleNormal="145" workbookViewId="0">
      <selection activeCell="G21" sqref="G21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97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510720</v>
      </c>
      <c r="D4" s="4"/>
      <c r="E4" s="4">
        <v>1</v>
      </c>
      <c r="F4" s="4" t="s">
        <v>5</v>
      </c>
      <c r="G4" s="4">
        <v>500000</v>
      </c>
    </row>
    <row r="5" spans="1:14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100000</v>
      </c>
    </row>
    <row r="6" spans="1:14">
      <c r="A6" s="4">
        <v>3</v>
      </c>
      <c r="B6" s="4" t="s">
        <v>6</v>
      </c>
      <c r="C6" s="4">
        <v>38067</v>
      </c>
      <c r="D6" s="4"/>
      <c r="E6" s="4">
        <v>3</v>
      </c>
      <c r="F6" s="4" t="s">
        <v>38</v>
      </c>
      <c r="G6" s="4">
        <v>120000</v>
      </c>
    </row>
    <row r="7" spans="1:14">
      <c r="A7" s="4">
        <v>4</v>
      </c>
      <c r="B7" s="4" t="s">
        <v>24</v>
      </c>
      <c r="C7" s="4">
        <v>21000</v>
      </c>
      <c r="D7" s="4"/>
      <c r="E7" s="4">
        <v>4</v>
      </c>
      <c r="F7" s="4" t="s">
        <v>39</v>
      </c>
      <c r="G7" s="4">
        <v>220</v>
      </c>
      <c r="K7" s="1">
        <f>30*20</f>
        <v>600</v>
      </c>
    </row>
    <row r="8" spans="1:14">
      <c r="A8" s="4">
        <v>5</v>
      </c>
      <c r="B8" s="4" t="s">
        <v>50</v>
      </c>
      <c r="C8" s="4"/>
      <c r="D8" s="4"/>
      <c r="E8" s="4">
        <v>5</v>
      </c>
      <c r="F8" s="4" t="s">
        <v>9</v>
      </c>
      <c r="G8" s="4">
        <v>270</v>
      </c>
    </row>
    <row r="9" spans="1:14">
      <c r="A9" s="4">
        <v>6</v>
      </c>
      <c r="B9" s="4" t="s">
        <v>7</v>
      </c>
      <c r="C9" s="4">
        <v>50000</v>
      </c>
      <c r="D9" s="4"/>
      <c r="E9" s="4">
        <v>6</v>
      </c>
      <c r="F9" s="4" t="s">
        <v>44</v>
      </c>
      <c r="G9" s="4">
        <v>60</v>
      </c>
    </row>
    <row r="10" spans="1:14">
      <c r="A10" s="4">
        <v>7</v>
      </c>
      <c r="B10" s="4" t="s">
        <v>80</v>
      </c>
      <c r="C10" s="4">
        <v>33459</v>
      </c>
      <c r="D10" s="4"/>
      <c r="E10" s="4">
        <v>7</v>
      </c>
      <c r="F10" s="4" t="s">
        <v>52</v>
      </c>
      <c r="G10" s="4">
        <v>80550</v>
      </c>
    </row>
    <row r="11" spans="1:14">
      <c r="A11" s="4">
        <v>8</v>
      </c>
      <c r="B11" s="4" t="s">
        <v>58</v>
      </c>
      <c r="C11" s="4">
        <v>100000</v>
      </c>
      <c r="D11" s="4"/>
      <c r="E11" s="4">
        <v>8</v>
      </c>
      <c r="F11" s="4" t="s">
        <v>93</v>
      </c>
      <c r="G11" s="4"/>
    </row>
    <row r="12" spans="1:14">
      <c r="A12" s="4">
        <v>9</v>
      </c>
      <c r="B12" s="4" t="s">
        <v>98</v>
      </c>
      <c r="C12" s="4">
        <v>80000</v>
      </c>
      <c r="D12" s="4"/>
      <c r="E12" s="4">
        <v>9</v>
      </c>
      <c r="F12" s="4" t="s">
        <v>99</v>
      </c>
      <c r="G12" s="4"/>
    </row>
    <row r="13" spans="1:14">
      <c r="A13" s="4">
        <v>10</v>
      </c>
      <c r="B13" s="4"/>
      <c r="C13" s="4"/>
      <c r="D13" s="4"/>
      <c r="E13" s="4">
        <v>10</v>
      </c>
      <c r="F13" s="4" t="s">
        <v>94</v>
      </c>
      <c r="G13" s="4"/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31727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833246</v>
      </c>
      <c r="D19" s="5"/>
      <c r="E19" s="5"/>
      <c r="F19" s="5"/>
      <c r="G19" s="5">
        <f>SUM(G4:G18)</f>
        <v>832827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419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646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646500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644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186236</v>
      </c>
      <c r="D6" s="4"/>
      <c r="E6" s="4">
        <v>3</v>
      </c>
      <c r="F6" s="4" t="s">
        <v>38</v>
      </c>
      <c r="G6" s="4">
        <v>450000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>
        <v>55780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289</v>
      </c>
      <c r="C10" s="4"/>
      <c r="D10" s="4"/>
      <c r="E10" s="4">
        <v>7</v>
      </c>
      <c r="F10" s="6" t="s">
        <v>20</v>
      </c>
      <c r="G10" s="4">
        <v>330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>
        <v>64000</v>
      </c>
      <c r="D12" s="4"/>
      <c r="E12" s="4">
        <v>9</v>
      </c>
      <c r="F12" s="4" t="s">
        <v>647</v>
      </c>
      <c r="G12" s="4">
        <v>75300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117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309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80325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952516</v>
      </c>
      <c r="D19" s="5"/>
      <c r="E19" s="5"/>
      <c r="F19" s="5"/>
      <c r="G19" s="5">
        <f>SUM(G4:G18)</f>
        <v>906425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46091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Q36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649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460000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644</v>
      </c>
      <c r="C5" s="4"/>
      <c r="D5" s="4"/>
      <c r="E5" s="4">
        <v>2</v>
      </c>
      <c r="F5" s="4" t="s">
        <v>43</v>
      </c>
      <c r="G5" s="4">
        <v>200000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164961</v>
      </c>
      <c r="D6" s="4"/>
      <c r="E6" s="4">
        <v>3</v>
      </c>
      <c r="F6" s="4" t="s">
        <v>38</v>
      </c>
      <c r="G6" s="4">
        <v>300000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289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625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648</v>
      </c>
      <c r="G12" s="4">
        <v>1150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117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309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116787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624961</v>
      </c>
      <c r="D19" s="5"/>
      <c r="E19" s="5"/>
      <c r="F19" s="5"/>
      <c r="G19" s="5">
        <f>SUM(G4:G18)</f>
        <v>618387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6574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650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294700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644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161762</v>
      </c>
      <c r="D6" s="4"/>
      <c r="E6" s="4">
        <v>3</v>
      </c>
      <c r="F6" s="4" t="s">
        <v>38</v>
      </c>
      <c r="G6" s="4">
        <v>120000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156</v>
      </c>
      <c r="C10" s="4">
        <v>69000</v>
      </c>
      <c r="D10" s="4"/>
      <c r="E10" s="4">
        <v>7</v>
      </c>
      <c r="F10" s="6" t="s">
        <v>20</v>
      </c>
      <c r="G10" s="4">
        <v>385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651</v>
      </c>
      <c r="G11" s="4">
        <v>150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648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117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309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115237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525462</v>
      </c>
      <c r="D19" s="5"/>
      <c r="E19" s="5"/>
      <c r="F19" s="5"/>
      <c r="G19" s="5">
        <f>SUM(G4:G18)</f>
        <v>486242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39220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652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177300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644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120935</v>
      </c>
      <c r="D6" s="4"/>
      <c r="E6" s="4">
        <v>3</v>
      </c>
      <c r="F6" s="4" t="s">
        <v>38</v>
      </c>
      <c r="G6" s="4">
        <v>170000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156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651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648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117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241</v>
      </c>
      <c r="G15" s="4">
        <v>1000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100699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298235</v>
      </c>
      <c r="D19" s="5"/>
      <c r="E19" s="5"/>
      <c r="F19" s="5"/>
      <c r="G19" s="5">
        <f>SUM(G4:G18)</f>
        <v>271999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26236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Q36"/>
  <sheetViews>
    <sheetView zoomScale="145" zoomScaleNormal="145" workbookViewId="0">
      <selection activeCell="F9" sqref="F9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653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665000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4" t="s">
        <v>654</v>
      </c>
      <c r="C5" s="4">
        <v>60400</v>
      </c>
      <c r="D5" s="4"/>
      <c r="E5" s="4">
        <v>2</v>
      </c>
      <c r="F5" s="4" t="s">
        <v>43</v>
      </c>
      <c r="G5" s="4">
        <v>300000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192022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8</v>
      </c>
      <c r="C7" s="4">
        <v>62000</v>
      </c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>
        <v>169607</v>
      </c>
      <c r="D9" s="4"/>
      <c r="E9" s="4">
        <v>6</v>
      </c>
      <c r="F9" s="4" t="s">
        <v>52</v>
      </c>
      <c r="G9" s="4" t="s">
        <v>78</v>
      </c>
      <c r="K9" s="1">
        <v>80</v>
      </c>
    </row>
    <row r="10" spans="1:16">
      <c r="A10" s="4">
        <v>7</v>
      </c>
      <c r="B10" s="4" t="s">
        <v>124</v>
      </c>
      <c r="C10" s="4">
        <v>70000</v>
      </c>
      <c r="D10" s="4"/>
      <c r="E10" s="4">
        <v>7</v>
      </c>
      <c r="F10" s="6" t="s">
        <v>20</v>
      </c>
      <c r="G10" s="4">
        <v>495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651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648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117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241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87676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1269029</v>
      </c>
      <c r="D19" s="5"/>
      <c r="E19" s="5"/>
      <c r="F19" s="5"/>
      <c r="G19" s="5">
        <f>SUM(G4:G18)</f>
        <v>1088736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180293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Q36"/>
  <sheetViews>
    <sheetView zoomScale="145" zoomScaleNormal="145" workbookViewId="0">
      <selection activeCell="G18" sqref="G18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655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465000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171988</v>
      </c>
      <c r="D6" s="4"/>
      <c r="E6" s="4">
        <v>3</v>
      </c>
      <c r="F6" s="4" t="s">
        <v>38</v>
      </c>
      <c r="G6" s="4">
        <v>350000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656</v>
      </c>
      <c r="G9" s="4">
        <v>100000</v>
      </c>
      <c r="K9" s="1">
        <v>80</v>
      </c>
    </row>
    <row r="10" spans="1:16">
      <c r="A10" s="4">
        <v>7</v>
      </c>
      <c r="B10" s="4" t="s">
        <v>124</v>
      </c>
      <c r="C10" s="4"/>
      <c r="D10" s="4"/>
      <c r="E10" s="4">
        <v>7</v>
      </c>
      <c r="F10" s="6" t="s">
        <v>20</v>
      </c>
      <c r="G10" s="4">
        <v>340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651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648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117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241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106007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133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636988</v>
      </c>
      <c r="D19" s="5"/>
      <c r="E19" s="5"/>
      <c r="F19" s="5"/>
      <c r="G19" s="5">
        <f>SUM(G4:G18)</f>
        <v>556697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80291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657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300000</v>
      </c>
      <c r="D4" s="4"/>
      <c r="E4" s="4">
        <v>1</v>
      </c>
      <c r="F4" s="4" t="s">
        <v>5</v>
      </c>
      <c r="G4" s="4">
        <v>100000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106007</v>
      </c>
      <c r="D6" s="4"/>
      <c r="E6" s="4">
        <v>3</v>
      </c>
      <c r="F6" s="4" t="s">
        <v>38</v>
      </c>
      <c r="G6" s="4">
        <v>220000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160</v>
      </c>
    </row>
    <row r="8" spans="1:16">
      <c r="A8" s="4">
        <v>5</v>
      </c>
      <c r="B8" s="4" t="s">
        <v>7</v>
      </c>
      <c r="C8" s="4">
        <v>37080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>
        <v>8550</v>
      </c>
      <c r="K9" s="1">
        <v>80</v>
      </c>
    </row>
    <row r="10" spans="1:16">
      <c r="A10" s="4">
        <v>7</v>
      </c>
      <c r="B10" s="4" t="s">
        <v>578</v>
      </c>
      <c r="C10" s="4">
        <v>25000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660</v>
      </c>
      <c r="G11" s="4">
        <v>20000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137</v>
      </c>
      <c r="G12" s="4">
        <v>3960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658</v>
      </c>
      <c r="G13" s="4">
        <v>9414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659</v>
      </c>
      <c r="G14" s="4">
        <v>4464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241</v>
      </c>
      <c r="G15" s="4">
        <v>1000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54731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661</v>
      </c>
      <c r="G17" s="4">
        <v>10000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468087</v>
      </c>
      <c r="D19" s="5"/>
      <c r="E19" s="5"/>
      <c r="F19" s="5"/>
      <c r="G19" s="5">
        <f>SUM(G4:G18)</f>
        <v>432529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35558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Q36"/>
  <sheetViews>
    <sheetView zoomScale="145" zoomScaleNormal="145" workbookViewId="0">
      <selection activeCell="G21" sqref="G2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662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592000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159611</v>
      </c>
      <c r="D6" s="4"/>
      <c r="E6" s="4">
        <v>3</v>
      </c>
      <c r="F6" s="4" t="s">
        <v>38</v>
      </c>
      <c r="G6" s="4">
        <v>270000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578</v>
      </c>
      <c r="C10" s="4"/>
      <c r="D10" s="4"/>
      <c r="E10" s="4">
        <v>7</v>
      </c>
      <c r="F10" s="6" t="s">
        <v>20</v>
      </c>
      <c r="G10" s="4">
        <v>270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>
        <v>32900</v>
      </c>
      <c r="D11" s="4"/>
      <c r="E11" s="4">
        <v>8</v>
      </c>
      <c r="F11" s="6" t="s">
        <v>663</v>
      </c>
      <c r="G11" s="4">
        <v>20000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137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658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665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664</v>
      </c>
      <c r="G15" s="4">
        <v>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63129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661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784511</v>
      </c>
      <c r="D19" s="5"/>
      <c r="E19" s="5"/>
      <c r="F19" s="5"/>
      <c r="G19" s="5">
        <f>SUM(G4:G18)</f>
        <v>663919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120592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Q36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666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253800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169651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130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578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667</v>
      </c>
      <c r="G11" s="4">
        <v>50000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137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658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133</v>
      </c>
      <c r="G14" s="4">
        <v>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664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137450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661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423451</v>
      </c>
      <c r="D19" s="5"/>
      <c r="E19" s="5"/>
      <c r="F19" s="5"/>
      <c r="G19" s="5">
        <f>SUM(G4:G18)</f>
        <v>392830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30621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Q36"/>
  <sheetViews>
    <sheetView zoomScale="145" zoomScaleNormal="145" workbookViewId="0">
      <selection activeCell="H27" sqref="H2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668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609250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>
        <v>350000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137450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>
        <v>150000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578</v>
      </c>
      <c r="C10" s="4"/>
      <c r="D10" s="4"/>
      <c r="E10" s="4">
        <v>7</v>
      </c>
      <c r="F10" s="6" t="s">
        <v>20</v>
      </c>
      <c r="G10" s="4">
        <v>460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>
        <v>400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671</v>
      </c>
      <c r="G12" s="4">
        <v>7500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670</v>
      </c>
      <c r="G13" s="4">
        <v>6629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60</v>
      </c>
      <c r="G14" s="4">
        <v>5500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669</v>
      </c>
      <c r="G15" s="4">
        <v>3000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112341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>
        <v>6000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946700</v>
      </c>
      <c r="D19" s="5"/>
      <c r="E19" s="5"/>
      <c r="F19" s="5"/>
      <c r="G19" s="5">
        <f>SUM(G4:G18)</f>
        <v>892395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54305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N23"/>
  <sheetViews>
    <sheetView zoomScale="145" zoomScaleNormal="145" workbookViewId="0">
      <selection activeCell="G11" sqref="G11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100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565900</v>
      </c>
      <c r="D4" s="4"/>
      <c r="E4" s="4">
        <v>1</v>
      </c>
      <c r="F4" s="4" t="s">
        <v>5</v>
      </c>
      <c r="G4" s="4">
        <v>500000</v>
      </c>
    </row>
    <row r="5" spans="1:14">
      <c r="A5" s="4">
        <v>2</v>
      </c>
      <c r="B5" s="4" t="s">
        <v>4</v>
      </c>
      <c r="C5" s="4">
        <v>95000</v>
      </c>
      <c r="D5" s="4"/>
      <c r="E5" s="4">
        <v>2</v>
      </c>
      <c r="F5" s="4" t="s">
        <v>43</v>
      </c>
      <c r="G5" s="4"/>
    </row>
    <row r="6" spans="1:14">
      <c r="A6" s="4">
        <v>3</v>
      </c>
      <c r="B6" s="4" t="s">
        <v>6</v>
      </c>
      <c r="C6" s="4">
        <v>52434</v>
      </c>
      <c r="D6" s="4"/>
      <c r="E6" s="4">
        <v>3</v>
      </c>
      <c r="F6" s="4" t="s">
        <v>38</v>
      </c>
      <c r="G6" s="4">
        <v>370000</v>
      </c>
    </row>
    <row r="7" spans="1:14">
      <c r="A7" s="4">
        <v>4</v>
      </c>
      <c r="B7" s="4" t="s">
        <v>24</v>
      </c>
      <c r="C7" s="4">
        <v>16000</v>
      </c>
      <c r="D7" s="4"/>
      <c r="E7" s="4">
        <v>4</v>
      </c>
      <c r="F7" s="4" t="s">
        <v>39</v>
      </c>
      <c r="G7" s="4">
        <v>220</v>
      </c>
      <c r="K7" s="1">
        <f>30*20</f>
        <v>600</v>
      </c>
    </row>
    <row r="8" spans="1:14">
      <c r="A8" s="4">
        <v>5</v>
      </c>
      <c r="B8" s="4" t="s">
        <v>23</v>
      </c>
      <c r="C8" s="4">
        <v>6000</v>
      </c>
      <c r="D8" s="4"/>
      <c r="E8" s="4">
        <v>5</v>
      </c>
      <c r="F8" s="4" t="s">
        <v>9</v>
      </c>
      <c r="G8" s="4">
        <v>300</v>
      </c>
    </row>
    <row r="9" spans="1:14">
      <c r="A9" s="4">
        <v>6</v>
      </c>
      <c r="B9" s="4" t="s">
        <v>101</v>
      </c>
      <c r="C9" s="4">
        <v>10000</v>
      </c>
      <c r="D9" s="4"/>
      <c r="E9" s="4">
        <v>6</v>
      </c>
      <c r="F9" s="4" t="s">
        <v>44</v>
      </c>
      <c r="G9" s="4">
        <v>340</v>
      </c>
    </row>
    <row r="10" spans="1:14">
      <c r="A10" s="4">
        <v>7</v>
      </c>
      <c r="B10" s="4" t="s">
        <v>80</v>
      </c>
      <c r="C10" s="4">
        <v>150000</v>
      </c>
      <c r="D10" s="4"/>
      <c r="E10" s="4">
        <v>7</v>
      </c>
      <c r="F10" s="4" t="s">
        <v>52</v>
      </c>
      <c r="G10" s="4">
        <v>111730</v>
      </c>
    </row>
    <row r="11" spans="1:14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93</v>
      </c>
      <c r="G11" s="4"/>
    </row>
    <row r="12" spans="1:14">
      <c r="A12" s="4">
        <v>9</v>
      </c>
      <c r="B12" s="4" t="s">
        <v>102</v>
      </c>
      <c r="C12" s="4">
        <v>10000</v>
      </c>
      <c r="D12" s="4"/>
      <c r="E12" s="4">
        <v>9</v>
      </c>
      <c r="F12" s="4" t="s">
        <v>99</v>
      </c>
      <c r="G12" s="4"/>
    </row>
    <row r="13" spans="1:14">
      <c r="A13" s="4">
        <v>10</v>
      </c>
      <c r="B13" s="4" t="s">
        <v>64</v>
      </c>
      <c r="C13" s="4">
        <v>28390</v>
      </c>
      <c r="D13" s="4"/>
      <c r="E13" s="4">
        <v>10</v>
      </c>
      <c r="F13" s="4" t="s">
        <v>94</v>
      </c>
      <c r="G13" s="4"/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272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983724</v>
      </c>
      <c r="D19" s="5"/>
      <c r="E19" s="5"/>
      <c r="F19" s="5"/>
      <c r="G19" s="5">
        <f>SUM(G4:G18)</f>
        <v>982862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862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674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389300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180671</v>
      </c>
      <c r="D6" s="4"/>
      <c r="E6" s="4">
        <v>3</v>
      </c>
      <c r="F6" s="4" t="s">
        <v>38</v>
      </c>
      <c r="G6" s="4">
        <v>230000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273</v>
      </c>
    </row>
    <row r="8" spans="1:16">
      <c r="A8" s="4">
        <v>5</v>
      </c>
      <c r="B8" s="4" t="s">
        <v>7</v>
      </c>
      <c r="C8" s="4">
        <v>19645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675</v>
      </c>
      <c r="C9" s="4">
        <v>37000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676</v>
      </c>
      <c r="C10" s="4">
        <v>80000</v>
      </c>
      <c r="D10" s="4"/>
      <c r="E10" s="4">
        <v>7</v>
      </c>
      <c r="F10" s="6" t="s">
        <v>20</v>
      </c>
      <c r="G10" s="4">
        <v>450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677</v>
      </c>
      <c r="G12" s="4">
        <v>90000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678</v>
      </c>
      <c r="G13" s="4">
        <v>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134</v>
      </c>
      <c r="G15" s="4">
        <v>9000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136936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706616</v>
      </c>
      <c r="D19" s="5"/>
      <c r="E19" s="5"/>
      <c r="F19" s="5"/>
      <c r="G19" s="5">
        <f>SUM(G4:G18)</f>
        <v>667959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38657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Q36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679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170400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147836</v>
      </c>
      <c r="D6" s="4"/>
      <c r="E6" s="4">
        <v>3</v>
      </c>
      <c r="F6" s="4" t="s">
        <v>38</v>
      </c>
      <c r="G6" s="4">
        <v>160000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675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676</v>
      </c>
      <c r="C10" s="4"/>
      <c r="D10" s="4"/>
      <c r="E10" s="4">
        <v>7</v>
      </c>
      <c r="F10" s="6" t="s">
        <v>20</v>
      </c>
      <c r="G10" s="4">
        <v>300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680</v>
      </c>
      <c r="G12" s="4">
        <v>160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678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82</v>
      </c>
      <c r="G15" s="4">
        <v>450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123988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318236</v>
      </c>
      <c r="D19" s="5"/>
      <c r="E19" s="5"/>
      <c r="F19" s="5"/>
      <c r="G19" s="5">
        <f>SUM(G4:G18)</f>
        <v>285248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32988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Q36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681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562100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123988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8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675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676</v>
      </c>
      <c r="C10" s="4"/>
      <c r="D10" s="4"/>
      <c r="E10" s="4">
        <v>7</v>
      </c>
      <c r="F10" s="6" t="s">
        <v>20</v>
      </c>
      <c r="G10" s="4">
        <v>340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/>
      <c r="D12" s="4"/>
      <c r="E12" s="4">
        <v>9</v>
      </c>
      <c r="F12" s="4" t="s">
        <v>70</v>
      </c>
      <c r="G12" s="4">
        <v>1000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678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82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102778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686088</v>
      </c>
      <c r="D19" s="5"/>
      <c r="E19" s="5"/>
      <c r="F19" s="5"/>
      <c r="G19" s="5">
        <f>SUM(G4:G18)</f>
        <v>654588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31500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Q36"/>
  <sheetViews>
    <sheetView zoomScale="145" zoomScaleNormal="145" workbookViewId="0">
      <selection activeCell="F23" sqref="F2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682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588170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>
        <v>200000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102778</v>
      </c>
      <c r="D6" s="4"/>
      <c r="E6" s="4">
        <v>3</v>
      </c>
      <c r="F6" s="4" t="s">
        <v>38</v>
      </c>
      <c r="G6" s="4">
        <v>140000</v>
      </c>
      <c r="N6" s="1">
        <f>190+120</f>
        <v>310</v>
      </c>
    </row>
    <row r="7" spans="1:16">
      <c r="A7" s="4">
        <v>4</v>
      </c>
      <c r="B7" s="4" t="s">
        <v>156</v>
      </c>
      <c r="C7" s="4">
        <v>67000</v>
      </c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675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676</v>
      </c>
      <c r="C10" s="4"/>
      <c r="D10" s="4"/>
      <c r="E10" s="4">
        <v>7</v>
      </c>
      <c r="F10" s="6" t="s">
        <v>20</v>
      </c>
      <c r="G10" s="4">
        <v>300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683</v>
      </c>
      <c r="C12" s="4">
        <v>200000</v>
      </c>
      <c r="D12" s="4"/>
      <c r="E12" s="4">
        <v>9</v>
      </c>
      <c r="F12" s="4" t="s">
        <v>70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678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82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77082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1007948</v>
      </c>
      <c r="D19" s="5"/>
      <c r="E19" s="5"/>
      <c r="F19" s="5"/>
      <c r="G19" s="5">
        <f>SUM(G4:G18)</f>
        <v>417882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590066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684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363200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109418</v>
      </c>
      <c r="D6" s="4"/>
      <c r="E6" s="4">
        <v>3</v>
      </c>
      <c r="F6" s="4" t="s">
        <v>38</v>
      </c>
      <c r="G6" s="4">
        <v>400100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675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676</v>
      </c>
      <c r="C10" s="4"/>
      <c r="D10" s="4"/>
      <c r="E10" s="4">
        <v>7</v>
      </c>
      <c r="F10" s="6" t="s">
        <v>20</v>
      </c>
      <c r="G10" s="4">
        <v>340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683</v>
      </c>
      <c r="C12" s="4"/>
      <c r="D12" s="4"/>
      <c r="E12" s="4">
        <v>9</v>
      </c>
      <c r="F12" s="4" t="s">
        <v>70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>
        <v>9000</v>
      </c>
      <c r="D13" s="4"/>
      <c r="E13" s="4">
        <v>10</v>
      </c>
      <c r="F13" s="4" t="s">
        <v>678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82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74006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481618</v>
      </c>
      <c r="D19" s="5"/>
      <c r="E19" s="5"/>
      <c r="F19" s="5"/>
      <c r="G19" s="5">
        <f>SUM(G4:G18)</f>
        <v>474696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6922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Q36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685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74006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50</v>
      </c>
      <c r="K8" s="1">
        <f>310+200</f>
        <v>510</v>
      </c>
    </row>
    <row r="9" spans="1:16">
      <c r="A9" s="4">
        <v>6</v>
      </c>
      <c r="B9" s="4" t="s">
        <v>675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676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683</v>
      </c>
      <c r="C12" s="4"/>
      <c r="D12" s="4"/>
      <c r="E12" s="4">
        <v>9</v>
      </c>
      <c r="F12" s="4" t="s">
        <v>70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678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423</v>
      </c>
      <c r="G14" s="4">
        <v>2000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82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61064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74006</v>
      </c>
      <c r="D19" s="5"/>
      <c r="E19" s="5"/>
      <c r="F19" s="5"/>
      <c r="G19" s="5">
        <f>SUM(G4:G18)</f>
        <v>63114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10892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Q36"/>
  <sheetViews>
    <sheetView zoomScale="145" zoomScaleNormal="145" workbookViewId="0">
      <selection activeCell="G20" sqref="G2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686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903150</v>
      </c>
      <c r="D4" s="4"/>
      <c r="E4" s="4">
        <v>1</v>
      </c>
      <c r="F4" s="4" t="s">
        <v>5</v>
      </c>
      <c r="G4" s="4">
        <v>1200000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224937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775</v>
      </c>
    </row>
    <row r="8" spans="1:16">
      <c r="A8" s="4">
        <v>5</v>
      </c>
      <c r="B8" s="4" t="s">
        <v>7</v>
      </c>
      <c r="C8" s="4">
        <v>46395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8</v>
      </c>
      <c r="C9" s="4">
        <v>100000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>
        <v>118715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683</v>
      </c>
      <c r="C12" s="4"/>
      <c r="D12" s="4"/>
      <c r="E12" s="4">
        <v>9</v>
      </c>
      <c r="F12" s="4" t="s">
        <v>70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435</v>
      </c>
      <c r="G13" s="4">
        <v>140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423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82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113077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1393197</v>
      </c>
      <c r="D19" s="5"/>
      <c r="E19" s="5"/>
      <c r="F19" s="5"/>
      <c r="G19" s="5">
        <f>SUM(G4:G18)</f>
        <v>1314292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78905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Q36"/>
  <sheetViews>
    <sheetView zoomScale="145" zoomScaleNormal="145" workbookViewId="0">
      <selection activeCell="G18" sqref="G18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687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264400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>
        <v>110000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113077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260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683</v>
      </c>
      <c r="C12" s="4"/>
      <c r="D12" s="4"/>
      <c r="E12" s="4">
        <v>9</v>
      </c>
      <c r="F12" s="4" t="s">
        <v>70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435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76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263</v>
      </c>
      <c r="G15" s="4">
        <v>750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79267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377477</v>
      </c>
      <c r="D19" s="5"/>
      <c r="E19" s="5"/>
      <c r="F19" s="5"/>
      <c r="G19" s="5">
        <f>SUM(G4:G18)</f>
        <v>350727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26750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K25" s="1">
        <v>14685</v>
      </c>
    </row>
    <row r="26" spans="1:17"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Q36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688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401700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79267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260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505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683</v>
      </c>
      <c r="C12" s="4"/>
      <c r="D12" s="4"/>
      <c r="E12" s="4">
        <v>9</v>
      </c>
      <c r="F12" s="4" t="s">
        <v>70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435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76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58771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480967</v>
      </c>
      <c r="D19" s="5"/>
      <c r="E19" s="5"/>
      <c r="F19" s="5"/>
      <c r="G19" s="5">
        <f>SUM(G4:G18)</f>
        <v>459756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21211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Q36"/>
  <sheetViews>
    <sheetView zoomScale="145" zoomScaleNormal="145" workbookViewId="0">
      <selection activeCell="G1" sqref="G1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689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200750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141046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240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683</v>
      </c>
      <c r="C12" s="4"/>
      <c r="D12" s="4"/>
      <c r="E12" s="4">
        <v>9</v>
      </c>
      <c r="F12" s="4" t="s">
        <v>660</v>
      </c>
      <c r="G12" s="4">
        <v>15000</v>
      </c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435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140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107906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341796</v>
      </c>
      <c r="D19" s="5"/>
      <c r="E19" s="5"/>
      <c r="F19" s="5"/>
      <c r="G19" s="5">
        <f>SUM(G4:G18)</f>
        <v>333246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8550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N23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103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362150</v>
      </c>
      <c r="D4" s="4"/>
      <c r="E4" s="4">
        <v>1</v>
      </c>
      <c r="F4" s="4" t="s">
        <v>5</v>
      </c>
      <c r="G4" s="4"/>
    </row>
    <row r="5" spans="1:14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200000</v>
      </c>
    </row>
    <row r="6" spans="1:14">
      <c r="A6" s="4">
        <v>3</v>
      </c>
      <c r="B6" s="4" t="s">
        <v>6</v>
      </c>
      <c r="C6" s="4">
        <v>178039</v>
      </c>
      <c r="D6" s="4"/>
      <c r="E6" s="4">
        <v>3</v>
      </c>
      <c r="F6" s="4" t="s">
        <v>38</v>
      </c>
      <c r="G6" s="4">
        <v>220000</v>
      </c>
    </row>
    <row r="7" spans="1:14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>
        <v>200</v>
      </c>
      <c r="K7" s="1">
        <f>30*20</f>
        <v>600</v>
      </c>
    </row>
    <row r="8" spans="1:14">
      <c r="A8" s="4">
        <v>5</v>
      </c>
      <c r="B8" s="4" t="s">
        <v>23</v>
      </c>
      <c r="C8" s="4"/>
      <c r="D8" s="4"/>
      <c r="E8" s="4">
        <v>5</v>
      </c>
      <c r="F8" s="4" t="s">
        <v>9</v>
      </c>
      <c r="G8" s="4">
        <v>250</v>
      </c>
    </row>
    <row r="9" spans="1:14">
      <c r="A9" s="4">
        <v>6</v>
      </c>
      <c r="B9" s="4" t="s">
        <v>101</v>
      </c>
      <c r="C9" s="4"/>
      <c r="D9" s="4"/>
      <c r="E9" s="4">
        <v>6</v>
      </c>
      <c r="F9" s="4" t="s">
        <v>44</v>
      </c>
      <c r="G9" s="4">
        <v>225</v>
      </c>
    </row>
    <row r="10" spans="1:14">
      <c r="A10" s="4">
        <v>7</v>
      </c>
      <c r="B10" s="4" t="s">
        <v>80</v>
      </c>
      <c r="C10" s="4"/>
      <c r="D10" s="4"/>
      <c r="E10" s="4">
        <v>7</v>
      </c>
      <c r="F10" s="4" t="s">
        <v>52</v>
      </c>
      <c r="G10" s="4"/>
    </row>
    <row r="11" spans="1:14">
      <c r="A11" s="4">
        <v>8</v>
      </c>
      <c r="B11" s="4" t="s">
        <v>7</v>
      </c>
      <c r="C11" s="4"/>
      <c r="D11" s="4"/>
      <c r="E11" s="4">
        <v>8</v>
      </c>
      <c r="F11" s="4" t="s">
        <v>93</v>
      </c>
      <c r="G11" s="4"/>
    </row>
    <row r="12" spans="1:14">
      <c r="A12" s="4">
        <v>9</v>
      </c>
      <c r="B12" s="4" t="s">
        <v>8</v>
      </c>
      <c r="C12" s="4">
        <v>40870</v>
      </c>
      <c r="D12" s="4"/>
      <c r="E12" s="4">
        <v>9</v>
      </c>
      <c r="F12" s="4" t="s">
        <v>104</v>
      </c>
      <c r="G12" s="4">
        <v>6326</v>
      </c>
    </row>
    <row r="13" spans="1:14">
      <c r="A13" s="4">
        <v>10</v>
      </c>
      <c r="B13" s="4" t="s">
        <v>58</v>
      </c>
      <c r="C13" s="4">
        <v>13000</v>
      </c>
      <c r="D13" s="4"/>
      <c r="E13" s="4">
        <v>10</v>
      </c>
      <c r="F13" s="4" t="s">
        <v>105</v>
      </c>
      <c r="G13" s="4">
        <v>120</v>
      </c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128014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594059</v>
      </c>
      <c r="D19" s="5"/>
      <c r="E19" s="5"/>
      <c r="F19" s="5"/>
      <c r="G19" s="5">
        <f>SUM(G4:G18)</f>
        <v>555135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38924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Q36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690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250800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148688</v>
      </c>
      <c r="D6" s="4"/>
      <c r="E6" s="4">
        <v>3</v>
      </c>
      <c r="F6" s="4" t="s">
        <v>38</v>
      </c>
      <c r="G6" s="4">
        <v>140000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150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370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>
        <v>55000</v>
      </c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309</v>
      </c>
      <c r="G13" s="4">
        <v>45000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140</v>
      </c>
      <c r="G14" s="4">
        <v>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113648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504488</v>
      </c>
      <c r="D19" s="5"/>
      <c r="E19" s="5"/>
      <c r="F19" s="5"/>
      <c r="G19" s="5">
        <f>SUM(G4:G18)</f>
        <v>504213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275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Q36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691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499000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113648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>
        <v>30470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>
        <v>100000</v>
      </c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330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692</v>
      </c>
      <c r="C11" s="4">
        <v>43000</v>
      </c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>
        <v>83000</v>
      </c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693</v>
      </c>
      <c r="G13" s="4">
        <v>14000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694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f>98160-3960</f>
        <v>94200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769118</v>
      </c>
      <c r="D19" s="5"/>
      <c r="E19" s="5"/>
      <c r="F19" s="5"/>
      <c r="G19" s="5">
        <f>SUM(G4:G18)</f>
        <v>719050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50068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Q36"/>
  <sheetViews>
    <sheetView zoomScale="145" zoomScaleNormal="145" workbookViewId="0">
      <selection activeCell="B10" sqref="B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695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387140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>
        <v>200000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94200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725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692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/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547</v>
      </c>
      <c r="C13" s="4"/>
      <c r="D13" s="4"/>
      <c r="E13" s="4">
        <v>10</v>
      </c>
      <c r="F13" s="4" t="s">
        <v>696</v>
      </c>
      <c r="G13" s="4">
        <v>72200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588</v>
      </c>
      <c r="G14" s="4">
        <v>200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f>4315+10782+1390+23246+540+2700+4700+12960+10223</f>
        <v>70856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481340</v>
      </c>
      <c r="D19" s="5"/>
      <c r="E19" s="5"/>
      <c r="F19" s="5"/>
      <c r="G19" s="5">
        <f>SUM(G4:G18)</f>
        <v>444431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36909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698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330500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70856</v>
      </c>
      <c r="D6" s="4"/>
      <c r="E6" s="4">
        <v>3</v>
      </c>
      <c r="F6" s="4" t="s">
        <v>38</v>
      </c>
      <c r="G6" s="4">
        <v>120000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265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>
        <v>72240</v>
      </c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/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24</v>
      </c>
      <c r="C13" s="4">
        <v>44500</v>
      </c>
      <c r="D13" s="4"/>
      <c r="E13" s="4">
        <v>10</v>
      </c>
      <c r="F13" s="4" t="s">
        <v>140</v>
      </c>
      <c r="G13" s="4">
        <v>10000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241</v>
      </c>
      <c r="G14" s="4">
        <v>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699</v>
      </c>
      <c r="G15" s="4">
        <v>30000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16000</v>
      </c>
      <c r="D16" s="4"/>
      <c r="E16" s="4">
        <v>13</v>
      </c>
      <c r="F16" s="4" t="s">
        <v>135</v>
      </c>
      <c r="G16" s="4">
        <f>70856-5500</f>
        <v>65356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534096</v>
      </c>
      <c r="D19" s="5"/>
      <c r="E19" s="5"/>
      <c r="F19" s="5"/>
      <c r="G19" s="5">
        <f>SUM(G4:G18)</f>
        <v>526991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7105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700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125000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99224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410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/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4" t="s">
        <v>140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701</v>
      </c>
      <c r="G14" s="4">
        <v>250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619</v>
      </c>
      <c r="C15" s="4"/>
      <c r="D15" s="4"/>
      <c r="E15" s="4">
        <v>12</v>
      </c>
      <c r="F15" s="4" t="s">
        <v>699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75728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224224</v>
      </c>
      <c r="D19" s="5"/>
      <c r="E19" s="5"/>
      <c r="F19" s="5"/>
      <c r="G19" s="5">
        <f>SUM(G4:G18)</f>
        <v>176738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47486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Q36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702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372000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75728</v>
      </c>
      <c r="D6" s="4"/>
      <c r="E6" s="4">
        <v>3</v>
      </c>
      <c r="F6" s="4" t="s">
        <v>38</v>
      </c>
      <c r="G6" s="4">
        <v>110000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>
        <v>100000</v>
      </c>
      <c r="D10" s="4"/>
      <c r="E10" s="4">
        <v>7</v>
      </c>
      <c r="F10" s="6" t="s">
        <v>20</v>
      </c>
      <c r="G10" s="4">
        <v>275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/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4" t="s">
        <v>140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701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547</v>
      </c>
      <c r="C15" s="4">
        <v>9000</v>
      </c>
      <c r="D15" s="4"/>
      <c r="E15" s="4">
        <v>12</v>
      </c>
      <c r="F15" s="4" t="s">
        <v>699</v>
      </c>
      <c r="G15" s="4">
        <v>20000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70728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606728</v>
      </c>
      <c r="D19" s="5"/>
      <c r="E19" s="5"/>
      <c r="F19" s="5"/>
      <c r="G19" s="5">
        <f>SUM(G4:G18)</f>
        <v>601523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5205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703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652000</v>
      </c>
      <c r="D4" s="4"/>
      <c r="E4" s="4">
        <v>1</v>
      </c>
      <c r="F4" s="4" t="s">
        <v>5</v>
      </c>
      <c r="G4" s="4">
        <v>700000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70728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273</v>
      </c>
    </row>
    <row r="8" spans="1:16">
      <c r="A8" s="4">
        <v>5</v>
      </c>
      <c r="B8" s="4" t="s">
        <v>7</v>
      </c>
      <c r="C8" s="4">
        <v>63800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>
        <v>90000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>
        <v>162424</v>
      </c>
      <c r="D10" s="4"/>
      <c r="E10" s="4">
        <v>7</v>
      </c>
      <c r="F10" s="6" t="s">
        <v>20</v>
      </c>
      <c r="G10" s="4">
        <v>300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704</v>
      </c>
      <c r="C12" s="4">
        <v>500</v>
      </c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24</v>
      </c>
      <c r="C13" s="4"/>
      <c r="D13" s="4"/>
      <c r="E13" s="4">
        <v>10</v>
      </c>
      <c r="F13" s="4" t="s">
        <v>140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678</v>
      </c>
      <c r="G14" s="4">
        <v>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547</v>
      </c>
      <c r="C15" s="4"/>
      <c r="D15" s="4"/>
      <c r="E15" s="4">
        <v>12</v>
      </c>
      <c r="F15" s="4" t="s">
        <v>699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65728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1039452</v>
      </c>
      <c r="D19" s="5"/>
      <c r="E19" s="5"/>
      <c r="F19" s="5"/>
      <c r="G19" s="5">
        <f>SUM(G4:G18)</f>
        <v>967551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71901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Q36"/>
  <sheetViews>
    <sheetView zoomScale="145" zoomScaleNormal="145" workbookViewId="0">
      <selection activeCell="E27" sqref="E2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705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373500</v>
      </c>
      <c r="D4" s="4"/>
      <c r="E4" s="4">
        <v>1</v>
      </c>
      <c r="F4" s="4" t="s">
        <v>5</v>
      </c>
      <c r="G4" s="4">
        <v>192000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65728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65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672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708</v>
      </c>
      <c r="C12" s="4">
        <v>200</v>
      </c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707</v>
      </c>
      <c r="C13" s="4">
        <v>31250</v>
      </c>
      <c r="D13" s="4"/>
      <c r="E13" s="4">
        <v>10</v>
      </c>
      <c r="F13" s="4" t="s">
        <v>411</v>
      </c>
      <c r="G13" s="4">
        <v>11000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/>
      <c r="C14" s="4"/>
      <c r="D14" s="4"/>
      <c r="E14" s="4">
        <v>11</v>
      </c>
      <c r="F14" s="4" t="s">
        <v>706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547</v>
      </c>
      <c r="C15" s="4"/>
      <c r="D15" s="4"/>
      <c r="E15" s="4">
        <v>12</v>
      </c>
      <c r="F15" s="4" t="s">
        <v>699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54946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470678</v>
      </c>
      <c r="D19" s="5"/>
      <c r="E19" s="5"/>
      <c r="F19" s="5"/>
      <c r="G19" s="5">
        <f>SUM(G4:G18)</f>
        <v>468531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2147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Q36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709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210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60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255</v>
      </c>
      <c r="G11" s="4">
        <v>100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708</v>
      </c>
      <c r="C12" s="4"/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707</v>
      </c>
      <c r="C13" s="4"/>
      <c r="D13" s="4"/>
      <c r="E13" s="4">
        <v>10</v>
      </c>
      <c r="F13" s="4" t="s">
        <v>411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299</v>
      </c>
      <c r="C14" s="4">
        <v>20240</v>
      </c>
      <c r="D14" s="4"/>
      <c r="E14" s="4">
        <v>11</v>
      </c>
      <c r="F14" s="4" t="s">
        <v>706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>
        <v>67500</v>
      </c>
      <c r="D15" s="4"/>
      <c r="E15" s="4">
        <v>12</v>
      </c>
      <c r="F15" s="4" t="s">
        <v>699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27000</v>
      </c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114740</v>
      </c>
      <c r="D19" s="5"/>
      <c r="E19" s="5"/>
      <c r="F19" s="5"/>
      <c r="G19" s="5">
        <f>SUM(G4:G18)</f>
        <v>100370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14370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710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506350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172008</v>
      </c>
      <c r="D6" s="4"/>
      <c r="E6" s="4">
        <v>3</v>
      </c>
      <c r="F6" s="4" t="s">
        <v>38</v>
      </c>
      <c r="G6" s="4">
        <v>130000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>
        <v>259280</v>
      </c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430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708</v>
      </c>
      <c r="C12" s="4"/>
      <c r="D12" s="4"/>
      <c r="E12" s="4">
        <v>9</v>
      </c>
      <c r="F12" s="4" t="s">
        <v>660</v>
      </c>
      <c r="G12" s="4"/>
      <c r="K12" s="1">
        <f>27-33</f>
        <v>-6</v>
      </c>
    </row>
    <row r="13" spans="1:16">
      <c r="A13" s="4">
        <v>10</v>
      </c>
      <c r="B13" s="4" t="s">
        <v>707</v>
      </c>
      <c r="C13" s="4"/>
      <c r="D13" s="4"/>
      <c r="E13" s="4">
        <v>10</v>
      </c>
      <c r="F13" s="4" t="s">
        <v>82</v>
      </c>
      <c r="G13" s="4">
        <v>450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299</v>
      </c>
      <c r="C14" s="4"/>
      <c r="D14" s="4"/>
      <c r="E14" s="4">
        <v>11</v>
      </c>
      <c r="F14" s="4" t="s">
        <v>706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699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105969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678358</v>
      </c>
      <c r="D19" s="5"/>
      <c r="E19" s="5"/>
      <c r="F19" s="5"/>
      <c r="G19" s="5">
        <f>SUM(G4:G18)</f>
        <v>646549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31809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N23"/>
  <sheetViews>
    <sheetView zoomScale="145" zoomScaleNormal="145" workbookViewId="0">
      <selection activeCell="G20" sqref="G20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106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f>568210+78500</f>
        <v>646710</v>
      </c>
      <c r="D4" s="4"/>
      <c r="E4" s="4">
        <v>1</v>
      </c>
      <c r="F4" s="4" t="s">
        <v>5</v>
      </c>
      <c r="G4" s="4">
        <v>400000</v>
      </c>
    </row>
    <row r="5" spans="1:14">
      <c r="A5" s="4">
        <v>2</v>
      </c>
      <c r="B5" s="4" t="s">
        <v>4</v>
      </c>
      <c r="C5" s="4">
        <v>4000</v>
      </c>
      <c r="D5" s="4"/>
      <c r="E5" s="4">
        <v>2</v>
      </c>
      <c r="F5" s="4" t="s">
        <v>43</v>
      </c>
      <c r="G5" s="4"/>
    </row>
    <row r="6" spans="1:14">
      <c r="A6" s="4">
        <v>3</v>
      </c>
      <c r="B6" s="4" t="s">
        <v>6</v>
      </c>
      <c r="C6" s="4">
        <v>133461</v>
      </c>
      <c r="D6" s="4"/>
      <c r="E6" s="4">
        <v>3</v>
      </c>
      <c r="F6" s="4" t="s">
        <v>38</v>
      </c>
      <c r="G6" s="4">
        <v>300000</v>
      </c>
    </row>
    <row r="7" spans="1:14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4">
      <c r="A8" s="4">
        <v>5</v>
      </c>
      <c r="B8" s="4" t="s">
        <v>23</v>
      </c>
      <c r="C8" s="4"/>
      <c r="D8" s="4"/>
      <c r="E8" s="4">
        <v>5</v>
      </c>
      <c r="F8" s="4" t="s">
        <v>9</v>
      </c>
      <c r="G8" s="4">
        <v>250</v>
      </c>
    </row>
    <row r="9" spans="1:14">
      <c r="A9" s="4">
        <v>6</v>
      </c>
      <c r="B9" s="4" t="s">
        <v>101</v>
      </c>
      <c r="C9" s="4"/>
      <c r="D9" s="4"/>
      <c r="E9" s="4">
        <v>6</v>
      </c>
      <c r="F9" s="4" t="s">
        <v>44</v>
      </c>
      <c r="G9" s="4">
        <v>510</v>
      </c>
    </row>
    <row r="10" spans="1:14">
      <c r="A10" s="4">
        <v>7</v>
      </c>
      <c r="B10" s="4" t="s">
        <v>107</v>
      </c>
      <c r="C10" s="4">
        <v>50000</v>
      </c>
      <c r="D10" s="4"/>
      <c r="E10" s="4">
        <v>7</v>
      </c>
      <c r="F10" s="4" t="s">
        <v>52</v>
      </c>
      <c r="G10" s="4"/>
    </row>
    <row r="11" spans="1:14">
      <c r="A11" s="4">
        <v>8</v>
      </c>
      <c r="B11" s="4" t="s">
        <v>7</v>
      </c>
      <c r="C11" s="4"/>
      <c r="D11" s="4"/>
      <c r="E11" s="4">
        <v>8</v>
      </c>
      <c r="F11" s="4" t="s">
        <v>93</v>
      </c>
      <c r="G11" s="4"/>
    </row>
    <row r="12" spans="1:14">
      <c r="A12" s="4">
        <v>9</v>
      </c>
      <c r="B12" s="4" t="s">
        <v>8</v>
      </c>
      <c r="C12" s="4"/>
      <c r="D12" s="4"/>
      <c r="E12" s="4">
        <v>9</v>
      </c>
      <c r="F12" s="4" t="s">
        <v>104</v>
      </c>
      <c r="G12" s="4"/>
    </row>
    <row r="13" spans="1:14">
      <c r="A13" s="4">
        <v>10</v>
      </c>
      <c r="B13" s="4" t="s">
        <v>58</v>
      </c>
      <c r="C13" s="4"/>
      <c r="D13" s="4"/>
      <c r="E13" s="4">
        <v>10</v>
      </c>
      <c r="F13" s="4" t="s">
        <v>105</v>
      </c>
      <c r="G13" s="4"/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77114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834171</v>
      </c>
      <c r="D19" s="5"/>
      <c r="E19" s="5"/>
      <c r="F19" s="5"/>
      <c r="G19" s="5">
        <f>SUM(G4:G18)</f>
        <v>778089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56082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Q36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711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218365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716</v>
      </c>
      <c r="G7" s="4">
        <v>500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717</v>
      </c>
      <c r="G8" s="4">
        <v>550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4" t="s">
        <v>718</v>
      </c>
      <c r="G10" s="4">
        <v>4320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4" t="s">
        <v>715</v>
      </c>
      <c r="G11" s="4">
        <v>5454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708</v>
      </c>
      <c r="C12" s="4"/>
      <c r="D12" s="4"/>
      <c r="E12" s="4">
        <v>9</v>
      </c>
      <c r="F12" s="4" t="s">
        <v>714</v>
      </c>
      <c r="G12" s="4">
        <v>10872</v>
      </c>
      <c r="K12" s="1">
        <f>27-33</f>
        <v>-6</v>
      </c>
    </row>
    <row r="13" spans="1:16">
      <c r="A13" s="4">
        <v>10</v>
      </c>
      <c r="B13" s="4" t="s">
        <v>707</v>
      </c>
      <c r="C13" s="4"/>
      <c r="D13" s="4"/>
      <c r="E13" s="4">
        <v>10</v>
      </c>
      <c r="F13" s="4" t="s">
        <v>195</v>
      </c>
      <c r="G13" s="4">
        <v>10000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299</v>
      </c>
      <c r="C14" s="4"/>
      <c r="D14" s="4"/>
      <c r="E14" s="4">
        <v>11</v>
      </c>
      <c r="F14" s="4" t="s">
        <v>713</v>
      </c>
      <c r="G14" s="4">
        <v>22943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712</v>
      </c>
      <c r="G15" s="4">
        <v>1500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138028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71</v>
      </c>
      <c r="G17" s="4">
        <v>9000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218365</v>
      </c>
      <c r="D19" s="5"/>
      <c r="E19" s="5"/>
      <c r="F19" s="5"/>
      <c r="G19" s="5">
        <f>SUM(G4:G18)</f>
        <v>203167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15198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Q36"/>
  <sheetViews>
    <sheetView zoomScale="145" zoomScaleNormal="145" workbookViewId="0">
      <selection activeCell="F27" sqref="F2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719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506000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138028</v>
      </c>
      <c r="D6" s="4"/>
      <c r="E6" s="4">
        <v>3</v>
      </c>
      <c r="F6" s="4" t="s">
        <v>38</v>
      </c>
      <c r="G6" s="4">
        <v>210000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7</v>
      </c>
      <c r="C8" s="4">
        <v>40760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>
        <v>100000</v>
      </c>
      <c r="D10" s="4"/>
      <c r="E10" s="4">
        <v>7</v>
      </c>
      <c r="F10" s="6" t="s">
        <v>20</v>
      </c>
      <c r="G10" s="4">
        <v>560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708</v>
      </c>
      <c r="C12" s="4"/>
      <c r="D12" s="4"/>
      <c r="E12" s="4">
        <v>9</v>
      </c>
      <c r="F12" s="4" t="s">
        <v>721</v>
      </c>
      <c r="G12" s="4">
        <v>240</v>
      </c>
      <c r="K12" s="1">
        <f>27-33</f>
        <v>-6</v>
      </c>
    </row>
    <row r="13" spans="1:16">
      <c r="A13" s="4">
        <v>10</v>
      </c>
      <c r="B13" s="4" t="s">
        <v>707</v>
      </c>
      <c r="C13" s="4"/>
      <c r="D13" s="4"/>
      <c r="E13" s="4">
        <v>10</v>
      </c>
      <c r="F13" s="4" t="s">
        <v>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299</v>
      </c>
      <c r="C14" s="4"/>
      <c r="D14" s="4"/>
      <c r="E14" s="4">
        <v>11</v>
      </c>
      <c r="F14" s="4" t="s">
        <v>720</v>
      </c>
      <c r="G14" s="4">
        <v>1500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269</v>
      </c>
      <c r="G15" s="4">
        <v>100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73163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784788</v>
      </c>
      <c r="D19" s="5"/>
      <c r="E19" s="5"/>
      <c r="F19" s="5"/>
      <c r="G19" s="5">
        <f>SUM(G4:G18)</f>
        <v>586033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198755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Q36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722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511000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105822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708</v>
      </c>
      <c r="C12" s="4"/>
      <c r="D12" s="4"/>
      <c r="E12" s="4">
        <v>9</v>
      </c>
      <c r="F12" s="4" t="s">
        <v>721</v>
      </c>
      <c r="G12" s="4"/>
      <c r="K12" s="1">
        <f>27-33</f>
        <v>-6</v>
      </c>
    </row>
    <row r="13" spans="1:16">
      <c r="A13" s="4">
        <v>10</v>
      </c>
      <c r="B13" s="4" t="s">
        <v>707</v>
      </c>
      <c r="C13" s="4"/>
      <c r="D13" s="4"/>
      <c r="E13" s="4">
        <v>10</v>
      </c>
      <c r="F13" s="4" t="s">
        <v>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299</v>
      </c>
      <c r="C14" s="4"/>
      <c r="D14" s="4"/>
      <c r="E14" s="4">
        <v>11</v>
      </c>
      <c r="F14" s="4" t="s">
        <v>720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269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95446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616822</v>
      </c>
      <c r="D19" s="5"/>
      <c r="E19" s="5"/>
      <c r="F19" s="5"/>
      <c r="G19" s="5">
        <f>SUM(G4:G18)</f>
        <v>596066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20756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723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627300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>
        <v>200000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95446</v>
      </c>
      <c r="D6" s="4"/>
      <c r="E6" s="4">
        <v>3</v>
      </c>
      <c r="F6" s="4" t="s">
        <v>38</v>
      </c>
      <c r="G6" s="4">
        <v>300000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165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708</v>
      </c>
      <c r="C12" s="4"/>
      <c r="D12" s="4"/>
      <c r="E12" s="4">
        <v>9</v>
      </c>
      <c r="F12" s="4" t="s">
        <v>721</v>
      </c>
      <c r="G12" s="4"/>
      <c r="K12" s="1">
        <f>27-33</f>
        <v>-6</v>
      </c>
    </row>
    <row r="13" spans="1:16">
      <c r="A13" s="4">
        <v>10</v>
      </c>
      <c r="B13" s="4" t="s">
        <v>707</v>
      </c>
      <c r="C13" s="4"/>
      <c r="D13" s="4"/>
      <c r="E13" s="4">
        <v>10</v>
      </c>
      <c r="F13" s="4" t="s">
        <v>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299</v>
      </c>
      <c r="C14" s="4"/>
      <c r="D14" s="4"/>
      <c r="E14" s="4">
        <v>11</v>
      </c>
      <c r="F14" s="4" t="s">
        <v>720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269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60371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772746</v>
      </c>
      <c r="D19" s="5"/>
      <c r="E19" s="5"/>
      <c r="F19" s="5"/>
      <c r="G19" s="5">
        <f>SUM(G4:G18)</f>
        <v>761101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11645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Q36"/>
  <sheetViews>
    <sheetView zoomScale="145" zoomScaleNormal="145" workbookViewId="0">
      <selection activeCell="I27" sqref="I27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724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346000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90611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>
        <v>82100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280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697</v>
      </c>
      <c r="C11" s="4"/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708</v>
      </c>
      <c r="C12" s="4"/>
      <c r="D12" s="4"/>
      <c r="E12" s="4">
        <v>9</v>
      </c>
      <c r="F12" s="4" t="s">
        <v>721</v>
      </c>
      <c r="G12" s="4"/>
      <c r="K12" s="1">
        <f>27-33</f>
        <v>-6</v>
      </c>
    </row>
    <row r="13" spans="1:16">
      <c r="A13" s="4">
        <v>10</v>
      </c>
      <c r="B13" s="4" t="s">
        <v>707</v>
      </c>
      <c r="C13" s="4"/>
      <c r="D13" s="4"/>
      <c r="E13" s="4">
        <v>10</v>
      </c>
      <c r="F13" s="4" t="s">
        <v>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299</v>
      </c>
      <c r="C14" s="4"/>
      <c r="D14" s="4"/>
      <c r="E14" s="4">
        <v>11</v>
      </c>
      <c r="F14" s="4" t="s">
        <v>720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269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65861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518711</v>
      </c>
      <c r="D19" s="5"/>
      <c r="E19" s="5"/>
      <c r="F19" s="5"/>
      <c r="G19" s="5">
        <f>SUM(G4:G18)</f>
        <v>466506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52205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9.5703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725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60000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>
        <v>119000</v>
      </c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275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19</v>
      </c>
      <c r="C10" s="4">
        <v>117790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124</v>
      </c>
      <c r="C11" s="4">
        <v>100000</v>
      </c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708</v>
      </c>
      <c r="C12" s="4"/>
      <c r="D12" s="4"/>
      <c r="E12" s="4">
        <v>9</v>
      </c>
      <c r="F12" s="4" t="s">
        <v>721</v>
      </c>
      <c r="G12" s="4"/>
      <c r="K12" s="1">
        <f>27-33</f>
        <v>-6</v>
      </c>
    </row>
    <row r="13" spans="1:16">
      <c r="A13" s="4">
        <v>10</v>
      </c>
      <c r="B13" s="4" t="s">
        <v>707</v>
      </c>
      <c r="C13" s="4"/>
      <c r="D13" s="4"/>
      <c r="E13" s="4">
        <v>10</v>
      </c>
      <c r="F13" s="4" t="s">
        <v>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</v>
      </c>
      <c r="C14" s="4">
        <v>3600</v>
      </c>
      <c r="D14" s="4"/>
      <c r="E14" s="4">
        <v>11</v>
      </c>
      <c r="F14" s="4" t="s">
        <v>720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269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/>
      <c r="C17" s="4"/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/>
      <c r="C18" s="4"/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400390</v>
      </c>
      <c r="D19" s="5"/>
      <c r="E19" s="5"/>
      <c r="F19" s="5"/>
      <c r="G19" s="5">
        <f>SUM(G4:G18)</f>
        <v>400390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726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1152200</v>
      </c>
      <c r="D4" s="4"/>
      <c r="E4" s="4">
        <v>1</v>
      </c>
      <c r="F4" s="4" t="s">
        <v>5</v>
      </c>
      <c r="G4" s="4">
        <v>900000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92347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180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>
        <v>103000</v>
      </c>
      <c r="D9" s="4"/>
      <c r="E9" s="4">
        <v>6</v>
      </c>
      <c r="F9" s="4" t="s">
        <v>656</v>
      </c>
      <c r="G9" s="4">
        <v>500000</v>
      </c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>
        <v>10000</v>
      </c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494</v>
      </c>
      <c r="C12" s="4">
        <v>30000</v>
      </c>
      <c r="D12" s="4"/>
      <c r="E12" s="4">
        <v>9</v>
      </c>
      <c r="F12" s="4" t="s">
        <v>721</v>
      </c>
      <c r="G12" s="4"/>
      <c r="K12" s="1">
        <f>27-33</f>
        <v>-6</v>
      </c>
    </row>
    <row r="13" spans="1:16">
      <c r="A13" s="4">
        <v>10</v>
      </c>
      <c r="B13" s="4" t="s">
        <v>360</v>
      </c>
      <c r="C13" s="4">
        <v>30000</v>
      </c>
      <c r="D13" s="4"/>
      <c r="E13" s="4">
        <v>10</v>
      </c>
      <c r="F13" s="4" t="s">
        <v>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</v>
      </c>
      <c r="C14" s="4">
        <v>6500</v>
      </c>
      <c r="D14" s="4"/>
      <c r="E14" s="4">
        <v>11</v>
      </c>
      <c r="F14" s="4" t="s">
        <v>727</v>
      </c>
      <c r="G14" s="4">
        <v>5500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>
        <v>29000</v>
      </c>
      <c r="D15" s="4"/>
      <c r="E15" s="4">
        <v>12</v>
      </c>
      <c r="F15" s="4" t="s">
        <v>206</v>
      </c>
      <c r="G15" s="4">
        <v>3000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15500</v>
      </c>
      <c r="D16" s="4"/>
      <c r="E16" s="4">
        <v>13</v>
      </c>
      <c r="F16" s="4" t="s">
        <v>135</v>
      </c>
      <c r="G16" s="4">
        <v>71547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>
        <v>6000</v>
      </c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>
        <v>6000</v>
      </c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1480547</v>
      </c>
      <c r="D19" s="5"/>
      <c r="E19" s="5"/>
      <c r="F19" s="5"/>
      <c r="G19" s="5">
        <f>SUM(G4:G18)</f>
        <v>1480477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Q36"/>
  <sheetViews>
    <sheetView zoomScale="145" zoomScaleNormal="145" workbookViewId="0">
      <selection activeCell="F20" sqref="F20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728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100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>
        <v>30000</v>
      </c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314</v>
      </c>
      <c r="C12" s="4">
        <v>19000</v>
      </c>
      <c r="D12" s="4"/>
      <c r="E12" s="4">
        <v>9</v>
      </c>
      <c r="F12" s="4" t="s">
        <v>721</v>
      </c>
      <c r="G12" s="4"/>
      <c r="K12" s="1">
        <f>27-33</f>
        <v>-6</v>
      </c>
    </row>
    <row r="13" spans="1:16">
      <c r="A13" s="4">
        <v>10</v>
      </c>
      <c r="B13" s="4" t="s">
        <v>729</v>
      </c>
      <c r="C13" s="4">
        <v>4500</v>
      </c>
      <c r="D13" s="4"/>
      <c r="E13" s="4">
        <v>10</v>
      </c>
      <c r="F13" s="4" t="s">
        <v>731</v>
      </c>
      <c r="G13" s="4">
        <v>750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</v>
      </c>
      <c r="C14" s="4">
        <v>4300</v>
      </c>
      <c r="D14" s="4"/>
      <c r="E14" s="4">
        <v>11</v>
      </c>
      <c r="F14" s="4" t="s">
        <v>727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>
        <v>25000</v>
      </c>
      <c r="D15" s="4"/>
      <c r="E15" s="4">
        <v>12</v>
      </c>
      <c r="F15" s="4" t="s">
        <v>206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>
        <v>6000</v>
      </c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>
        <v>18000</v>
      </c>
      <c r="D17" s="4"/>
      <c r="E17" s="4">
        <v>14</v>
      </c>
      <c r="F17" s="4" t="s">
        <v>673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>
        <v>6000</v>
      </c>
      <c r="D18" s="4"/>
      <c r="E18" s="4">
        <v>15</v>
      </c>
      <c r="F18" s="4" t="s">
        <v>635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112800</v>
      </c>
      <c r="D19" s="5"/>
      <c r="E19" s="5"/>
      <c r="F19" s="5"/>
      <c r="G19" s="5">
        <f>SUM(G4:G18)</f>
        <v>850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111950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6.710937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732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115000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73107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314</v>
      </c>
      <c r="C12" s="4"/>
      <c r="D12" s="4"/>
      <c r="E12" s="4">
        <v>9</v>
      </c>
      <c r="F12" s="4" t="s">
        <v>186</v>
      </c>
      <c r="G12" s="4">
        <v>5000</v>
      </c>
      <c r="K12" s="1">
        <f>27-33</f>
        <v>-6</v>
      </c>
    </row>
    <row r="13" spans="1:16">
      <c r="A13" s="4">
        <v>10</v>
      </c>
      <c r="B13" s="4" t="s">
        <v>729</v>
      </c>
      <c r="C13" s="4"/>
      <c r="D13" s="4"/>
      <c r="E13" s="4">
        <v>10</v>
      </c>
      <c r="F13" s="4" t="s">
        <v>258</v>
      </c>
      <c r="G13" s="4">
        <v>30000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</v>
      </c>
      <c r="C14" s="4"/>
      <c r="D14" s="4"/>
      <c r="E14" s="4">
        <v>11</v>
      </c>
      <c r="F14" s="4" t="s">
        <v>76</v>
      </c>
      <c r="G14" s="4">
        <v>15000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50</v>
      </c>
      <c r="C15" s="4">
        <v>13000</v>
      </c>
      <c r="D15" s="4"/>
      <c r="E15" s="4">
        <v>12</v>
      </c>
      <c r="F15" s="4" t="s">
        <v>733</v>
      </c>
      <c r="G15" s="4">
        <v>150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61069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140</v>
      </c>
      <c r="G17" s="4">
        <v>15000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660</v>
      </c>
      <c r="G18" s="4">
        <v>15000</v>
      </c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251107</v>
      </c>
      <c r="D19" s="5"/>
      <c r="E19" s="5"/>
      <c r="F19" s="5"/>
      <c r="G19" s="5">
        <f>SUM(G4:G18)</f>
        <v>241519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9588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Q36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734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289650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111372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>
        <v>9260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300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255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314</v>
      </c>
      <c r="C12" s="4"/>
      <c r="D12" s="4"/>
      <c r="E12" s="4">
        <v>9</v>
      </c>
      <c r="F12" s="4" t="s">
        <v>186</v>
      </c>
      <c r="G12" s="4"/>
      <c r="K12" s="1">
        <f>27-33</f>
        <v>-6</v>
      </c>
    </row>
    <row r="13" spans="1:16">
      <c r="A13" s="4">
        <v>10</v>
      </c>
      <c r="B13" s="4" t="s">
        <v>735</v>
      </c>
      <c r="C13" s="4">
        <v>15000</v>
      </c>
      <c r="D13" s="4"/>
      <c r="E13" s="4">
        <v>10</v>
      </c>
      <c r="F13" s="4" t="s">
        <v>258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</v>
      </c>
      <c r="C14" s="4"/>
      <c r="D14" s="4"/>
      <c r="E14" s="4">
        <v>11</v>
      </c>
      <c r="F14" s="4" t="s">
        <v>76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>
        <v>20000</v>
      </c>
      <c r="D15" s="4"/>
      <c r="E15" s="4">
        <v>12</v>
      </c>
      <c r="F15" s="4" t="s">
        <v>733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91812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140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660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445282</v>
      </c>
      <c r="D19" s="5"/>
      <c r="E19" s="5"/>
      <c r="F19" s="5"/>
      <c r="G19" s="5">
        <f>SUM(G4:G18)</f>
        <v>442477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2805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N23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108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252000</v>
      </c>
      <c r="D4" s="4"/>
      <c r="E4" s="4">
        <v>1</v>
      </c>
      <c r="F4" s="4" t="s">
        <v>5</v>
      </c>
      <c r="G4" s="4"/>
    </row>
    <row r="5" spans="1:14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4">
      <c r="A6" s="4">
        <v>3</v>
      </c>
      <c r="B6" s="4" t="s">
        <v>6</v>
      </c>
      <c r="C6" s="4">
        <v>114986</v>
      </c>
      <c r="D6" s="4"/>
      <c r="E6" s="4">
        <v>3</v>
      </c>
      <c r="F6" s="4" t="s">
        <v>38</v>
      </c>
      <c r="G6" s="4">
        <v>250000</v>
      </c>
    </row>
    <row r="7" spans="1:14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>
        <v>100</v>
      </c>
      <c r="K7" s="1">
        <f>30*20</f>
        <v>600</v>
      </c>
    </row>
    <row r="8" spans="1:14">
      <c r="A8" s="4">
        <v>5</v>
      </c>
      <c r="B8" s="4" t="s">
        <v>109</v>
      </c>
      <c r="C8" s="4">
        <v>53650</v>
      </c>
      <c r="D8" s="4"/>
      <c r="E8" s="4">
        <v>5</v>
      </c>
      <c r="F8" s="4" t="s">
        <v>9</v>
      </c>
      <c r="G8" s="4">
        <v>220</v>
      </c>
    </row>
    <row r="9" spans="1:14">
      <c r="A9" s="4">
        <v>6</v>
      </c>
      <c r="B9" s="4" t="s">
        <v>110</v>
      </c>
      <c r="C9" s="4">
        <v>37470</v>
      </c>
      <c r="D9" s="4"/>
      <c r="E9" s="4">
        <v>6</v>
      </c>
      <c r="F9" s="4" t="s">
        <v>44</v>
      </c>
      <c r="G9" s="4"/>
    </row>
    <row r="10" spans="1:14">
      <c r="A10" s="4">
        <v>7</v>
      </c>
      <c r="B10" s="4" t="s">
        <v>107</v>
      </c>
      <c r="C10" s="4"/>
      <c r="D10" s="4"/>
      <c r="E10" s="4">
        <v>7</v>
      </c>
      <c r="F10" s="4" t="s">
        <v>52</v>
      </c>
      <c r="G10" s="4"/>
    </row>
    <row r="11" spans="1:14">
      <c r="A11" s="4">
        <v>8</v>
      </c>
      <c r="B11" s="4" t="s">
        <v>7</v>
      </c>
      <c r="C11" s="4"/>
      <c r="D11" s="4"/>
      <c r="E11" s="4">
        <v>8</v>
      </c>
      <c r="F11" s="4" t="s">
        <v>111</v>
      </c>
      <c r="G11" s="4">
        <v>500</v>
      </c>
    </row>
    <row r="12" spans="1:14">
      <c r="A12" s="4">
        <v>9</v>
      </c>
      <c r="B12" s="4" t="s">
        <v>8</v>
      </c>
      <c r="C12" s="4"/>
      <c r="D12" s="4"/>
      <c r="E12" s="4">
        <v>9</v>
      </c>
      <c r="F12" s="4" t="s">
        <v>112</v>
      </c>
      <c r="G12" s="4">
        <v>13000</v>
      </c>
    </row>
    <row r="13" spans="1:14">
      <c r="A13" s="4">
        <v>10</v>
      </c>
      <c r="B13" s="4" t="s">
        <v>58</v>
      </c>
      <c r="C13" s="4"/>
      <c r="D13" s="4"/>
      <c r="E13" s="4">
        <v>10</v>
      </c>
      <c r="F13" s="4" t="s">
        <v>105</v>
      </c>
      <c r="G13" s="4"/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64287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</row>
    <row r="19" spans="1:12">
      <c r="A19" s="5"/>
      <c r="B19" s="5"/>
      <c r="C19" s="5">
        <f>SUM(C4:C18)</f>
        <v>458106</v>
      </c>
      <c r="D19" s="5"/>
      <c r="E19" s="5"/>
      <c r="F19" s="5"/>
      <c r="G19" s="5">
        <f>SUM(G4:G18)</f>
        <v>328107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129999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Q36"/>
  <sheetViews>
    <sheetView zoomScale="145" zoomScaleNormal="145" workbookViewId="0">
      <selection activeCell="F9" sqref="F9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736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207900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91812</v>
      </c>
      <c r="D6" s="4"/>
      <c r="E6" s="4">
        <v>3</v>
      </c>
      <c r="F6" s="4" t="s">
        <v>38</v>
      </c>
      <c r="G6" s="4">
        <v>120000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225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>
        <v>20000</v>
      </c>
      <c r="D11" s="4"/>
      <c r="E11" s="4">
        <v>8</v>
      </c>
      <c r="F11" s="6" t="s">
        <v>740</v>
      </c>
      <c r="G11" s="4">
        <v>5000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314</v>
      </c>
      <c r="C12" s="4"/>
      <c r="D12" s="4"/>
      <c r="E12" s="4">
        <v>9</v>
      </c>
      <c r="F12" s="4" t="s">
        <v>737</v>
      </c>
      <c r="G12" s="4">
        <v>13000</v>
      </c>
      <c r="K12" s="1">
        <f>27-33</f>
        <v>-6</v>
      </c>
    </row>
    <row r="13" spans="1:16">
      <c r="A13" s="4">
        <v>10</v>
      </c>
      <c r="B13" s="4" t="s">
        <v>50</v>
      </c>
      <c r="C13" s="4">
        <v>21300</v>
      </c>
      <c r="D13" s="4"/>
      <c r="E13" s="4">
        <v>10</v>
      </c>
      <c r="F13" s="4" t="s">
        <v>738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>
        <v>42000</v>
      </c>
      <c r="D14" s="4"/>
      <c r="E14" s="4">
        <v>11</v>
      </c>
      <c r="F14" s="4" t="s">
        <v>739</v>
      </c>
      <c r="G14" s="4">
        <v>11500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>
        <v>49000</v>
      </c>
      <c r="D15" s="4"/>
      <c r="E15" s="4">
        <v>12</v>
      </c>
      <c r="F15" s="4" t="s">
        <v>263</v>
      </c>
      <c r="G15" s="4">
        <v>750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54509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>
        <v>20000</v>
      </c>
      <c r="D17" s="4"/>
      <c r="E17" s="4">
        <v>14</v>
      </c>
      <c r="F17" s="4" t="s">
        <v>140</v>
      </c>
      <c r="G17" s="4">
        <v>10000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>
        <v>50000</v>
      </c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452012</v>
      </c>
      <c r="D19" s="5"/>
      <c r="E19" s="5"/>
      <c r="F19" s="5"/>
      <c r="G19" s="5">
        <f>SUM(G4:G18)</f>
        <v>420354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31658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Q36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742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224900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60159</v>
      </c>
      <c r="D6" s="4"/>
      <c r="E6" s="4">
        <v>3</v>
      </c>
      <c r="F6" s="4" t="s">
        <v>38</v>
      </c>
      <c r="G6" s="4">
        <v>110000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265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300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740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314</v>
      </c>
      <c r="C12" s="4"/>
      <c r="D12" s="4"/>
      <c r="E12" s="4">
        <v>9</v>
      </c>
      <c r="F12" s="4" t="s">
        <v>737</v>
      </c>
      <c r="G12" s="4"/>
      <c r="K12" s="1">
        <f>27-33</f>
        <v>-6</v>
      </c>
    </row>
    <row r="13" spans="1:16">
      <c r="A13" s="4">
        <v>10</v>
      </c>
      <c r="B13" s="4" t="s">
        <v>50</v>
      </c>
      <c r="C13" s="4">
        <v>5000</v>
      </c>
      <c r="D13" s="4"/>
      <c r="E13" s="4">
        <v>10</v>
      </c>
      <c r="F13" s="4" t="s">
        <v>738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>
        <v>24000</v>
      </c>
      <c r="D14" s="4"/>
      <c r="E14" s="4">
        <v>11</v>
      </c>
      <c r="F14" s="4" t="s">
        <v>739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>
        <v>31500</v>
      </c>
      <c r="D15" s="4"/>
      <c r="E15" s="4">
        <v>12</v>
      </c>
      <c r="F15" s="4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51659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>
        <v>19900</v>
      </c>
      <c r="D17" s="4"/>
      <c r="E17" s="4">
        <v>14</v>
      </c>
      <c r="F17" s="4" t="s">
        <v>140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415459</v>
      </c>
      <c r="D19" s="5"/>
      <c r="E19" s="5"/>
      <c r="F19" s="5"/>
      <c r="G19" s="5">
        <f>SUM(G4:G18)</f>
        <v>412439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3020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Q36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743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417300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73573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>
        <v>74500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600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740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314</v>
      </c>
      <c r="C12" s="4"/>
      <c r="D12" s="4"/>
      <c r="E12" s="4">
        <v>9</v>
      </c>
      <c r="F12" s="4" t="s">
        <v>250</v>
      </c>
      <c r="G12" s="4">
        <v>100</v>
      </c>
      <c r="K12" s="1">
        <f>27-33</f>
        <v>-6</v>
      </c>
    </row>
    <row r="13" spans="1:16">
      <c r="A13" s="4">
        <v>10</v>
      </c>
      <c r="B13" s="4" t="s">
        <v>50</v>
      </c>
      <c r="C13" s="4"/>
      <c r="D13" s="4"/>
      <c r="E13" s="4">
        <v>10</v>
      </c>
      <c r="F13" s="4" t="s">
        <v>738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/>
      <c r="D14" s="4"/>
      <c r="E14" s="4">
        <v>11</v>
      </c>
      <c r="F14" s="4" t="s">
        <v>739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63173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140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565373</v>
      </c>
      <c r="D19" s="5"/>
      <c r="E19" s="5"/>
      <c r="F19" s="5"/>
      <c r="G19" s="5">
        <f>SUM(G4:G18)</f>
        <v>564238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1135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745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>
        <v>63330</v>
      </c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150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375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>
        <v>10000</v>
      </c>
      <c r="D11" s="4"/>
      <c r="E11" s="4">
        <v>8</v>
      </c>
      <c r="F11" s="6" t="s">
        <v>740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314</v>
      </c>
      <c r="C12" s="4"/>
      <c r="D12" s="4"/>
      <c r="E12" s="4">
        <v>9</v>
      </c>
      <c r="F12" s="4" t="s">
        <v>744</v>
      </c>
      <c r="G12" s="4">
        <v>1040</v>
      </c>
      <c r="K12" s="1">
        <f>27-33</f>
        <v>-6</v>
      </c>
    </row>
    <row r="13" spans="1:16">
      <c r="A13" s="4">
        <v>10</v>
      </c>
      <c r="B13" s="4" t="s">
        <v>50</v>
      </c>
      <c r="C13" s="4"/>
      <c r="D13" s="4"/>
      <c r="E13" s="4">
        <v>10</v>
      </c>
      <c r="F13" s="4" t="s">
        <v>738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>
        <v>16000</v>
      </c>
      <c r="D14" s="4"/>
      <c r="E14" s="4">
        <v>11</v>
      </c>
      <c r="F14" s="4" t="s">
        <v>739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>
        <v>15000</v>
      </c>
      <c r="D15" s="4"/>
      <c r="E15" s="4">
        <v>12</v>
      </c>
      <c r="F15" s="4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140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104330</v>
      </c>
      <c r="D19" s="5"/>
      <c r="E19" s="5"/>
      <c r="F19" s="5"/>
      <c r="G19" s="5">
        <f>SUM(G4:G18)</f>
        <v>101565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2765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Q36"/>
  <sheetViews>
    <sheetView zoomScale="145" zoomScaleNormal="145" workbookViewId="0">
      <selection activeCell="B15" sqref="B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746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460300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>
        <v>77000</v>
      </c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>
        <v>65000</v>
      </c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>
        <v>174040</v>
      </c>
      <c r="D10" s="4"/>
      <c r="E10" s="4">
        <v>7</v>
      </c>
      <c r="F10" s="6" t="s">
        <v>20</v>
      </c>
      <c r="G10" s="4">
        <v>400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740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>
        <v>55000</v>
      </c>
      <c r="D12" s="4"/>
      <c r="E12" s="4">
        <v>9</v>
      </c>
      <c r="F12" s="4"/>
      <c r="G12" s="4"/>
      <c r="K12" s="1">
        <f>27-33</f>
        <v>-6</v>
      </c>
    </row>
    <row r="13" spans="1:16">
      <c r="A13" s="4">
        <v>10</v>
      </c>
      <c r="B13" s="4" t="s">
        <v>747</v>
      </c>
      <c r="C13" s="4">
        <v>50300</v>
      </c>
      <c r="D13" s="4"/>
      <c r="E13" s="4">
        <v>10</v>
      </c>
      <c r="F13" s="4" t="s">
        <v>738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375</v>
      </c>
      <c r="C14" s="4">
        <v>34617</v>
      </c>
      <c r="D14" s="4"/>
      <c r="E14" s="4">
        <v>11</v>
      </c>
      <c r="F14" s="4" t="s">
        <v>739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263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140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916257</v>
      </c>
      <c r="D19" s="5"/>
      <c r="E19" s="5"/>
      <c r="F19" s="5"/>
      <c r="G19" s="5">
        <f>SUM(G4:G18)</f>
        <v>500765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415492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748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623400</v>
      </c>
      <c r="D4" s="4"/>
      <c r="E4" s="4">
        <v>1</v>
      </c>
      <c r="F4" s="4" t="s">
        <v>5</v>
      </c>
      <c r="G4" s="4">
        <v>556000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87319</v>
      </c>
      <c r="D6" s="4"/>
      <c r="E6" s="4">
        <v>3</v>
      </c>
      <c r="F6" s="4" t="s">
        <v>38</v>
      </c>
      <c r="G6" s="4">
        <v>180000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180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280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740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</v>
      </c>
      <c r="C12" s="4">
        <v>10000</v>
      </c>
      <c r="D12" s="4"/>
      <c r="E12" s="4">
        <v>9</v>
      </c>
      <c r="F12" s="4"/>
      <c r="G12" s="4"/>
      <c r="K12" s="1">
        <f>27-33</f>
        <v>-6</v>
      </c>
    </row>
    <row r="13" spans="1:16">
      <c r="A13" s="4">
        <v>10</v>
      </c>
      <c r="B13" s="4" t="s">
        <v>747</v>
      </c>
      <c r="C13" s="4"/>
      <c r="D13" s="4"/>
      <c r="E13" s="4">
        <v>10</v>
      </c>
      <c r="F13" s="4" t="s">
        <v>738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>
        <v>25000</v>
      </c>
      <c r="D14" s="4"/>
      <c r="E14" s="4">
        <v>11</v>
      </c>
      <c r="F14" s="4" t="s">
        <v>739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>
        <v>25000</v>
      </c>
      <c r="D15" s="4"/>
      <c r="E15" s="4">
        <v>12</v>
      </c>
      <c r="F15" s="4" t="s">
        <v>749</v>
      </c>
      <c r="G15" s="4">
        <v>10000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70039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588</v>
      </c>
      <c r="G17" s="4">
        <v>200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820719</v>
      </c>
      <c r="D19" s="5"/>
      <c r="E19" s="5"/>
      <c r="F19" s="5"/>
      <c r="G19" s="5">
        <f>SUM(G4:G18)</f>
        <v>816949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3770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750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257600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102700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280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740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</v>
      </c>
      <c r="C12" s="4"/>
      <c r="D12" s="4"/>
      <c r="E12" s="4">
        <v>9</v>
      </c>
      <c r="F12" s="4"/>
      <c r="G12" s="4"/>
      <c r="K12" s="1">
        <f>27-33</f>
        <v>-6</v>
      </c>
    </row>
    <row r="13" spans="1:16">
      <c r="A13" s="4">
        <v>10</v>
      </c>
      <c r="B13" s="4" t="s">
        <v>747</v>
      </c>
      <c r="C13" s="4"/>
      <c r="D13" s="4"/>
      <c r="E13" s="4">
        <v>10</v>
      </c>
      <c r="F13" s="4" t="s">
        <v>738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>
        <v>12500</v>
      </c>
      <c r="D14" s="4"/>
      <c r="E14" s="4">
        <v>11</v>
      </c>
      <c r="F14" s="4" t="s">
        <v>739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749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88270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>
        <v>22000</v>
      </c>
      <c r="D17" s="4"/>
      <c r="E17" s="4">
        <v>14</v>
      </c>
      <c r="F17" s="4" t="s">
        <v>588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394800</v>
      </c>
      <c r="D19" s="5"/>
      <c r="E19" s="5"/>
      <c r="F19" s="5"/>
      <c r="G19" s="5">
        <f>SUM(G4:G18)</f>
        <v>388920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5880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Q36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751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>
        <v>24490</v>
      </c>
      <c r="D8" s="4"/>
      <c r="E8" s="4">
        <v>5</v>
      </c>
      <c r="F8" s="4" t="s">
        <v>9</v>
      </c>
      <c r="G8" s="4">
        <v>100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41</v>
      </c>
      <c r="G11" s="4">
        <v>5440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</v>
      </c>
      <c r="C12" s="4"/>
      <c r="D12" s="4"/>
      <c r="E12" s="4">
        <v>9</v>
      </c>
      <c r="F12" s="4" t="s">
        <v>752</v>
      </c>
      <c r="G12" s="4">
        <v>10800</v>
      </c>
      <c r="K12" s="1">
        <f>27-33</f>
        <v>-6</v>
      </c>
    </row>
    <row r="13" spans="1:16">
      <c r="A13" s="4">
        <v>10</v>
      </c>
      <c r="B13" s="4" t="s">
        <v>747</v>
      </c>
      <c r="C13" s="4"/>
      <c r="D13" s="4"/>
      <c r="E13" s="4">
        <v>10</v>
      </c>
      <c r="F13" s="4" t="s">
        <v>738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>
        <v>2500</v>
      </c>
      <c r="D14" s="4"/>
      <c r="E14" s="4">
        <v>11</v>
      </c>
      <c r="F14" s="4" t="s">
        <v>195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749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588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26990</v>
      </c>
      <c r="D19" s="5"/>
      <c r="E19" s="5"/>
      <c r="F19" s="5"/>
      <c r="G19" s="5">
        <f>SUM(G4:G18)</f>
        <v>26340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650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Q36"/>
  <sheetViews>
    <sheetView zoomScale="145" zoomScaleNormal="145" workbookViewId="0">
      <selection activeCell="G18" sqref="G18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753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296050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102754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70</v>
      </c>
      <c r="G11" s="4">
        <v>150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</v>
      </c>
      <c r="C12" s="4"/>
      <c r="D12" s="4"/>
      <c r="E12" s="4">
        <v>9</v>
      </c>
      <c r="F12" s="4" t="s">
        <v>752</v>
      </c>
      <c r="G12" s="4"/>
      <c r="K12" s="1">
        <f>27-33</f>
        <v>-6</v>
      </c>
    </row>
    <row r="13" spans="1:16">
      <c r="A13" s="4">
        <v>10</v>
      </c>
      <c r="B13" s="4" t="s">
        <v>747</v>
      </c>
      <c r="C13" s="4"/>
      <c r="D13" s="4"/>
      <c r="E13" s="4">
        <v>10</v>
      </c>
      <c r="F13" s="4" t="s">
        <v>738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/>
      <c r="D14" s="4"/>
      <c r="E14" s="4">
        <v>11</v>
      </c>
      <c r="F14" s="4" t="s">
        <v>755</v>
      </c>
      <c r="G14" s="4">
        <v>2400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754</v>
      </c>
      <c r="G15" s="4">
        <v>1680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86044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588</v>
      </c>
      <c r="G17" s="4" t="s">
        <v>78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398804</v>
      </c>
      <c r="D19" s="5"/>
      <c r="E19" s="5"/>
      <c r="F19" s="5"/>
      <c r="G19" s="5">
        <f>SUM(G4:G18)</f>
        <v>393844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4960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Q36"/>
  <sheetViews>
    <sheetView zoomScale="145" zoomScaleNormal="145" workbookViewId="0">
      <selection activeCell="I21" sqref="I21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756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103926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757</v>
      </c>
      <c r="G11" s="4">
        <v>50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</v>
      </c>
      <c r="C12" s="4"/>
      <c r="D12" s="4"/>
      <c r="E12" s="4">
        <v>9</v>
      </c>
      <c r="F12" s="4" t="s">
        <v>283</v>
      </c>
      <c r="G12" s="4">
        <v>50</v>
      </c>
      <c r="K12" s="1">
        <f>27-33</f>
        <v>-6</v>
      </c>
    </row>
    <row r="13" spans="1:16">
      <c r="A13" s="4">
        <v>10</v>
      </c>
      <c r="B13" s="4" t="s">
        <v>747</v>
      </c>
      <c r="C13" s="4"/>
      <c r="D13" s="4"/>
      <c r="E13" s="4">
        <v>10</v>
      </c>
      <c r="F13" s="4" t="s">
        <v>738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/>
      <c r="D14" s="4"/>
      <c r="E14" s="4">
        <v>11</v>
      </c>
      <c r="F14" s="4" t="s">
        <v>758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759</v>
      </c>
      <c r="G15" s="4">
        <v>2535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82102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588</v>
      </c>
      <c r="G17" s="4" t="s">
        <v>78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 t="s">
        <v>741</v>
      </c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103926</v>
      </c>
      <c r="D19" s="5"/>
      <c r="E19" s="5"/>
      <c r="F19" s="5"/>
      <c r="G19" s="5">
        <f>SUM(G4:G18)</f>
        <v>84787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19139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N23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113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525600</v>
      </c>
      <c r="D4" s="4"/>
      <c r="E4" s="4">
        <v>1</v>
      </c>
      <c r="F4" s="4" t="s">
        <v>5</v>
      </c>
      <c r="G4" s="4"/>
    </row>
    <row r="5" spans="1:14">
      <c r="A5" s="4">
        <v>2</v>
      </c>
      <c r="B5" s="4" t="s">
        <v>4</v>
      </c>
      <c r="C5" s="4">
        <v>16000</v>
      </c>
      <c r="D5" s="4"/>
      <c r="E5" s="4">
        <v>2</v>
      </c>
      <c r="F5" s="4" t="s">
        <v>43</v>
      </c>
      <c r="G5" s="4">
        <v>200000</v>
      </c>
    </row>
    <row r="6" spans="1:14">
      <c r="A6" s="4">
        <v>3</v>
      </c>
      <c r="B6" s="4" t="s">
        <v>6</v>
      </c>
      <c r="C6" s="4">
        <v>81897</v>
      </c>
      <c r="D6" s="4"/>
      <c r="E6" s="4">
        <v>3</v>
      </c>
      <c r="F6" s="4" t="s">
        <v>38</v>
      </c>
      <c r="G6" s="4">
        <v>350000</v>
      </c>
    </row>
    <row r="7" spans="1:14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>
        <v>315</v>
      </c>
      <c r="K7" s="1">
        <f>30*20</f>
        <v>600</v>
      </c>
    </row>
    <row r="8" spans="1:14">
      <c r="A8" s="4">
        <v>5</v>
      </c>
      <c r="B8" s="4" t="s">
        <v>109</v>
      </c>
      <c r="C8" s="4"/>
      <c r="D8" s="4"/>
      <c r="E8" s="4">
        <v>5</v>
      </c>
      <c r="F8" s="4" t="s">
        <v>9</v>
      </c>
      <c r="G8" s="4">
        <v>250</v>
      </c>
    </row>
    <row r="9" spans="1:14">
      <c r="A9" s="4">
        <v>6</v>
      </c>
      <c r="B9" s="4" t="s">
        <v>110</v>
      </c>
      <c r="C9" s="4"/>
      <c r="D9" s="4"/>
      <c r="E9" s="4">
        <v>6</v>
      </c>
      <c r="F9" s="4" t="s">
        <v>44</v>
      </c>
      <c r="G9" s="4"/>
    </row>
    <row r="10" spans="1:14">
      <c r="A10" s="4">
        <v>7</v>
      </c>
      <c r="B10" s="4" t="s">
        <v>107</v>
      </c>
      <c r="C10" s="4"/>
      <c r="D10" s="4"/>
      <c r="E10" s="4">
        <v>7</v>
      </c>
      <c r="F10" s="4" t="s">
        <v>114</v>
      </c>
      <c r="G10" s="4">
        <v>5500</v>
      </c>
    </row>
    <row r="11" spans="1:14">
      <c r="A11" s="4">
        <v>8</v>
      </c>
      <c r="B11" s="4" t="s">
        <v>7</v>
      </c>
      <c r="C11" s="4"/>
      <c r="D11" s="4"/>
      <c r="E11" s="4">
        <v>8</v>
      </c>
      <c r="F11" s="4" t="s">
        <v>115</v>
      </c>
      <c r="G11" s="4">
        <v>3000</v>
      </c>
    </row>
    <row r="12" spans="1:14">
      <c r="A12" s="4">
        <v>9</v>
      </c>
      <c r="B12" s="4" t="s">
        <v>116</v>
      </c>
      <c r="C12" s="4">
        <v>100</v>
      </c>
      <c r="D12" s="4"/>
      <c r="E12" s="4">
        <v>9</v>
      </c>
      <c r="F12" s="4" t="s">
        <v>112</v>
      </c>
      <c r="G12" s="4"/>
    </row>
    <row r="13" spans="1:14">
      <c r="A13" s="4">
        <v>10</v>
      </c>
      <c r="B13" s="4" t="s">
        <v>58</v>
      </c>
      <c r="C13" s="4"/>
      <c r="D13" s="4"/>
      <c r="E13" s="4">
        <v>10</v>
      </c>
      <c r="F13" s="4" t="s">
        <v>117</v>
      </c>
      <c r="G13" s="4">
        <v>370</v>
      </c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40749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K17" s="1">
        <f>36589-16000</f>
        <v>20589</v>
      </c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  <c r="K18" s="1">
        <f>9050+11110+20589</f>
        <v>40749</v>
      </c>
    </row>
    <row r="19" spans="1:12">
      <c r="A19" s="5"/>
      <c r="B19" s="5"/>
      <c r="C19" s="5">
        <f>SUM(C4:C18)</f>
        <v>623597</v>
      </c>
      <c r="D19" s="5"/>
      <c r="E19" s="5"/>
      <c r="F19" s="5"/>
      <c r="G19" s="5">
        <f>SUM(G4:G18)</f>
        <v>600184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23413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Q36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760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284700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82102</v>
      </c>
      <c r="D6" s="4"/>
      <c r="E6" s="4">
        <v>3</v>
      </c>
      <c r="F6" s="4" t="s">
        <v>38</v>
      </c>
      <c r="G6" s="4">
        <v>115000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875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757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</v>
      </c>
      <c r="C12" s="4"/>
      <c r="D12" s="4"/>
      <c r="E12" s="4">
        <v>9</v>
      </c>
      <c r="F12" s="4" t="s">
        <v>283</v>
      </c>
      <c r="G12" s="4"/>
      <c r="K12" s="1">
        <f>27-33</f>
        <v>-6</v>
      </c>
    </row>
    <row r="13" spans="1:16">
      <c r="A13" s="4">
        <v>10</v>
      </c>
      <c r="B13" s="4" t="s">
        <v>747</v>
      </c>
      <c r="C13" s="4"/>
      <c r="D13" s="4"/>
      <c r="E13" s="4">
        <v>10</v>
      </c>
      <c r="F13" s="4" t="s">
        <v>741</v>
      </c>
      <c r="G13" s="4">
        <v>20000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/>
      <c r="D14" s="4"/>
      <c r="E14" s="4">
        <v>11</v>
      </c>
      <c r="F14" s="4" t="s">
        <v>455</v>
      </c>
      <c r="G14" s="4">
        <v>1500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759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71958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588</v>
      </c>
      <c r="G17" s="4" t="s">
        <v>78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416802</v>
      </c>
      <c r="D19" s="5"/>
      <c r="E19" s="5"/>
      <c r="F19" s="5"/>
      <c r="G19" s="5">
        <f>SUM(G4:G18)</f>
        <v>409703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7099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Q36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761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270600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71958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7</v>
      </c>
      <c r="C8" s="4">
        <v>19830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>
        <v>180700</v>
      </c>
      <c r="D10" s="4"/>
      <c r="E10" s="4">
        <v>7</v>
      </c>
      <c r="F10" s="6" t="s">
        <v>20</v>
      </c>
      <c r="G10" s="4">
        <v>520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319</v>
      </c>
      <c r="C11" s="4"/>
      <c r="D11" s="4"/>
      <c r="E11" s="4">
        <v>8</v>
      </c>
      <c r="F11" s="6" t="s">
        <v>757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</v>
      </c>
      <c r="C12" s="4">
        <v>6500</v>
      </c>
      <c r="D12" s="4"/>
      <c r="E12" s="4">
        <v>9</v>
      </c>
      <c r="F12" s="4" t="s">
        <v>283</v>
      </c>
      <c r="G12" s="4"/>
      <c r="K12" s="1">
        <f>27-33</f>
        <v>-6</v>
      </c>
    </row>
    <row r="13" spans="1:16">
      <c r="A13" s="4">
        <v>10</v>
      </c>
      <c r="B13" s="4" t="s">
        <v>747</v>
      </c>
      <c r="C13" s="4"/>
      <c r="D13" s="4"/>
      <c r="E13" s="4">
        <v>10</v>
      </c>
      <c r="F13" s="4" t="s">
        <v>434</v>
      </c>
      <c r="G13" s="4">
        <v>9300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>
        <v>15000</v>
      </c>
      <c r="D14" s="4"/>
      <c r="E14" s="4">
        <v>11</v>
      </c>
      <c r="F14" s="4" t="s">
        <v>455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216</v>
      </c>
      <c r="G15" s="4">
        <v>3060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55630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>
        <v>12000</v>
      </c>
      <c r="D17" s="4"/>
      <c r="E17" s="4">
        <v>14</v>
      </c>
      <c r="F17" s="4" t="s">
        <v>588</v>
      </c>
      <c r="G17" s="4" t="s">
        <v>78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576588</v>
      </c>
      <c r="D19" s="5"/>
      <c r="E19" s="5"/>
      <c r="F19" s="5"/>
      <c r="G19" s="5">
        <f>SUM(G4:G18)</f>
        <v>568880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7708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Q36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762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f>539500+32000</f>
        <v>571500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156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7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8</v>
      </c>
      <c r="C9" s="4"/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/>
      <c r="D10" s="4"/>
      <c r="E10" s="4">
        <v>7</v>
      </c>
      <c r="F10" s="6" t="s">
        <v>20</v>
      </c>
      <c r="G10" s="4">
        <v>430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124</v>
      </c>
      <c r="C11" s="4">
        <v>100000</v>
      </c>
      <c r="D11" s="4"/>
      <c r="E11" s="4">
        <v>8</v>
      </c>
      <c r="F11" s="6" t="s">
        <v>757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</v>
      </c>
      <c r="C12" s="4"/>
      <c r="D12" s="4"/>
      <c r="E12" s="4">
        <v>9</v>
      </c>
      <c r="F12" s="4" t="s">
        <v>27</v>
      </c>
      <c r="G12" s="4">
        <v>10000</v>
      </c>
      <c r="K12" s="1">
        <f>27-33</f>
        <v>-6</v>
      </c>
    </row>
    <row r="13" spans="1:16">
      <c r="A13" s="4">
        <v>10</v>
      </c>
      <c r="B13" s="4" t="s">
        <v>747</v>
      </c>
      <c r="C13" s="4"/>
      <c r="D13" s="4"/>
      <c r="E13" s="4">
        <v>10</v>
      </c>
      <c r="F13" s="4" t="s">
        <v>434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/>
      <c r="D14" s="4"/>
      <c r="E14" s="4">
        <v>11</v>
      </c>
      <c r="F14" s="4" t="s">
        <v>71</v>
      </c>
      <c r="G14" s="4">
        <v>9000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216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588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671500</v>
      </c>
      <c r="D19" s="5"/>
      <c r="E19" s="5"/>
      <c r="F19" s="5"/>
      <c r="G19" s="5">
        <f>SUM(G4:G18)</f>
        <v>519800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151700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Q36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764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530880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4" t="s">
        <v>654</v>
      </c>
      <c r="C5" s="4"/>
      <c r="D5" s="4"/>
      <c r="E5" s="4">
        <v>2</v>
      </c>
      <c r="F5" s="4" t="s">
        <v>43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52628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156</v>
      </c>
      <c r="C7" s="4">
        <v>43000</v>
      </c>
      <c r="D7" s="4"/>
      <c r="E7" s="4">
        <v>4</v>
      </c>
      <c r="F7" s="4" t="s">
        <v>39</v>
      </c>
      <c r="G7" s="4">
        <v>320</v>
      </c>
    </row>
    <row r="8" spans="1:16">
      <c r="A8" s="4">
        <v>5</v>
      </c>
      <c r="B8" s="4" t="s">
        <v>7</v>
      </c>
      <c r="C8" s="4">
        <v>50000</v>
      </c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8</v>
      </c>
      <c r="C9" s="4">
        <v>38122</v>
      </c>
      <c r="D9" s="4"/>
      <c r="E9" s="4">
        <v>6</v>
      </c>
      <c r="F9" s="4" t="s">
        <v>656</v>
      </c>
      <c r="G9" s="4"/>
      <c r="K9" s="1">
        <v>80</v>
      </c>
    </row>
    <row r="10" spans="1:16">
      <c r="A10" s="4">
        <v>7</v>
      </c>
      <c r="B10" s="4" t="s">
        <v>19</v>
      </c>
      <c r="C10" s="4">
        <v>47000</v>
      </c>
      <c r="D10" s="4"/>
      <c r="E10" s="4">
        <v>7</v>
      </c>
      <c r="F10" s="6" t="s">
        <v>20</v>
      </c>
      <c r="G10" s="4">
        <v>270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124</v>
      </c>
      <c r="C11" s="4"/>
      <c r="D11" s="4"/>
      <c r="E11" s="4">
        <v>8</v>
      </c>
      <c r="F11" s="6" t="s">
        <v>757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50</v>
      </c>
      <c r="C12" s="4"/>
      <c r="D12" s="4"/>
      <c r="E12" s="4">
        <v>9</v>
      </c>
      <c r="F12" s="4" t="s">
        <v>27</v>
      </c>
      <c r="G12" s="4">
        <v>15000</v>
      </c>
      <c r="K12" s="1">
        <f>27-33</f>
        <v>-6</v>
      </c>
    </row>
    <row r="13" spans="1:16">
      <c r="A13" s="4">
        <v>10</v>
      </c>
      <c r="B13" s="4" t="s">
        <v>763</v>
      </c>
      <c r="C13" s="4">
        <v>30700</v>
      </c>
      <c r="D13" s="4"/>
      <c r="E13" s="4">
        <v>10</v>
      </c>
      <c r="F13" s="4" t="s">
        <v>434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127</v>
      </c>
      <c r="C14" s="4"/>
      <c r="D14" s="4"/>
      <c r="E14" s="4">
        <v>11</v>
      </c>
      <c r="F14" s="4" t="s">
        <v>71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6" t="s">
        <v>24</v>
      </c>
      <c r="C15" s="4"/>
      <c r="D15" s="4"/>
      <c r="E15" s="4">
        <v>12</v>
      </c>
      <c r="F15" s="4" t="s">
        <v>216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730</v>
      </c>
      <c r="C16" s="4"/>
      <c r="D16" s="4"/>
      <c r="E16" s="4">
        <v>13</v>
      </c>
      <c r="F16" s="4" t="s">
        <v>135</v>
      </c>
      <c r="G16" s="4">
        <v>40628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4" t="s">
        <v>547</v>
      </c>
      <c r="C17" s="4"/>
      <c r="D17" s="4"/>
      <c r="E17" s="4">
        <v>14</v>
      </c>
      <c r="F17" s="4" t="s">
        <v>588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619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792330</v>
      </c>
      <c r="D19" s="5"/>
      <c r="E19" s="5"/>
      <c r="F19" s="5"/>
      <c r="G19" s="5">
        <f>SUM(G4:G18)</f>
        <v>756518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35812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Q36"/>
  <sheetViews>
    <sheetView zoomScale="145" zoomScaleNormal="145" workbookViewId="0">
      <selection activeCell="B10" sqref="B1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771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400000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>
        <v>1800000</v>
      </c>
      <c r="D5" s="4"/>
      <c r="E5" s="4">
        <v>2</v>
      </c>
      <c r="F5" s="4" t="s">
        <v>773</v>
      </c>
      <c r="G5" s="4">
        <v>905000</v>
      </c>
      <c r="K5" s="1">
        <f>103+85+160</f>
        <v>348</v>
      </c>
    </row>
    <row r="6" spans="1:16">
      <c r="A6" s="4">
        <v>3</v>
      </c>
      <c r="B6" s="4" t="s">
        <v>4</v>
      </c>
      <c r="C6" s="4">
        <v>410000</v>
      </c>
      <c r="D6" s="4"/>
      <c r="E6" s="4">
        <v>3</v>
      </c>
      <c r="F6" s="4" t="s">
        <v>38</v>
      </c>
      <c r="G6" s="4">
        <v>3000000</v>
      </c>
      <c r="N6" s="1">
        <f>190+120</f>
        <v>310</v>
      </c>
    </row>
    <row r="7" spans="1:16">
      <c r="A7" s="4">
        <v>4</v>
      </c>
      <c r="B7" s="4" t="s">
        <v>17</v>
      </c>
      <c r="C7" s="4">
        <v>500000</v>
      </c>
      <c r="D7" s="4"/>
      <c r="E7" s="4">
        <v>4</v>
      </c>
      <c r="F7" s="4" t="s">
        <v>18</v>
      </c>
      <c r="G7" s="4">
        <v>800000</v>
      </c>
    </row>
    <row r="8" spans="1:16">
      <c r="A8" s="4">
        <v>5</v>
      </c>
      <c r="B8" s="4" t="s">
        <v>775</v>
      </c>
      <c r="C8" s="4">
        <v>1500000</v>
      </c>
      <c r="D8" s="4"/>
      <c r="E8" s="4">
        <v>5</v>
      </c>
      <c r="F8" s="4" t="s">
        <v>10</v>
      </c>
      <c r="G8" s="4">
        <v>315</v>
      </c>
      <c r="K8" s="1">
        <f>310+200</f>
        <v>510</v>
      </c>
    </row>
    <row r="9" spans="1:16">
      <c r="A9" s="4">
        <v>6</v>
      </c>
      <c r="B9" s="4" t="s">
        <v>156</v>
      </c>
      <c r="C9" s="4">
        <v>50000</v>
      </c>
      <c r="D9" s="4"/>
      <c r="E9" s="4">
        <v>6</v>
      </c>
      <c r="F9" s="4" t="s">
        <v>9</v>
      </c>
      <c r="G9" s="4">
        <v>350</v>
      </c>
      <c r="K9" s="1">
        <v>80</v>
      </c>
    </row>
    <row r="10" spans="1:16">
      <c r="A10" s="4">
        <v>7</v>
      </c>
      <c r="B10" s="4" t="s">
        <v>7</v>
      </c>
      <c r="C10" s="4">
        <v>62390</v>
      </c>
      <c r="D10" s="4"/>
      <c r="E10" s="4">
        <v>7</v>
      </c>
      <c r="F10" s="6" t="s">
        <v>20</v>
      </c>
      <c r="G10" s="4">
        <v>235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>
        <v>72000</v>
      </c>
      <c r="D11" s="4"/>
      <c r="E11" s="4">
        <v>8</v>
      </c>
      <c r="F11" s="4" t="s">
        <v>769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>
        <v>122110</v>
      </c>
      <c r="D12" s="4"/>
      <c r="E12" s="4">
        <v>9</v>
      </c>
      <c r="F12" s="4" t="s">
        <v>776</v>
      </c>
      <c r="G12" s="4">
        <v>1400</v>
      </c>
      <c r="K12" s="1">
        <f>27-33</f>
        <v>-6</v>
      </c>
    </row>
    <row r="13" spans="1:16">
      <c r="A13" s="4">
        <v>10</v>
      </c>
      <c r="B13" s="4" t="s">
        <v>774</v>
      </c>
      <c r="C13" s="4">
        <v>100000</v>
      </c>
      <c r="D13" s="4"/>
      <c r="E13" s="4">
        <v>10</v>
      </c>
      <c r="F13" s="4" t="s">
        <v>770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459</v>
      </c>
      <c r="C14" s="4">
        <v>30000</v>
      </c>
      <c r="D14" s="4"/>
      <c r="E14" s="4">
        <v>11</v>
      </c>
      <c r="F14" s="4" t="s">
        <v>766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>
        <v>45000</v>
      </c>
      <c r="D15" s="4"/>
      <c r="E15" s="4">
        <v>12</v>
      </c>
      <c r="F15" s="4" t="s">
        <v>767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5000</v>
      </c>
      <c r="D16" s="4"/>
      <c r="E16" s="4">
        <v>13</v>
      </c>
      <c r="F16" s="4" t="s">
        <v>768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24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>
        <v>25000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5121500</v>
      </c>
      <c r="D19" s="5"/>
      <c r="E19" s="5"/>
      <c r="F19" s="5"/>
      <c r="G19" s="5">
        <f>SUM(G4:G18)</f>
        <v>5107300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14200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Q36"/>
  <sheetViews>
    <sheetView zoomScale="145" zoomScaleNormal="145" workbookViewId="0">
      <selection activeCell="F20" sqref="F2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771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77013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4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9</v>
      </c>
      <c r="G9" s="4">
        <v>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769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/>
      <c r="D12" s="4"/>
      <c r="E12" s="4">
        <v>9</v>
      </c>
      <c r="F12" s="4" t="s">
        <v>776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778</v>
      </c>
      <c r="G13" s="4">
        <v>2190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459</v>
      </c>
      <c r="C14" s="4"/>
      <c r="D14" s="4"/>
      <c r="E14" s="4">
        <v>11</v>
      </c>
      <c r="F14" s="4" t="s">
        <v>766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767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777</v>
      </c>
      <c r="G16" s="4">
        <v>56173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24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77013</v>
      </c>
      <c r="D19" s="5"/>
      <c r="E19" s="5"/>
      <c r="F19" s="5"/>
      <c r="G19" s="5">
        <f>SUM(G4:G18)</f>
        <v>58413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18600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779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192100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4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9</v>
      </c>
      <c r="G9" s="4">
        <v>150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769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/>
      <c r="D12" s="4"/>
      <c r="E12" s="4">
        <v>9</v>
      </c>
      <c r="F12" s="4" t="s">
        <v>776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423</v>
      </c>
      <c r="G13" s="4">
        <v>1500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459</v>
      </c>
      <c r="C14" s="4"/>
      <c r="D14" s="4"/>
      <c r="E14" s="4">
        <v>11</v>
      </c>
      <c r="F14" s="4" t="s">
        <v>766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767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777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>
        <v>6000</v>
      </c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>
        <v>5000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203100</v>
      </c>
      <c r="D19" s="5"/>
      <c r="E19" s="5"/>
      <c r="F19" s="5"/>
      <c r="G19" s="5">
        <f>SUM(G4:G18)</f>
        <v>201650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1450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Q36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780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199830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4</v>
      </c>
      <c r="C6" s="4"/>
      <c r="D6" s="4"/>
      <c r="E6" s="4">
        <v>3</v>
      </c>
      <c r="F6" s="4" t="s">
        <v>38</v>
      </c>
      <c r="G6" s="4">
        <v>300000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124</v>
      </c>
      <c r="C9" s="4">
        <v>100000</v>
      </c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781</v>
      </c>
      <c r="G11" s="4">
        <v>200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/>
      <c r="D12" s="4"/>
      <c r="E12" s="4">
        <v>9</v>
      </c>
      <c r="F12" s="4" t="s">
        <v>776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782</v>
      </c>
      <c r="G13" s="4">
        <v>30000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459</v>
      </c>
      <c r="C14" s="4"/>
      <c r="D14" s="4"/>
      <c r="E14" s="4">
        <v>11</v>
      </c>
      <c r="F14" s="4" t="s">
        <v>263</v>
      </c>
      <c r="G14" s="4">
        <v>750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140</v>
      </c>
      <c r="G15" s="4">
        <v>15000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777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349830</v>
      </c>
      <c r="D19" s="5"/>
      <c r="E19" s="5"/>
      <c r="F19" s="5"/>
      <c r="G19" s="5">
        <f>SUM(G4:G18)</f>
        <v>346300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3530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Q36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783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>
        <v>35275</v>
      </c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4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40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235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309</v>
      </c>
      <c r="G11" s="4">
        <v>15000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/>
      <c r="D12" s="4"/>
      <c r="E12" s="4">
        <v>9</v>
      </c>
      <c r="F12" s="4" t="s">
        <v>776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782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459</v>
      </c>
      <c r="C14" s="4"/>
      <c r="D14" s="4"/>
      <c r="E14" s="4">
        <v>11</v>
      </c>
      <c r="F14" s="4" t="s">
        <v>263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140</v>
      </c>
      <c r="G15" s="4">
        <v>10000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777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35275</v>
      </c>
      <c r="D19" s="5"/>
      <c r="E19" s="5"/>
      <c r="F19" s="5"/>
      <c r="G19" s="5">
        <f>SUM(G4:G18)</f>
        <v>25275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10000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Q36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784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>
        <v>269700</v>
      </c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97725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47700</v>
      </c>
      <c r="D10" s="4"/>
      <c r="E10" s="4">
        <v>7</v>
      </c>
      <c r="F10" s="6" t="s">
        <v>20</v>
      </c>
      <c r="G10" s="4">
        <v>190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309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/>
      <c r="D12" s="4"/>
      <c r="E12" s="4">
        <v>9</v>
      </c>
      <c r="F12" s="4" t="s">
        <v>434</v>
      </c>
      <c r="G12" s="4">
        <v>11000</v>
      </c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782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459</v>
      </c>
      <c r="C14" s="4"/>
      <c r="D14" s="4"/>
      <c r="E14" s="4">
        <v>11</v>
      </c>
      <c r="F14" s="4" t="s">
        <v>263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140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777</v>
      </c>
      <c r="G16" s="4">
        <v>73925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415125</v>
      </c>
      <c r="D19" s="5"/>
      <c r="E19" s="5"/>
      <c r="F19" s="5"/>
      <c r="G19" s="5">
        <f>SUM(G4:G18)</f>
        <v>385365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29760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2"/>
  <sheetViews>
    <sheetView zoomScale="145" zoomScaleNormal="145" workbookViewId="0">
      <selection activeCell="G6" sqref="G6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2.140625" style="1" customWidth="1"/>
    <col min="4" max="4" width="5" style="1" customWidth="1"/>
    <col min="5" max="5" width="5.7109375" style="1" customWidth="1"/>
    <col min="6" max="6" width="18.140625" style="1" customWidth="1"/>
    <col min="7" max="7" width="18.28515625" style="1" customWidth="1"/>
    <col min="8" max="16384" width="9.140625" style="1"/>
  </cols>
  <sheetData>
    <row r="1" spans="1:7" ht="17.25">
      <c r="B1" s="1" t="s">
        <v>21</v>
      </c>
      <c r="F1" s="2" t="s">
        <v>14</v>
      </c>
      <c r="G1" s="3" t="s">
        <v>22</v>
      </c>
    </row>
    <row r="3" spans="1:7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7">
      <c r="A4" s="4">
        <v>1</v>
      </c>
      <c r="B4" s="4" t="s">
        <v>4</v>
      </c>
      <c r="C4" s="4">
        <v>500950</v>
      </c>
      <c r="D4" s="4"/>
      <c r="E4" s="4">
        <v>1</v>
      </c>
      <c r="F4" s="4" t="s">
        <v>5</v>
      </c>
      <c r="G4" s="4">
        <v>150000</v>
      </c>
    </row>
    <row r="5" spans="1:7">
      <c r="A5" s="4">
        <v>2</v>
      </c>
      <c r="B5" s="4" t="s">
        <v>6</v>
      </c>
      <c r="C5" s="4">
        <v>123500</v>
      </c>
      <c r="D5" s="4"/>
      <c r="E5" s="4">
        <v>2</v>
      </c>
      <c r="F5" s="4" t="s">
        <v>16</v>
      </c>
      <c r="G5" s="4">
        <v>300000</v>
      </c>
    </row>
    <row r="6" spans="1:7">
      <c r="A6" s="4">
        <v>3</v>
      </c>
      <c r="B6" s="4" t="s">
        <v>23</v>
      </c>
      <c r="C6" s="4">
        <v>22000</v>
      </c>
      <c r="D6" s="4"/>
      <c r="E6" s="4">
        <v>3</v>
      </c>
      <c r="F6" s="4" t="s">
        <v>18</v>
      </c>
      <c r="G6" s="4">
        <v>100000</v>
      </c>
    </row>
    <row r="7" spans="1:7">
      <c r="A7" s="4">
        <v>4</v>
      </c>
      <c r="B7" s="4" t="s">
        <v>24</v>
      </c>
      <c r="C7" s="4">
        <v>25500</v>
      </c>
      <c r="D7" s="4"/>
      <c r="E7" s="4">
        <v>4</v>
      </c>
      <c r="F7" s="4" t="s">
        <v>9</v>
      </c>
      <c r="G7" s="4">
        <v>250</v>
      </c>
    </row>
    <row r="8" spans="1:7">
      <c r="A8" s="4">
        <v>5</v>
      </c>
      <c r="B8" s="4" t="s">
        <v>25</v>
      </c>
      <c r="C8" s="4">
        <v>0</v>
      </c>
      <c r="D8" s="4"/>
      <c r="E8" s="4">
        <v>5</v>
      </c>
      <c r="F8" s="4" t="s">
        <v>10</v>
      </c>
      <c r="G8" s="4">
        <v>320</v>
      </c>
    </row>
    <row r="9" spans="1:7">
      <c r="A9" s="4">
        <v>6</v>
      </c>
      <c r="B9" s="4"/>
      <c r="C9" s="4"/>
      <c r="D9" s="4"/>
      <c r="E9" s="4">
        <v>6</v>
      </c>
      <c r="F9" s="4" t="s">
        <v>20</v>
      </c>
      <c r="G9" s="4">
        <v>195</v>
      </c>
    </row>
    <row r="10" spans="1:7">
      <c r="A10" s="4">
        <v>7</v>
      </c>
      <c r="B10" s="4"/>
      <c r="C10" s="4"/>
      <c r="D10" s="4"/>
      <c r="E10" s="4">
        <v>7</v>
      </c>
      <c r="F10" s="4" t="s">
        <v>26</v>
      </c>
      <c r="G10" s="4">
        <v>6000</v>
      </c>
    </row>
    <row r="11" spans="1:7">
      <c r="A11" s="4">
        <v>8</v>
      </c>
      <c r="B11" s="4"/>
      <c r="C11" s="4"/>
      <c r="D11" s="4"/>
      <c r="E11" s="4">
        <v>8</v>
      </c>
      <c r="F11" s="4" t="s">
        <v>27</v>
      </c>
      <c r="G11" s="4">
        <v>10000</v>
      </c>
    </row>
    <row r="12" spans="1:7">
      <c r="A12" s="4">
        <v>9</v>
      </c>
      <c r="B12" s="4"/>
      <c r="C12" s="4"/>
      <c r="D12" s="4"/>
      <c r="E12" s="4">
        <v>9</v>
      </c>
      <c r="F12" s="4"/>
      <c r="G12" s="4"/>
    </row>
    <row r="13" spans="1:7">
      <c r="A13" s="4">
        <v>10</v>
      </c>
      <c r="B13" s="4"/>
      <c r="C13" s="4"/>
      <c r="D13" s="4"/>
      <c r="E13" s="4">
        <v>10</v>
      </c>
      <c r="F13" s="4"/>
      <c r="G13" s="4"/>
    </row>
    <row r="14" spans="1:7">
      <c r="A14" s="4">
        <v>11</v>
      </c>
      <c r="B14" s="4"/>
      <c r="C14" s="4"/>
      <c r="D14" s="4"/>
      <c r="E14" s="4">
        <v>11</v>
      </c>
      <c r="F14" s="4"/>
      <c r="G14" s="4"/>
    </row>
    <row r="15" spans="1:7">
      <c r="A15" s="4">
        <v>12</v>
      </c>
      <c r="B15" s="4"/>
      <c r="C15" s="4"/>
      <c r="D15" s="4"/>
      <c r="E15" s="4">
        <v>12</v>
      </c>
      <c r="F15" s="4" t="s">
        <v>6</v>
      </c>
      <c r="G15" s="4">
        <v>36272</v>
      </c>
    </row>
    <row r="16" spans="1:7">
      <c r="A16" s="4">
        <v>13</v>
      </c>
      <c r="B16" s="4"/>
      <c r="C16" s="4"/>
      <c r="D16" s="4"/>
      <c r="E16" s="4">
        <v>13</v>
      </c>
      <c r="F16" s="4" t="s">
        <v>28</v>
      </c>
      <c r="G16" s="4">
        <v>68910</v>
      </c>
    </row>
    <row r="17" spans="1:7">
      <c r="A17" s="4">
        <v>14</v>
      </c>
      <c r="B17" s="4"/>
      <c r="C17" s="4"/>
      <c r="D17" s="4"/>
      <c r="E17" s="4">
        <v>14</v>
      </c>
      <c r="F17" s="4"/>
      <c r="G17" s="4"/>
    </row>
    <row r="18" spans="1:7">
      <c r="A18" s="4">
        <v>15</v>
      </c>
      <c r="B18" s="4"/>
      <c r="C18" s="4"/>
      <c r="D18" s="4"/>
      <c r="E18" s="4">
        <v>15</v>
      </c>
      <c r="F18" s="4"/>
      <c r="G18" s="4"/>
    </row>
    <row r="19" spans="1:7">
      <c r="A19" s="5"/>
      <c r="B19" s="5"/>
      <c r="C19" s="5">
        <f>SUM(C4:C18)</f>
        <v>671950</v>
      </c>
      <c r="D19" s="5"/>
      <c r="E19" s="5"/>
      <c r="F19" s="5"/>
      <c r="G19" s="5">
        <f>SUM(G4:G18)</f>
        <v>671947</v>
      </c>
    </row>
    <row r="20" spans="1:7">
      <c r="A20" s="5"/>
      <c r="B20" s="5"/>
      <c r="C20" s="5"/>
      <c r="D20" s="5"/>
      <c r="E20" s="5"/>
      <c r="F20" s="5"/>
      <c r="G20" s="5"/>
    </row>
    <row r="21" spans="1:7">
      <c r="A21" s="5"/>
      <c r="B21" s="5"/>
      <c r="C21" s="5"/>
      <c r="D21" s="5"/>
      <c r="E21" s="5"/>
      <c r="F21" s="5"/>
      <c r="G21" s="5"/>
    </row>
    <row r="22" spans="1:7">
      <c r="A22" s="5"/>
      <c r="B22" s="5" t="s">
        <v>12</v>
      </c>
      <c r="C22" s="5">
        <f>C19-G19</f>
        <v>3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N23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118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452000</v>
      </c>
      <c r="D4" s="4"/>
      <c r="E4" s="4">
        <v>1</v>
      </c>
      <c r="F4" s="4" t="s">
        <v>5</v>
      </c>
      <c r="G4" s="4">
        <v>350000</v>
      </c>
    </row>
    <row r="5" spans="1:14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4">
      <c r="A6" s="4">
        <v>3</v>
      </c>
      <c r="B6" s="4" t="s">
        <v>6</v>
      </c>
      <c r="C6" s="4">
        <v>248621</v>
      </c>
      <c r="D6" s="4"/>
      <c r="E6" s="4">
        <v>3</v>
      </c>
      <c r="F6" s="4" t="s">
        <v>38</v>
      </c>
      <c r="G6" s="4">
        <v>280000</v>
      </c>
    </row>
    <row r="7" spans="1:14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4">
      <c r="A8" s="4">
        <v>5</v>
      </c>
      <c r="B8" s="4" t="s">
        <v>109</v>
      </c>
      <c r="C8" s="4"/>
      <c r="D8" s="4"/>
      <c r="E8" s="4">
        <v>5</v>
      </c>
      <c r="F8" s="4" t="s">
        <v>9</v>
      </c>
      <c r="G8" s="4">
        <v>250</v>
      </c>
    </row>
    <row r="9" spans="1:14">
      <c r="A9" s="4">
        <v>6</v>
      </c>
      <c r="B9" s="4" t="s">
        <v>110</v>
      </c>
      <c r="C9" s="4"/>
      <c r="D9" s="4"/>
      <c r="E9" s="4">
        <v>6</v>
      </c>
      <c r="F9" s="4" t="s">
        <v>65</v>
      </c>
      <c r="G9" s="4">
        <v>1000</v>
      </c>
    </row>
    <row r="10" spans="1:14">
      <c r="A10" s="4">
        <v>7</v>
      </c>
      <c r="B10" s="4" t="s">
        <v>107</v>
      </c>
      <c r="C10" s="4"/>
      <c r="D10" s="4"/>
      <c r="E10" s="4">
        <v>7</v>
      </c>
      <c r="F10" s="4" t="s">
        <v>114</v>
      </c>
      <c r="G10" s="4"/>
    </row>
    <row r="11" spans="1:14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115</v>
      </c>
      <c r="G11" s="4"/>
    </row>
    <row r="12" spans="1:14">
      <c r="A12" s="4">
        <v>9</v>
      </c>
      <c r="B12" s="4" t="s">
        <v>19</v>
      </c>
      <c r="C12" s="4">
        <v>128000</v>
      </c>
      <c r="D12" s="4"/>
      <c r="E12" s="4">
        <v>9</v>
      </c>
      <c r="F12" s="4" t="s">
        <v>119</v>
      </c>
      <c r="G12" s="4">
        <v>11900</v>
      </c>
    </row>
    <row r="13" spans="1:14">
      <c r="A13" s="4">
        <v>10</v>
      </c>
      <c r="B13" s="4" t="s">
        <v>58</v>
      </c>
      <c r="C13" s="4"/>
      <c r="D13" s="4"/>
      <c r="E13" s="4">
        <v>10</v>
      </c>
      <c r="F13" s="4" t="s">
        <v>117</v>
      </c>
      <c r="G13" s="4"/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101600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K17" s="1">
        <f>36589-16000</f>
        <v>20589</v>
      </c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  <c r="K18" s="1">
        <f>9050+11110+20589</f>
        <v>40749</v>
      </c>
    </row>
    <row r="19" spans="1:12">
      <c r="A19" s="5"/>
      <c r="B19" s="5"/>
      <c r="C19" s="5">
        <f>SUM(C4:C18)</f>
        <v>878621</v>
      </c>
      <c r="D19" s="5"/>
      <c r="E19" s="5"/>
      <c r="F19" s="5"/>
      <c r="G19" s="5">
        <f>SUM(G4:G18)</f>
        <v>744965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133656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Q36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786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/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309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>
        <v>100000</v>
      </c>
      <c r="D12" s="4"/>
      <c r="E12" s="4">
        <v>9</v>
      </c>
      <c r="F12" s="4" t="s">
        <v>434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782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459</v>
      </c>
      <c r="C14" s="4"/>
      <c r="D14" s="4"/>
      <c r="E14" s="4">
        <v>11</v>
      </c>
      <c r="F14" s="4" t="s">
        <v>263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140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777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100000</v>
      </c>
      <c r="D19" s="5"/>
      <c r="E19" s="5"/>
      <c r="F19" s="5"/>
      <c r="G19" s="5">
        <f>SUM(G4:G18)</f>
        <v>100000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Q36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785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475500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73925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>
        <v>205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309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/>
      <c r="D12" s="4"/>
      <c r="E12" s="4">
        <v>9</v>
      </c>
      <c r="F12" s="4" t="s">
        <v>434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782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>
        <v>4500</v>
      </c>
      <c r="D14" s="4"/>
      <c r="E14" s="4">
        <v>11</v>
      </c>
      <c r="F14" s="4" t="s">
        <v>263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140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17000</v>
      </c>
      <c r="D16" s="4"/>
      <c r="E16" s="4">
        <v>13</v>
      </c>
      <c r="F16" s="4" t="s">
        <v>777</v>
      </c>
      <c r="G16" s="4">
        <v>66923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>
        <v>6000</v>
      </c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626925</v>
      </c>
      <c r="D19" s="5"/>
      <c r="E19" s="5"/>
      <c r="F19" s="5"/>
      <c r="G19" s="5">
        <f>SUM(G4:G18)</f>
        <v>617478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9447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787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365900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56180</v>
      </c>
      <c r="D10" s="4"/>
      <c r="E10" s="4">
        <v>7</v>
      </c>
      <c r="F10" s="6" t="s">
        <v>20</v>
      </c>
      <c r="G10" s="4">
        <v>485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309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>
        <v>165310</v>
      </c>
      <c r="D12" s="4"/>
      <c r="E12" s="4">
        <v>9</v>
      </c>
      <c r="F12" s="4" t="s">
        <v>434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782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263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140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777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587390</v>
      </c>
      <c r="D19" s="5"/>
      <c r="E19" s="5"/>
      <c r="F19" s="5"/>
      <c r="G19" s="5">
        <f>SUM(G4:G18)</f>
        <v>500735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86655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Q36"/>
  <sheetViews>
    <sheetView zoomScale="145" zoomScaleNormal="145" workbookViewId="0">
      <selection activeCell="C6" sqref="C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788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137020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>
        <v>2850</v>
      </c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230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309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/>
      <c r="D12" s="4"/>
      <c r="E12" s="4">
        <v>9</v>
      </c>
      <c r="F12" s="4" t="s">
        <v>133</v>
      </c>
      <c r="G12" s="4">
        <v>2000</v>
      </c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789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263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140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777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139870</v>
      </c>
      <c r="D19" s="5"/>
      <c r="E19" s="5"/>
      <c r="F19" s="5"/>
      <c r="G19" s="5">
        <f>SUM(G4:G18)</f>
        <v>104480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35390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790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145000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775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215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791</v>
      </c>
      <c r="G11" s="4">
        <v>3200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/>
      <c r="D12" s="4"/>
      <c r="E12" s="4">
        <v>9</v>
      </c>
      <c r="F12" s="4" t="s">
        <v>133</v>
      </c>
      <c r="G12" s="4">
        <v>2000</v>
      </c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114</v>
      </c>
      <c r="G13" s="4">
        <v>5500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669</v>
      </c>
      <c r="G14" s="4">
        <v>3000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311</v>
      </c>
      <c r="G15" s="4">
        <v>103000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792</v>
      </c>
      <c r="G16" s="4">
        <v>1500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145000</v>
      </c>
      <c r="D19" s="5"/>
      <c r="E19" s="5"/>
      <c r="F19" s="5"/>
      <c r="G19" s="5">
        <f>SUM(G4:G18)</f>
        <v>118665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26335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dimension ref="A1:Q36"/>
  <sheetViews>
    <sheetView zoomScale="145" zoomScaleNormal="145" workbookViewId="0">
      <selection activeCell="F11" sqref="F11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793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205200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794</v>
      </c>
      <c r="C8" s="4">
        <v>400000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>
        <v>210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467</v>
      </c>
      <c r="G11" s="4">
        <v>100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/>
      <c r="D12" s="4"/>
      <c r="E12" s="4">
        <v>9</v>
      </c>
      <c r="F12" s="4" t="s">
        <v>41</v>
      </c>
      <c r="G12" s="4">
        <v>2509</v>
      </c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696</v>
      </c>
      <c r="G13" s="4">
        <v>50000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669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311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792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655200</v>
      </c>
      <c r="D19" s="5"/>
      <c r="E19" s="5"/>
      <c r="F19" s="5"/>
      <c r="G19" s="5">
        <f>SUM(G4:G18)</f>
        <v>403169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252031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795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464000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66923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794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45580</v>
      </c>
      <c r="D10" s="4"/>
      <c r="E10" s="4">
        <v>7</v>
      </c>
      <c r="F10" s="6" t="s">
        <v>20</v>
      </c>
      <c r="G10" s="4">
        <v>300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467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19</v>
      </c>
      <c r="C12" s="4">
        <v>100000</v>
      </c>
      <c r="D12" s="4"/>
      <c r="E12" s="4">
        <v>9</v>
      </c>
      <c r="F12" s="4" t="s">
        <v>41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696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669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772</v>
      </c>
      <c r="C15" s="4"/>
      <c r="D15" s="4"/>
      <c r="E15" s="4">
        <v>12</v>
      </c>
      <c r="F15" s="4" t="s">
        <v>311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45433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676503</v>
      </c>
      <c r="D19" s="5"/>
      <c r="E19" s="5"/>
      <c r="F19" s="5"/>
      <c r="G19" s="5">
        <f>SUM(G4:G18)</f>
        <v>645983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30520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dimension ref="A1:Q36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797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182600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794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796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798</v>
      </c>
      <c r="C12" s="4">
        <v>17850</v>
      </c>
      <c r="D12" s="4"/>
      <c r="E12" s="4">
        <v>9</v>
      </c>
      <c r="F12" s="4" t="s">
        <v>195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696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169</v>
      </c>
      <c r="G14" s="4">
        <v>750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>
        <v>3000</v>
      </c>
      <c r="D15" s="4"/>
      <c r="E15" s="4">
        <v>12</v>
      </c>
      <c r="F15" s="4" t="s">
        <v>117</v>
      </c>
      <c r="G15" s="4">
        <v>450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203450</v>
      </c>
      <c r="D19" s="5"/>
      <c r="E19" s="5"/>
      <c r="F19" s="5"/>
      <c r="G19" s="5">
        <f>SUM(G4:G18)</f>
        <v>1450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202000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799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206140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93935</v>
      </c>
      <c r="D6" s="4"/>
      <c r="E6" s="4">
        <v>3</v>
      </c>
      <c r="F6" s="4" t="s">
        <v>38</v>
      </c>
      <c r="G6" s="4">
        <v>365000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>
        <v>160000</v>
      </c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>
        <v>320000</v>
      </c>
      <c r="D9" s="4"/>
      <c r="E9" s="4">
        <v>6</v>
      </c>
      <c r="F9" s="4" t="s">
        <v>9</v>
      </c>
      <c r="G9" s="4">
        <v>300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>
        <v>60000</v>
      </c>
      <c r="D11" s="4"/>
      <c r="E11" s="4">
        <v>8</v>
      </c>
      <c r="F11" s="4" t="s">
        <v>796</v>
      </c>
      <c r="G11" s="4">
        <v>100000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>
        <v>60000</v>
      </c>
      <c r="D12" s="4"/>
      <c r="E12" s="4">
        <v>9</v>
      </c>
      <c r="F12" s="4" t="s">
        <v>195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696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800</v>
      </c>
      <c r="G14" s="4">
        <v>9000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117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89935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890075</v>
      </c>
      <c r="D19" s="5"/>
      <c r="E19" s="5"/>
      <c r="F19" s="5"/>
      <c r="G19" s="5">
        <f>SUM(G4:G18)</f>
        <v>724235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165840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dimension ref="A1:Q36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801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500000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/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796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/>
      <c r="D12" s="4"/>
      <c r="E12" s="4">
        <v>9</v>
      </c>
      <c r="F12" s="4" t="s">
        <v>195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696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800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9</v>
      </c>
      <c r="G15" s="4">
        <v>250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>
        <v>1000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501000</v>
      </c>
      <c r="D19" s="5"/>
      <c r="E19" s="5"/>
      <c r="F19" s="5"/>
      <c r="G19" s="5">
        <f>SUM(G4:G18)</f>
        <v>500250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750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N23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120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550000</v>
      </c>
      <c r="D4" s="4"/>
      <c r="E4" s="4">
        <v>1</v>
      </c>
      <c r="F4" s="4" t="s">
        <v>5</v>
      </c>
      <c r="G4" s="4"/>
    </row>
    <row r="5" spans="1:14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400000</v>
      </c>
    </row>
    <row r="6" spans="1:14">
      <c r="A6" s="4">
        <v>3</v>
      </c>
      <c r="B6" s="4" t="s">
        <v>6</v>
      </c>
      <c r="C6" s="4">
        <v>135146</v>
      </c>
      <c r="D6" s="4"/>
      <c r="E6" s="4">
        <v>3</v>
      </c>
      <c r="F6" s="4" t="s">
        <v>38</v>
      </c>
      <c r="G6" s="4">
        <v>150000</v>
      </c>
    </row>
    <row r="7" spans="1:14">
      <c r="A7" s="4">
        <v>4</v>
      </c>
      <c r="B7" s="4" t="s">
        <v>24</v>
      </c>
      <c r="C7" s="4"/>
      <c r="D7" s="4"/>
      <c r="E7" s="4">
        <v>4</v>
      </c>
      <c r="F7" s="4" t="s">
        <v>39</v>
      </c>
      <c r="G7" s="4">
        <v>200</v>
      </c>
      <c r="K7" s="1">
        <f>30*20</f>
        <v>600</v>
      </c>
    </row>
    <row r="8" spans="1:14">
      <c r="A8" s="4">
        <v>5</v>
      </c>
      <c r="B8" s="4" t="s">
        <v>109</v>
      </c>
      <c r="C8" s="4"/>
      <c r="D8" s="4"/>
      <c r="E8" s="4">
        <v>5</v>
      </c>
      <c r="F8" s="4" t="s">
        <v>9</v>
      </c>
      <c r="G8" s="4">
        <v>280</v>
      </c>
    </row>
    <row r="9" spans="1:14">
      <c r="A9" s="4">
        <v>6</v>
      </c>
      <c r="B9" s="4" t="s">
        <v>110</v>
      </c>
      <c r="C9" s="4"/>
      <c r="D9" s="4"/>
      <c r="E9" s="4">
        <v>6</v>
      </c>
      <c r="F9" s="4" t="s">
        <v>65</v>
      </c>
      <c r="G9" s="4"/>
    </row>
    <row r="10" spans="1:14">
      <c r="A10" s="4">
        <v>7</v>
      </c>
      <c r="B10" s="4" t="s">
        <v>107</v>
      </c>
      <c r="C10" s="4"/>
      <c r="D10" s="4"/>
      <c r="E10" s="4">
        <v>7</v>
      </c>
      <c r="F10" s="4" t="s">
        <v>114</v>
      </c>
      <c r="G10" s="4"/>
    </row>
    <row r="11" spans="1:14">
      <c r="A11" s="4">
        <v>8</v>
      </c>
      <c r="B11" s="4" t="s">
        <v>7</v>
      </c>
      <c r="C11" s="4"/>
      <c r="D11" s="4"/>
      <c r="E11" s="4">
        <v>8</v>
      </c>
      <c r="F11" s="4" t="s">
        <v>115</v>
      </c>
      <c r="G11" s="4"/>
    </row>
    <row r="12" spans="1:14">
      <c r="A12" s="4">
        <v>9</v>
      </c>
      <c r="B12" s="4" t="s">
        <v>19</v>
      </c>
      <c r="C12" s="4"/>
      <c r="D12" s="4"/>
      <c r="E12" s="4">
        <v>9</v>
      </c>
      <c r="F12" s="4" t="s">
        <v>121</v>
      </c>
      <c r="G12" s="4">
        <v>100</v>
      </c>
    </row>
    <row r="13" spans="1:14">
      <c r="A13" s="4">
        <v>10</v>
      </c>
      <c r="B13" s="4" t="s">
        <v>58</v>
      </c>
      <c r="C13" s="4"/>
      <c r="D13" s="4"/>
      <c r="E13" s="4">
        <v>10</v>
      </c>
      <c r="F13" s="4" t="s">
        <v>117</v>
      </c>
      <c r="G13" s="4"/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85130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K17" s="1">
        <f>36589-16000</f>
        <v>20589</v>
      </c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  <c r="K18" s="1">
        <f>9050+11110+20589</f>
        <v>40749</v>
      </c>
    </row>
    <row r="19" spans="1:12">
      <c r="A19" s="5"/>
      <c r="B19" s="5"/>
      <c r="C19" s="5">
        <f>SUM(C4:C18)</f>
        <v>685146</v>
      </c>
      <c r="D19" s="5"/>
      <c r="E19" s="5"/>
      <c r="F19" s="5"/>
      <c r="G19" s="5">
        <f>SUM(G4:G18)</f>
        <v>635710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49436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dimension ref="A1:Q36"/>
  <sheetViews>
    <sheetView zoomScale="145" zoomScaleNormal="145" workbookViewId="0">
      <selection activeCell="G5" sqref="G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802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146000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/>
      <c r="K9" s="1">
        <v>80</v>
      </c>
    </row>
    <row r="10" spans="1:16">
      <c r="A10" s="4">
        <v>7</v>
      </c>
      <c r="B10" s="4" t="s">
        <v>7</v>
      </c>
      <c r="C10" s="4">
        <v>55650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796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124</v>
      </c>
      <c r="C12" s="4">
        <v>102800</v>
      </c>
      <c r="D12" s="4"/>
      <c r="E12" s="4">
        <v>9</v>
      </c>
      <c r="F12" s="4" t="s">
        <v>195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696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133</v>
      </c>
      <c r="G14" s="4">
        <v>500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9</v>
      </c>
      <c r="G15" s="4">
        <v>250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304450</v>
      </c>
      <c r="D19" s="5"/>
      <c r="E19" s="5"/>
      <c r="F19" s="5"/>
      <c r="G19" s="5">
        <f>SUM(G4:G18)</f>
        <v>300750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3700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803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76000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89935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19</v>
      </c>
      <c r="C8" s="4">
        <v>79050</v>
      </c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215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>
        <v>36000</v>
      </c>
      <c r="D11" s="4"/>
      <c r="E11" s="4">
        <v>8</v>
      </c>
      <c r="F11" s="4" t="s">
        <v>796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>
        <v>40000</v>
      </c>
      <c r="D12" s="4"/>
      <c r="E12" s="4">
        <v>9</v>
      </c>
      <c r="F12" s="4" t="s">
        <v>195</v>
      </c>
      <c r="G12" s="4"/>
      <c r="K12" s="1">
        <f>27-33</f>
        <v>-6</v>
      </c>
    </row>
    <row r="13" spans="1:16">
      <c r="A13" s="4">
        <v>10</v>
      </c>
      <c r="B13" s="4" t="s">
        <v>774</v>
      </c>
      <c r="C13" s="4"/>
      <c r="D13" s="4"/>
      <c r="E13" s="4">
        <v>10</v>
      </c>
      <c r="F13" s="4" t="s">
        <v>186</v>
      </c>
      <c r="G13" s="4">
        <v>4000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233</v>
      </c>
      <c r="C14" s="4"/>
      <c r="D14" s="4"/>
      <c r="E14" s="4">
        <v>11</v>
      </c>
      <c r="F14" s="4" t="s">
        <v>133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89935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765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320985</v>
      </c>
      <c r="D19" s="5"/>
      <c r="E19" s="5"/>
      <c r="F19" s="5"/>
      <c r="G19" s="5">
        <f>SUM(G4:G18)</f>
        <v>294400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26585</v>
      </c>
      <c r="D22" s="5"/>
      <c r="E22" s="5"/>
      <c r="F22" s="5"/>
      <c r="G22" s="5"/>
      <c r="I22" s="1">
        <f>58*12</f>
        <v>696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804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569200</v>
      </c>
      <c r="D4" s="4"/>
      <c r="E4" s="4">
        <v>1</v>
      </c>
      <c r="F4" s="4" t="s">
        <v>5</v>
      </c>
      <c r="G4" s="4">
        <v>964000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805</v>
      </c>
      <c r="C6" s="4">
        <v>330000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300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796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195</v>
      </c>
      <c r="G12" s="4"/>
      <c r="K12" s="1">
        <f>27-33</f>
        <v>-6</v>
      </c>
    </row>
    <row r="13" spans="1:16">
      <c r="A13" s="4">
        <v>10</v>
      </c>
      <c r="B13" s="4" t="s">
        <v>619</v>
      </c>
      <c r="C13" s="4">
        <v>5000</v>
      </c>
      <c r="D13" s="4"/>
      <c r="E13" s="4">
        <v>10</v>
      </c>
      <c r="F13" s="4" t="s">
        <v>186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319</v>
      </c>
      <c r="C14" s="4">
        <v>15400</v>
      </c>
      <c r="D14" s="4"/>
      <c r="E14" s="4">
        <v>11</v>
      </c>
      <c r="F14" s="4" t="s">
        <v>806</v>
      </c>
      <c r="G14" s="4">
        <v>5000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9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16000</v>
      </c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>
        <v>10000</v>
      </c>
      <c r="D17" s="4"/>
      <c r="E17" s="4">
        <v>14</v>
      </c>
      <c r="F17" s="4" t="s">
        <v>807</v>
      </c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>
        <v>24000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969600</v>
      </c>
      <c r="D19" s="5"/>
      <c r="E19" s="5"/>
      <c r="F19" s="5"/>
      <c r="G19" s="5">
        <f>SUM(G4:G18)</f>
        <v>969500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100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dimension ref="A1:Q36"/>
  <sheetViews>
    <sheetView zoomScale="145" zoomScaleNormal="145" workbookViewId="0">
      <selection activeCell="G6" sqref="G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808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100500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805</v>
      </c>
      <c r="C6" s="4">
        <v>280000</v>
      </c>
      <c r="D6" s="4"/>
      <c r="E6" s="4">
        <v>3</v>
      </c>
      <c r="F6" s="4" t="s">
        <v>38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>
        <v>210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810</v>
      </c>
      <c r="G11" s="4">
        <v>16500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>
        <v>100000</v>
      </c>
      <c r="D12" s="4"/>
      <c r="E12" s="4">
        <v>9</v>
      </c>
      <c r="F12" s="4" t="s">
        <v>398</v>
      </c>
      <c r="G12" s="4">
        <v>30000</v>
      </c>
      <c r="K12" s="1">
        <f>27-33</f>
        <v>-6</v>
      </c>
    </row>
    <row r="13" spans="1:16">
      <c r="A13" s="4">
        <v>10</v>
      </c>
      <c r="B13" s="4" t="s">
        <v>619</v>
      </c>
      <c r="C13" s="4"/>
      <c r="D13" s="4"/>
      <c r="E13" s="4">
        <v>10</v>
      </c>
      <c r="F13" s="4" t="s">
        <v>809</v>
      </c>
      <c r="G13" s="4">
        <v>30000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319</v>
      </c>
      <c r="C14" s="4"/>
      <c r="D14" s="4"/>
      <c r="E14" s="4">
        <v>11</v>
      </c>
      <c r="F14" s="4" t="s">
        <v>806</v>
      </c>
      <c r="G14" s="4">
        <v>35000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>
        <v>28000</v>
      </c>
      <c r="D15" s="4"/>
      <c r="E15" s="4">
        <v>12</v>
      </c>
      <c r="F15" s="4" t="s">
        <v>364</v>
      </c>
      <c r="G15" s="4">
        <v>10000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>
        <v>15000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573500</v>
      </c>
      <c r="D19" s="5"/>
      <c r="E19" s="5"/>
      <c r="F19" s="5"/>
      <c r="G19" s="5">
        <f>SUM(G4:G18)</f>
        <v>571960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1540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811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40000</v>
      </c>
      <c r="D4" s="4"/>
      <c r="E4" s="4">
        <v>1</v>
      </c>
      <c r="F4" s="4" t="s">
        <v>5</v>
      </c>
      <c r="G4" s="4">
        <v>100000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805</v>
      </c>
      <c r="C6" s="4"/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18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60890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733</v>
      </c>
      <c r="G11" s="4">
        <v>60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52</v>
      </c>
      <c r="G12" s="4">
        <v>80</v>
      </c>
      <c r="K12" s="1">
        <f>27-33</f>
        <v>-6</v>
      </c>
    </row>
    <row r="13" spans="1:16">
      <c r="A13" s="4">
        <v>10</v>
      </c>
      <c r="B13" s="4" t="s">
        <v>619</v>
      </c>
      <c r="C13" s="4"/>
      <c r="D13" s="4"/>
      <c r="E13" s="4">
        <v>10</v>
      </c>
      <c r="F13" s="4" t="s">
        <v>809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319</v>
      </c>
      <c r="C14" s="4"/>
      <c r="D14" s="4"/>
      <c r="E14" s="4">
        <v>11</v>
      </c>
      <c r="F14" s="4" t="s">
        <v>806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50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100890</v>
      </c>
      <c r="D19" s="5"/>
      <c r="E19" s="5"/>
      <c r="F19" s="5"/>
      <c r="G19" s="5">
        <f>SUM(G4:G18)</f>
        <v>100390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500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dimension ref="A1:Q36"/>
  <sheetViews>
    <sheetView topLeftCell="A2"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812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358510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284842</v>
      </c>
      <c r="D6" s="4"/>
      <c r="E6" s="4">
        <v>3</v>
      </c>
      <c r="F6" s="4" t="s">
        <v>813</v>
      </c>
      <c r="G6" s="4">
        <v>366000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90000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185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733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263</v>
      </c>
      <c r="G12" s="4">
        <v>750</v>
      </c>
      <c r="K12" s="1">
        <f>27-33</f>
        <v>-6</v>
      </c>
    </row>
    <row r="13" spans="1:16">
      <c r="A13" s="4">
        <v>10</v>
      </c>
      <c r="B13" s="4" t="s">
        <v>23</v>
      </c>
      <c r="C13" s="4">
        <v>20000</v>
      </c>
      <c r="D13" s="4"/>
      <c r="E13" s="4">
        <v>10</v>
      </c>
      <c r="F13" s="4" t="s">
        <v>814</v>
      </c>
      <c r="G13" s="4">
        <v>800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319</v>
      </c>
      <c r="C14" s="4">
        <v>40000</v>
      </c>
      <c r="D14" s="4"/>
      <c r="E14" s="4">
        <v>11</v>
      </c>
      <c r="F14" s="4" t="s">
        <v>806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364</v>
      </c>
      <c r="G15" s="4">
        <v>20000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30000</v>
      </c>
      <c r="D16" s="4"/>
      <c r="E16" s="4">
        <v>13</v>
      </c>
      <c r="F16" s="4" t="s">
        <v>135</v>
      </c>
      <c r="G16" s="4">
        <v>249899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815</v>
      </c>
      <c r="C18" s="4">
        <v>191850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925202</v>
      </c>
      <c r="D19" s="5"/>
      <c r="E19" s="5"/>
      <c r="F19" s="5"/>
      <c r="G19" s="5">
        <f>SUM(G4:G18)</f>
        <v>727984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197218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F25" s="1">
        <f>240/11</f>
        <v>21.818181818181817</v>
      </c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dimension ref="A1:Q36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816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191760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280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733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111</v>
      </c>
      <c r="G12" s="4">
        <v>355</v>
      </c>
      <c r="K12" s="1">
        <f>27-33</f>
        <v>-6</v>
      </c>
    </row>
    <row r="13" spans="1:16">
      <c r="A13" s="4">
        <v>10</v>
      </c>
      <c r="B13" s="4" t="s">
        <v>817</v>
      </c>
      <c r="C13" s="4">
        <v>106500</v>
      </c>
      <c r="D13" s="4"/>
      <c r="E13" s="4">
        <v>10</v>
      </c>
      <c r="F13" s="4" t="s">
        <v>814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319</v>
      </c>
      <c r="C14" s="4"/>
      <c r="D14" s="4"/>
      <c r="E14" s="4">
        <v>11</v>
      </c>
      <c r="F14" s="4" t="s">
        <v>360</v>
      </c>
      <c r="G14" s="4">
        <v>5000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815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298260</v>
      </c>
      <c r="D19" s="5"/>
      <c r="E19" s="5"/>
      <c r="F19" s="5"/>
      <c r="G19" s="5">
        <f>SUM(G4:G18)</f>
        <v>255885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42375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F25" s="1">
        <f>240/11</f>
        <v>21.818181818181817</v>
      </c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dimension ref="A1:Q36"/>
  <sheetViews>
    <sheetView zoomScale="145" zoomScaleNormal="145" workbookViewId="0">
      <selection activeCell="J24" sqref="J2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818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>
        <v>33000</v>
      </c>
      <c r="D5" s="4"/>
      <c r="E5" s="4">
        <v>2</v>
      </c>
      <c r="F5" s="4" t="s">
        <v>773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266200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60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260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733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111</v>
      </c>
      <c r="G12" s="4"/>
      <c r="K12" s="1">
        <f>27-33</f>
        <v>-6</v>
      </c>
    </row>
    <row r="13" spans="1:16">
      <c r="A13" s="4">
        <v>10</v>
      </c>
      <c r="B13" s="4" t="s">
        <v>817</v>
      </c>
      <c r="C13" s="4"/>
      <c r="D13" s="4"/>
      <c r="E13" s="4">
        <v>10</v>
      </c>
      <c r="F13" s="4" t="s">
        <v>814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319</v>
      </c>
      <c r="C14" s="4"/>
      <c r="D14" s="4"/>
      <c r="E14" s="4">
        <v>11</v>
      </c>
      <c r="F14" s="4" t="s">
        <v>360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f>C6-40000</f>
        <v>226200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815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299200</v>
      </c>
      <c r="D19" s="5"/>
      <c r="E19" s="5"/>
      <c r="F19" s="5"/>
      <c r="G19" s="5">
        <f>SUM(G4:G18)</f>
        <v>226520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72680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dimension ref="A1:Q36"/>
  <sheetViews>
    <sheetView zoomScale="145" zoomScaleNormal="145" workbookViewId="0">
      <selection activeCell="F21" sqref="F21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819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497030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>
        <v>210000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84938</v>
      </c>
      <c r="D6" s="4"/>
      <c r="E6" s="4">
        <v>3</v>
      </c>
      <c r="F6" s="4" t="s">
        <v>813</v>
      </c>
      <c r="G6" s="4">
        <v>231000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169000</v>
      </c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10</v>
      </c>
      <c r="G8" s="4">
        <v>200</v>
      </c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350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822</v>
      </c>
      <c r="G11" s="4">
        <v>10000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25</v>
      </c>
      <c r="C12" s="4">
        <v>20000</v>
      </c>
      <c r="D12" s="4"/>
      <c r="E12" s="4">
        <v>9</v>
      </c>
      <c r="F12" s="4" t="s">
        <v>111</v>
      </c>
      <c r="G12" s="4"/>
      <c r="K12" s="1">
        <f>27-33</f>
        <v>-6</v>
      </c>
    </row>
    <row r="13" spans="1:16">
      <c r="A13" s="4">
        <v>10</v>
      </c>
      <c r="B13" s="4" t="s">
        <v>470</v>
      </c>
      <c r="C13" s="4">
        <v>26120</v>
      </c>
      <c r="D13" s="4"/>
      <c r="E13" s="4">
        <v>10</v>
      </c>
      <c r="F13" s="4" t="s">
        <v>821</v>
      </c>
      <c r="G13" s="4">
        <v>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>
        <v>32000</v>
      </c>
      <c r="D14" s="4"/>
      <c r="E14" s="4">
        <v>11</v>
      </c>
      <c r="F14" s="4" t="s">
        <v>360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619</v>
      </c>
      <c r="C15" s="4">
        <v>12800</v>
      </c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>
        <v>24000</v>
      </c>
      <c r="D16" s="4"/>
      <c r="E16" s="4">
        <v>13</v>
      </c>
      <c r="F16" s="4" t="s">
        <v>135</v>
      </c>
      <c r="G16" s="4">
        <v>58074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>
        <v>28500</v>
      </c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233</v>
      </c>
      <c r="C18" s="4">
        <v>6500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881888</v>
      </c>
      <c r="D19" s="5"/>
      <c r="E19" s="5"/>
      <c r="F19" s="5"/>
      <c r="G19" s="5">
        <f>SUM(G4:G18)</f>
        <v>879824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2064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ADCB-F29F-440E-98BA-6FCDEBD8E89F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823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398400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265802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100000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290</v>
      </c>
      <c r="K9" s="1">
        <v>80</v>
      </c>
    </row>
    <row r="10" spans="1:16">
      <c r="A10" s="4">
        <v>7</v>
      </c>
      <c r="B10" s="4" t="s">
        <v>7</v>
      </c>
      <c r="C10" s="4">
        <v>15880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>
        <v>50000</v>
      </c>
      <c r="D11" s="4"/>
      <c r="E11" s="4">
        <v>8</v>
      </c>
      <c r="F11" s="4" t="s">
        <v>824</v>
      </c>
      <c r="G11" s="4">
        <v>100000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>
        <v>70000</v>
      </c>
      <c r="D12" s="4"/>
      <c r="E12" s="4">
        <v>9</v>
      </c>
      <c r="F12" s="4" t="s">
        <v>111</v>
      </c>
      <c r="G12" s="4"/>
      <c r="K12" s="1">
        <f>27-33</f>
        <v>-6</v>
      </c>
    </row>
    <row r="13" spans="1:16">
      <c r="A13" s="4">
        <v>10</v>
      </c>
      <c r="B13" s="4" t="s">
        <v>470</v>
      </c>
      <c r="C13" s="4"/>
      <c r="D13" s="4"/>
      <c r="E13" s="4">
        <v>10</v>
      </c>
      <c r="F13" s="4" t="s">
        <v>309</v>
      </c>
      <c r="G13" s="4">
        <v>48000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360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619</v>
      </c>
      <c r="C15" s="4">
        <v>21000</v>
      </c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164755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233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821082</v>
      </c>
      <c r="D19" s="5"/>
      <c r="E19" s="5"/>
      <c r="F19" s="5"/>
      <c r="G19" s="5">
        <f>SUM(G4:G18)</f>
        <v>813045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8037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F23" s="1">
        <f>11700+2800+7200+2800+1200+3180+3164+3156+8640+2280+21200+19000+5250+7920+44572+10693</f>
        <v>154755</v>
      </c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N23"/>
  <sheetViews>
    <sheetView zoomScale="145" zoomScaleNormal="145" workbookViewId="0">
      <selection activeCell="B12" sqref="B1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122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458100</v>
      </c>
      <c r="D4" s="4"/>
      <c r="E4" s="4">
        <v>1</v>
      </c>
      <c r="F4" s="4" t="s">
        <v>5</v>
      </c>
      <c r="G4" s="4">
        <v>400000</v>
      </c>
    </row>
    <row r="5" spans="1:14">
      <c r="A5" s="4">
        <v>2</v>
      </c>
      <c r="B5" s="4" t="s">
        <v>4</v>
      </c>
      <c r="C5" s="4">
        <v>165200</v>
      </c>
      <c r="D5" s="4"/>
      <c r="E5" s="4">
        <v>2</v>
      </c>
      <c r="F5" s="4" t="s">
        <v>43</v>
      </c>
      <c r="G5" s="4"/>
    </row>
    <row r="6" spans="1:14">
      <c r="A6" s="4">
        <v>3</v>
      </c>
      <c r="B6" s="4" t="s">
        <v>6</v>
      </c>
      <c r="C6" s="4">
        <v>124000</v>
      </c>
      <c r="D6" s="4"/>
      <c r="E6" s="4">
        <v>3</v>
      </c>
      <c r="F6" s="4" t="s">
        <v>38</v>
      </c>
      <c r="G6" s="4">
        <v>165000</v>
      </c>
    </row>
    <row r="7" spans="1:14">
      <c r="A7" s="4">
        <v>4</v>
      </c>
      <c r="B7" s="4"/>
      <c r="C7" s="4"/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4">
      <c r="A8" s="4">
        <v>5</v>
      </c>
      <c r="B8" s="4" t="s">
        <v>109</v>
      </c>
      <c r="C8" s="4"/>
      <c r="D8" s="4"/>
      <c r="E8" s="4">
        <v>5</v>
      </c>
      <c r="F8" s="4" t="s">
        <v>9</v>
      </c>
      <c r="G8" s="4">
        <v>300</v>
      </c>
    </row>
    <row r="9" spans="1:14">
      <c r="A9" s="4">
        <v>6</v>
      </c>
      <c r="B9" s="4" t="s">
        <v>110</v>
      </c>
      <c r="C9" s="4"/>
      <c r="D9" s="4"/>
      <c r="E9" s="4">
        <v>6</v>
      </c>
      <c r="F9" s="4" t="s">
        <v>40</v>
      </c>
      <c r="G9" s="4">
        <v>113500</v>
      </c>
    </row>
    <row r="10" spans="1:14">
      <c r="A10" s="4">
        <v>7</v>
      </c>
      <c r="B10" s="4" t="s">
        <v>24</v>
      </c>
      <c r="C10" s="4">
        <v>20000</v>
      </c>
      <c r="D10" s="4"/>
      <c r="E10" s="4">
        <v>7</v>
      </c>
      <c r="F10" s="4" t="s">
        <v>20</v>
      </c>
      <c r="G10" s="4">
        <v>410</v>
      </c>
    </row>
    <row r="11" spans="1:14">
      <c r="A11" s="4">
        <v>8</v>
      </c>
      <c r="B11" s="4" t="s">
        <v>7</v>
      </c>
      <c r="C11" s="4"/>
      <c r="D11" s="4"/>
      <c r="E11" s="4">
        <v>8</v>
      </c>
      <c r="F11" s="4" t="s">
        <v>70</v>
      </c>
      <c r="G11" s="4">
        <v>650</v>
      </c>
    </row>
    <row r="12" spans="1:14">
      <c r="A12" s="4">
        <v>9</v>
      </c>
      <c r="B12" s="4" t="s">
        <v>19</v>
      </c>
      <c r="C12" s="4"/>
      <c r="D12" s="4"/>
      <c r="E12" s="4">
        <v>9</v>
      </c>
      <c r="F12" s="4" t="s">
        <v>121</v>
      </c>
      <c r="G12" s="4"/>
    </row>
    <row r="13" spans="1:14">
      <c r="A13" s="4">
        <v>10</v>
      </c>
      <c r="B13" s="4" t="s">
        <v>58</v>
      </c>
      <c r="C13" s="4"/>
      <c r="D13" s="4"/>
      <c r="E13" s="4">
        <v>10</v>
      </c>
      <c r="F13" s="4" t="s">
        <v>117</v>
      </c>
      <c r="G13" s="4"/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84580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K17" s="1">
        <f>36589-16000</f>
        <v>20589</v>
      </c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  <c r="K18" s="1">
        <f>9050+11110+20589</f>
        <v>40749</v>
      </c>
    </row>
    <row r="19" spans="1:12">
      <c r="A19" s="5"/>
      <c r="B19" s="5"/>
      <c r="C19" s="5">
        <f>SUM(C4:C18)</f>
        <v>767300</v>
      </c>
      <c r="D19" s="5"/>
      <c r="E19" s="5"/>
      <c r="F19" s="5"/>
      <c r="G19" s="5">
        <f>SUM(G4:G18)</f>
        <v>764655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2645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2140-061B-4C9E-9438-C954709C3650}">
  <dimension ref="A1:Q36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825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164755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>
        <v>184000</v>
      </c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813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150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826</v>
      </c>
      <c r="G11" s="4">
        <v>110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287</v>
      </c>
      <c r="C12" s="4">
        <v>29000</v>
      </c>
      <c r="D12" s="4"/>
      <c r="E12" s="4">
        <v>9</v>
      </c>
      <c r="F12" s="4" t="s">
        <v>204</v>
      </c>
      <c r="G12" s="4">
        <v>100</v>
      </c>
      <c r="K12" s="1">
        <f>27-33</f>
        <v>-6</v>
      </c>
    </row>
    <row r="13" spans="1:16">
      <c r="A13" s="4">
        <v>10</v>
      </c>
      <c r="B13" s="4" t="s">
        <v>384</v>
      </c>
      <c r="C13" s="4">
        <v>7000</v>
      </c>
      <c r="D13" s="4"/>
      <c r="E13" s="4">
        <v>10</v>
      </c>
      <c r="F13" s="4" t="s">
        <v>309</v>
      </c>
      <c r="G13" s="4">
        <v>50000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>
        <v>39000</v>
      </c>
      <c r="D14" s="4"/>
      <c r="E14" s="4">
        <v>11</v>
      </c>
      <c r="F14" s="4" t="s">
        <v>360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619</v>
      </c>
      <c r="C15" s="4"/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159255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233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423755</v>
      </c>
      <c r="D19" s="5"/>
      <c r="E19" s="5"/>
      <c r="F19" s="5"/>
      <c r="G19" s="5">
        <f>SUM(G4:G18)</f>
        <v>409965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13790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F23" s="1">
        <f>11700+2800+7200+2800+1200+3180+3164+3156+8640+2280+21200+19000+5250+7920+44572+10693</f>
        <v>154755</v>
      </c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1F22-7C93-4B55-A4EB-9BB9CD18A065}">
  <dimension ref="A1:Q36"/>
  <sheetViews>
    <sheetView zoomScale="145" zoomScaleNormal="145" workbookViewId="0">
      <selection activeCell="C12" sqref="C12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827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314800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328184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120000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>
        <v>16000</v>
      </c>
      <c r="D11" s="4"/>
      <c r="E11" s="4">
        <v>8</v>
      </c>
      <c r="F11" s="4" t="s">
        <v>826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109</v>
      </c>
      <c r="C12" s="4">
        <v>49444</v>
      </c>
      <c r="D12" s="4"/>
      <c r="E12" s="4">
        <v>9</v>
      </c>
      <c r="F12" s="4" t="s">
        <v>204</v>
      </c>
      <c r="G12" s="4"/>
      <c r="K12" s="1">
        <f>27-33</f>
        <v>-6</v>
      </c>
    </row>
    <row r="13" spans="1:16">
      <c r="A13" s="4">
        <v>10</v>
      </c>
      <c r="B13" s="4" t="s">
        <v>384</v>
      </c>
      <c r="C13" s="4"/>
      <c r="D13" s="4"/>
      <c r="E13" s="4">
        <v>10</v>
      </c>
      <c r="F13" s="4" t="s">
        <v>309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>
        <v>34000</v>
      </c>
      <c r="D14" s="4"/>
      <c r="E14" s="4">
        <v>11</v>
      </c>
      <c r="F14" s="4" t="s">
        <v>360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619</v>
      </c>
      <c r="C15" s="4"/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291267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233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742428</v>
      </c>
      <c r="D19" s="5"/>
      <c r="E19" s="5"/>
      <c r="F19" s="5"/>
      <c r="G19" s="5">
        <f>SUM(G4:G18)</f>
        <v>711767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30661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F23" s="1">
        <f>11700+2800+7200+2800+1200+3180+3164+3156+8640+2280+21200+19000+5250+7920+44572+10693</f>
        <v>154755</v>
      </c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B807-230D-4749-AA0B-D14613A84A48}">
  <dimension ref="A1:Q36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828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346300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>
        <v>325000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291267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133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220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109</v>
      </c>
      <c r="C12" s="4"/>
      <c r="D12" s="4"/>
      <c r="E12" s="4">
        <v>9</v>
      </c>
      <c r="F12" s="4" t="s">
        <v>204</v>
      </c>
      <c r="G12" s="4"/>
      <c r="K12" s="1">
        <f>27-33</f>
        <v>-6</v>
      </c>
    </row>
    <row r="13" spans="1:16">
      <c r="A13" s="4">
        <v>10</v>
      </c>
      <c r="B13" s="4" t="s">
        <v>384</v>
      </c>
      <c r="C13" s="4"/>
      <c r="D13" s="4"/>
      <c r="E13" s="4">
        <v>10</v>
      </c>
      <c r="F13" s="4" t="s">
        <v>309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360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619</v>
      </c>
      <c r="C15" s="4"/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127</v>
      </c>
      <c r="C16" s="4"/>
      <c r="D16" s="4"/>
      <c r="E16" s="4">
        <v>13</v>
      </c>
      <c r="F16" s="4" t="s">
        <v>135</v>
      </c>
      <c r="G16" s="4">
        <v>247025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233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637567</v>
      </c>
      <c r="D19" s="5"/>
      <c r="E19" s="5"/>
      <c r="F19" s="5"/>
      <c r="G19" s="5">
        <f>SUM(G4:G18)</f>
        <v>572595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64972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F23" s="1">
        <f>11700+2800+7200+2800+1200+3180+3164+3156+8640+2280+21200+19000+5250+7920+44572+10693</f>
        <v>154755</v>
      </c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DC8D-C64A-4282-ACF1-C5EB850C4573}">
  <dimension ref="A1:Q36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829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389120</v>
      </c>
      <c r="D4" s="4"/>
      <c r="E4" s="4">
        <v>1</v>
      </c>
      <c r="F4" s="4" t="s">
        <v>5</v>
      </c>
      <c r="G4" s="4">
        <v>610000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262865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230000</v>
      </c>
    </row>
    <row r="8" spans="1:16">
      <c r="A8" s="4">
        <v>5</v>
      </c>
      <c r="B8" s="4" t="s">
        <v>19</v>
      </c>
      <c r="C8" s="4">
        <v>121960</v>
      </c>
      <c r="D8" s="4"/>
      <c r="E8" s="4">
        <v>5</v>
      </c>
      <c r="F8" s="4" t="s">
        <v>10</v>
      </c>
      <c r="G8" s="4">
        <v>0</v>
      </c>
      <c r="K8" s="1">
        <f>310+200</f>
        <v>510</v>
      </c>
    </row>
    <row r="9" spans="1:16">
      <c r="A9" s="4">
        <v>6</v>
      </c>
      <c r="B9" s="4" t="s">
        <v>831</v>
      </c>
      <c r="C9" s="4">
        <v>130500</v>
      </c>
      <c r="D9" s="4"/>
      <c r="E9" s="4">
        <v>6</v>
      </c>
      <c r="F9" s="4" t="s">
        <v>9</v>
      </c>
      <c r="G9" s="4">
        <v>350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>
        <v>45000</v>
      </c>
      <c r="D12" s="4"/>
      <c r="E12" s="4">
        <v>9</v>
      </c>
      <c r="F12" s="4" t="s">
        <v>830</v>
      </c>
      <c r="G12" s="4">
        <v>570</v>
      </c>
      <c r="K12" s="1">
        <f>27-33</f>
        <v>-6</v>
      </c>
    </row>
    <row r="13" spans="1:16">
      <c r="A13" s="4">
        <v>10</v>
      </c>
      <c r="B13" s="4" t="s">
        <v>384</v>
      </c>
      <c r="C13" s="4"/>
      <c r="D13" s="4"/>
      <c r="E13" s="4">
        <v>10</v>
      </c>
      <c r="F13" s="4" t="s">
        <v>82</v>
      </c>
      <c r="G13" s="4">
        <v>450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>
        <v>40000</v>
      </c>
      <c r="D14" s="4"/>
      <c r="E14" s="4">
        <v>11</v>
      </c>
      <c r="F14" s="4" t="s">
        <v>360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619</v>
      </c>
      <c r="C15" s="4">
        <v>15000</v>
      </c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832</v>
      </c>
      <c r="C16" s="4">
        <v>9030</v>
      </c>
      <c r="D16" s="4"/>
      <c r="E16" s="4">
        <v>13</v>
      </c>
      <c r="F16" s="4" t="s">
        <v>135</v>
      </c>
      <c r="G16" s="4">
        <v>229905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 t="s">
        <v>78</v>
      </c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233</v>
      </c>
      <c r="C18" s="4">
        <v>10000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1073475</v>
      </c>
      <c r="D19" s="5"/>
      <c r="E19" s="5"/>
      <c r="F19" s="5"/>
      <c r="G19" s="5">
        <f>SUM(G4:G18)</f>
        <v>1071475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2000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A1D8-42E4-4D16-BDDE-AC7D4B1C0D88}">
  <dimension ref="A1:Q36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833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46850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9500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80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270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830</v>
      </c>
      <c r="G12" s="4"/>
      <c r="K12" s="1">
        <f>27-33</f>
        <v>-6</v>
      </c>
    </row>
    <row r="13" spans="1:16">
      <c r="A13" s="4">
        <v>10</v>
      </c>
      <c r="B13" s="4" t="s">
        <v>384</v>
      </c>
      <c r="C13" s="4"/>
      <c r="D13" s="4"/>
      <c r="E13" s="4">
        <v>10</v>
      </c>
      <c r="F13" s="4" t="s">
        <v>82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360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619</v>
      </c>
      <c r="C15" s="4"/>
      <c r="D15" s="4"/>
      <c r="E15" s="4">
        <v>12</v>
      </c>
      <c r="F15" s="4" t="s">
        <v>364</v>
      </c>
      <c r="G15" s="4">
        <v>6800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832</v>
      </c>
      <c r="C16" s="4"/>
      <c r="D16" s="4"/>
      <c r="E16" s="4">
        <v>13</v>
      </c>
      <c r="F16" s="4" t="s">
        <v>135</v>
      </c>
      <c r="G16" s="4">
        <v>9500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>
        <v>14500</v>
      </c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233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56350</v>
      </c>
      <c r="D19" s="5"/>
      <c r="E19" s="5"/>
      <c r="F19" s="5"/>
      <c r="G19" s="5">
        <f>SUM(G4:G18)</f>
        <v>31150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25200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BAE8-E6BB-429B-96BC-EE841AA48037}">
  <dimension ref="A1:Q36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834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923050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>
        <v>342000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248263</v>
      </c>
      <c r="D6" s="4"/>
      <c r="E6" s="4">
        <v>3</v>
      </c>
      <c r="F6" s="4" t="s">
        <v>813</v>
      </c>
      <c r="G6" s="4">
        <v>260000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200</v>
      </c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36880</v>
      </c>
      <c r="D10" s="4"/>
      <c r="E10" s="4">
        <v>7</v>
      </c>
      <c r="F10" s="6" t="s">
        <v>20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830</v>
      </c>
      <c r="G12" s="4"/>
      <c r="K12" s="1">
        <f>27-33</f>
        <v>-6</v>
      </c>
    </row>
    <row r="13" spans="1:16">
      <c r="A13" s="4">
        <v>10</v>
      </c>
      <c r="B13" s="4" t="s">
        <v>835</v>
      </c>
      <c r="C13" s="4">
        <v>22000</v>
      </c>
      <c r="D13" s="4"/>
      <c r="E13" s="4">
        <v>10</v>
      </c>
      <c r="F13" s="4" t="s">
        <v>838</v>
      </c>
      <c r="G13" s="4">
        <v>145500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>
        <v>33000</v>
      </c>
      <c r="D14" s="4"/>
      <c r="E14" s="4">
        <v>11</v>
      </c>
      <c r="F14" s="4" t="s">
        <v>837</v>
      </c>
      <c r="G14" s="4">
        <v>10800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619</v>
      </c>
      <c r="C15" s="4"/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836</v>
      </c>
      <c r="C16" s="4">
        <v>25000</v>
      </c>
      <c r="D16" s="4"/>
      <c r="E16" s="4">
        <v>13</v>
      </c>
      <c r="F16" s="4" t="s">
        <v>135</v>
      </c>
      <c r="G16" s="4">
        <v>159783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>
        <v>16000</v>
      </c>
      <c r="D17" s="4"/>
      <c r="E17" s="4">
        <v>14</v>
      </c>
      <c r="F17" s="4"/>
      <c r="G17" s="4"/>
      <c r="I17" s="1">
        <f>330+100+240+60</f>
        <v>730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>
        <v>20000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1324193</v>
      </c>
      <c r="D19" s="5"/>
      <c r="E19" s="5"/>
      <c r="F19" s="5"/>
      <c r="G19" s="5">
        <f>SUM(G4:G18)</f>
        <v>1318783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5410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ED7F-8794-460C-9745-583D24DAF3D4}">
  <dimension ref="A1:Q36"/>
  <sheetViews>
    <sheetView zoomScale="145" zoomScaleNormal="145" workbookViewId="0">
      <selection activeCell="B16" sqref="B1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839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29000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184081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100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f>50+45+75+45+50</f>
        <v>265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830</v>
      </c>
      <c r="G12" s="4"/>
      <c r="K12" s="1">
        <f>27-33</f>
        <v>-6</v>
      </c>
    </row>
    <row r="13" spans="1:16">
      <c r="A13" s="4">
        <v>10</v>
      </c>
      <c r="B13" s="4" t="s">
        <v>835</v>
      </c>
      <c r="C13" s="4"/>
      <c r="D13" s="4"/>
      <c r="E13" s="4">
        <v>10</v>
      </c>
      <c r="F13" s="4" t="s">
        <v>838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837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494</v>
      </c>
      <c r="C15" s="4">
        <v>35000</v>
      </c>
      <c r="D15" s="4"/>
      <c r="E15" s="4">
        <v>12</v>
      </c>
      <c r="F15" s="4" t="s">
        <v>364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78</v>
      </c>
      <c r="C16" s="4"/>
      <c r="D16" s="4"/>
      <c r="E16" s="4">
        <v>13</v>
      </c>
      <c r="F16" s="4" t="s">
        <v>135</v>
      </c>
      <c r="G16" s="4">
        <v>168778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248081</v>
      </c>
      <c r="D19" s="5"/>
      <c r="E19" s="5"/>
      <c r="F19" s="5"/>
      <c r="G19" s="5">
        <f>SUM(G4:G18)</f>
        <v>169143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78938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FAD1-65CD-4F3E-84D2-F861A1AB28DA}">
  <dimension ref="A1:Q36"/>
  <sheetViews>
    <sheetView zoomScale="145" zoomScaleNormal="145" workbookViewId="0">
      <selection activeCell="C16" sqref="C1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840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428500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377965</v>
      </c>
      <c r="D6" s="4"/>
      <c r="E6" s="4">
        <v>3</v>
      </c>
      <c r="F6" s="4" t="s">
        <v>813</v>
      </c>
      <c r="G6" s="4">
        <v>255000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140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297</v>
      </c>
      <c r="G11" s="4">
        <v>200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841</v>
      </c>
      <c r="G12" s="4">
        <v>6500</v>
      </c>
      <c r="K12" s="1">
        <f>27-33</f>
        <v>-6</v>
      </c>
    </row>
    <row r="13" spans="1:16">
      <c r="A13" s="4">
        <v>10</v>
      </c>
      <c r="B13" s="4" t="s">
        <v>835</v>
      </c>
      <c r="C13" s="4"/>
      <c r="D13" s="4"/>
      <c r="E13" s="4">
        <v>10</v>
      </c>
      <c r="F13" s="4" t="s">
        <v>838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842</v>
      </c>
      <c r="C14" s="4">
        <v>40750</v>
      </c>
      <c r="D14" s="4"/>
      <c r="E14" s="4">
        <v>11</v>
      </c>
      <c r="F14" s="4"/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494</v>
      </c>
      <c r="C15" s="4"/>
      <c r="D15" s="4"/>
      <c r="E15" s="4">
        <v>12</v>
      </c>
      <c r="F15" s="4" t="s">
        <v>135</v>
      </c>
      <c r="G15" s="4">
        <v>292230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843</v>
      </c>
      <c r="C16" s="4">
        <v>15900</v>
      </c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/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863115</v>
      </c>
      <c r="D19" s="5"/>
      <c r="E19" s="5"/>
      <c r="F19" s="5"/>
      <c r="G19" s="5">
        <f>SUM(G4:G18)</f>
        <v>804420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58695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DDE2-C323-4332-814D-A9F66AD6DAF2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844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738900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>
        <v>290000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312026</v>
      </c>
      <c r="D6" s="4"/>
      <c r="E6" s="4">
        <v>3</v>
      </c>
      <c r="F6" s="4" t="s">
        <v>813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200000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200</v>
      </c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>
        <v>500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297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238</v>
      </c>
      <c r="C12" s="4"/>
      <c r="D12" s="4"/>
      <c r="E12" s="4">
        <v>9</v>
      </c>
      <c r="F12" s="4" t="s">
        <v>845</v>
      </c>
      <c r="G12" s="4">
        <v>1500</v>
      </c>
      <c r="K12" s="1">
        <f>27-33</f>
        <v>-6</v>
      </c>
    </row>
    <row r="13" spans="1:16">
      <c r="A13" s="4">
        <v>10</v>
      </c>
      <c r="B13" s="4" t="s">
        <v>835</v>
      </c>
      <c r="C13" s="4"/>
      <c r="D13" s="4"/>
      <c r="E13" s="4">
        <v>10</v>
      </c>
      <c r="F13" s="4" t="s">
        <v>838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842</v>
      </c>
      <c r="C14" s="4"/>
      <c r="D14" s="4"/>
      <c r="E14" s="4">
        <v>11</v>
      </c>
      <c r="F14" s="4"/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>
        <v>26000</v>
      </c>
      <c r="D15" s="4"/>
      <c r="E15" s="4">
        <v>12</v>
      </c>
      <c r="F15" s="4" t="s">
        <v>135</v>
      </c>
      <c r="G15" s="4">
        <v>159441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843</v>
      </c>
      <c r="C16" s="4"/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1126926</v>
      </c>
      <c r="D19" s="5"/>
      <c r="E19" s="5"/>
      <c r="F19" s="5"/>
      <c r="G19" s="5">
        <f>SUM(G4:G18)</f>
        <v>1101891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25035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7E8F-9526-43B3-AFA3-99C3275BD26D}">
  <dimension ref="A1:Q36"/>
  <sheetViews>
    <sheetView zoomScale="145" zoomScaleNormal="145" workbookViewId="0">
      <selection activeCell="C13" sqref="C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847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>
        <v>719800</v>
      </c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148742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33320</v>
      </c>
      <c r="D10" s="4"/>
      <c r="E10" s="4">
        <v>7</v>
      </c>
      <c r="F10" s="6" t="s">
        <v>20</v>
      </c>
      <c r="G10" s="4">
        <v>220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>
        <v>48000</v>
      </c>
      <c r="D11" s="4"/>
      <c r="E11" s="4">
        <v>8</v>
      </c>
      <c r="F11" s="4" t="s">
        <v>848</v>
      </c>
      <c r="G11" s="4">
        <v>550000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>
        <v>60000</v>
      </c>
      <c r="D12" s="4"/>
      <c r="E12" s="4">
        <v>9</v>
      </c>
      <c r="F12" s="4" t="s">
        <v>849</v>
      </c>
      <c r="G12" s="4">
        <v>3360</v>
      </c>
      <c r="K12" s="1">
        <f>27-33</f>
        <v>-6</v>
      </c>
    </row>
    <row r="13" spans="1:16">
      <c r="A13" s="4">
        <v>10</v>
      </c>
      <c r="B13" s="4" t="s">
        <v>835</v>
      </c>
      <c r="C13" s="4"/>
      <c r="D13" s="4"/>
      <c r="E13" s="4">
        <v>10</v>
      </c>
      <c r="F13" s="4" t="s">
        <v>838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842</v>
      </c>
      <c r="C14" s="4"/>
      <c r="D14" s="4"/>
      <c r="E14" s="4">
        <v>11</v>
      </c>
      <c r="F14" s="4" t="s">
        <v>27</v>
      </c>
      <c r="G14" s="4">
        <v>1000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135</v>
      </c>
      <c r="G15" s="4">
        <v>105255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843</v>
      </c>
      <c r="C16" s="4"/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1109862</v>
      </c>
      <c r="D19" s="5"/>
      <c r="E19" s="5"/>
      <c r="F19" s="5"/>
      <c r="G19" s="5">
        <f>SUM(G4:G18)</f>
        <v>1060085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49777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N23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123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15000</v>
      </c>
      <c r="D4" s="4"/>
      <c r="E4" s="4">
        <v>1</v>
      </c>
      <c r="F4" s="4" t="s">
        <v>5</v>
      </c>
      <c r="G4" s="4"/>
    </row>
    <row r="5" spans="1:14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4">
      <c r="A6" s="4">
        <v>3</v>
      </c>
      <c r="B6" s="4" t="s">
        <v>6</v>
      </c>
      <c r="C6" s="4">
        <v>108200</v>
      </c>
      <c r="D6" s="4"/>
      <c r="E6" s="4">
        <v>3</v>
      </c>
      <c r="F6" s="4" t="s">
        <v>38</v>
      </c>
      <c r="G6" s="4">
        <v>230000</v>
      </c>
    </row>
    <row r="7" spans="1:14">
      <c r="A7" s="4">
        <v>4</v>
      </c>
      <c r="B7" s="4" t="s">
        <v>124</v>
      </c>
      <c r="C7" s="4">
        <v>128600</v>
      </c>
      <c r="D7" s="4"/>
      <c r="E7" s="4">
        <v>4</v>
      </c>
      <c r="F7" s="4" t="s">
        <v>39</v>
      </c>
      <c r="G7" s="4">
        <v>100</v>
      </c>
      <c r="K7" s="1">
        <f>30*20</f>
        <v>600</v>
      </c>
    </row>
    <row r="8" spans="1:14">
      <c r="A8" s="4">
        <v>5</v>
      </c>
      <c r="B8" s="4" t="s">
        <v>8</v>
      </c>
      <c r="C8" s="4">
        <v>88500</v>
      </c>
      <c r="D8" s="4"/>
      <c r="E8" s="4">
        <v>5</v>
      </c>
      <c r="F8" s="4" t="s">
        <v>9</v>
      </c>
      <c r="G8" s="4">
        <v>220</v>
      </c>
    </row>
    <row r="9" spans="1:14">
      <c r="A9" s="4">
        <v>6</v>
      </c>
      <c r="B9" s="4" t="s">
        <v>110</v>
      </c>
      <c r="C9" s="4"/>
      <c r="D9" s="4"/>
      <c r="E9" s="4">
        <v>6</v>
      </c>
      <c r="F9" s="4" t="s">
        <v>40</v>
      </c>
      <c r="G9" s="4"/>
    </row>
    <row r="10" spans="1:14">
      <c r="A10" s="4">
        <v>7</v>
      </c>
      <c r="B10" s="4" t="s">
        <v>24</v>
      </c>
      <c r="C10" s="4"/>
      <c r="D10" s="4"/>
      <c r="E10" s="4">
        <v>7</v>
      </c>
      <c r="F10" s="4" t="s">
        <v>20</v>
      </c>
      <c r="G10" s="4"/>
    </row>
    <row r="11" spans="1:14">
      <c r="A11" s="4">
        <v>8</v>
      </c>
      <c r="B11" s="4" t="s">
        <v>7</v>
      </c>
      <c r="C11" s="4"/>
      <c r="D11" s="4"/>
      <c r="E11" s="4">
        <v>8</v>
      </c>
      <c r="F11" s="4" t="s">
        <v>70</v>
      </c>
      <c r="G11" s="4"/>
    </row>
    <row r="12" spans="1:14">
      <c r="A12" s="4">
        <v>9</v>
      </c>
      <c r="B12" s="4" t="s">
        <v>19</v>
      </c>
      <c r="C12" s="4"/>
      <c r="D12" s="4"/>
      <c r="E12" s="4">
        <v>9</v>
      </c>
      <c r="F12" s="4" t="s">
        <v>121</v>
      </c>
      <c r="G12" s="4"/>
    </row>
    <row r="13" spans="1:14">
      <c r="A13" s="4">
        <v>10</v>
      </c>
      <c r="B13" s="4" t="s">
        <v>58</v>
      </c>
      <c r="C13" s="4"/>
      <c r="D13" s="4"/>
      <c r="E13" s="4">
        <v>10</v>
      </c>
      <c r="F13" s="4" t="s">
        <v>125</v>
      </c>
      <c r="G13" s="4">
        <v>5060</v>
      </c>
      <c r="N13" s="1">
        <f>252+48</f>
        <v>300</v>
      </c>
    </row>
    <row r="14" spans="1:14">
      <c r="A14" s="4">
        <v>11</v>
      </c>
      <c r="B14" s="4"/>
      <c r="C14" s="4"/>
      <c r="D14" s="4"/>
      <c r="E14" s="4">
        <v>11</v>
      </c>
      <c r="F14" s="4" t="s">
        <v>6</v>
      </c>
      <c r="G14" s="4">
        <v>67720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/>
      <c r="G15" s="4"/>
    </row>
    <row r="16" spans="1:14">
      <c r="A16" s="4">
        <v>13</v>
      </c>
      <c r="B16" s="4"/>
      <c r="C16" s="4"/>
      <c r="D16" s="4"/>
      <c r="E16" s="4">
        <v>13</v>
      </c>
      <c r="F16" s="4"/>
      <c r="G16" s="4"/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K17" s="1">
        <f>36589-16000</f>
        <v>20589</v>
      </c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  <c r="K18" s="1">
        <f>9050+11110+20589</f>
        <v>40749</v>
      </c>
    </row>
    <row r="19" spans="1:12">
      <c r="A19" s="5"/>
      <c r="B19" s="5"/>
      <c r="C19" s="5">
        <f>SUM(C4:C18)</f>
        <v>340300</v>
      </c>
      <c r="D19" s="5"/>
      <c r="E19" s="5"/>
      <c r="F19" s="5"/>
      <c r="G19" s="5">
        <f>SUM(G4:G18)</f>
        <v>303100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37200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CB14-FB68-4CC4-B9E4-E5CFFB467F94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850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105255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669</v>
      </c>
      <c r="G11" s="4">
        <v>3000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/>
      <c r="D12" s="4"/>
      <c r="E12" s="4">
        <v>9</v>
      </c>
      <c r="F12" s="4" t="s">
        <v>114</v>
      </c>
      <c r="G12" s="4">
        <v>5500</v>
      </c>
      <c r="K12" s="1">
        <f>27-33</f>
        <v>-6</v>
      </c>
    </row>
    <row r="13" spans="1:16">
      <c r="A13" s="4">
        <v>10</v>
      </c>
      <c r="B13" s="4" t="s">
        <v>853</v>
      </c>
      <c r="C13" s="4">
        <v>23000</v>
      </c>
      <c r="D13" s="4"/>
      <c r="E13" s="4">
        <v>10</v>
      </c>
      <c r="F13" s="4" t="s">
        <v>855</v>
      </c>
      <c r="G13" s="4">
        <v>50000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852</v>
      </c>
      <c r="C14" s="4"/>
      <c r="D14" s="4"/>
      <c r="E14" s="4">
        <v>11</v>
      </c>
      <c r="F14" s="4" t="s">
        <v>851</v>
      </c>
      <c r="G14" s="4">
        <v>20000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50</v>
      </c>
      <c r="C15" s="4">
        <v>15000</v>
      </c>
      <c r="D15" s="4"/>
      <c r="E15" s="4">
        <v>12</v>
      </c>
      <c r="F15" s="4" t="s">
        <v>135</v>
      </c>
      <c r="G15" s="4">
        <v>89255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843</v>
      </c>
      <c r="C16" s="4" t="s">
        <v>854</v>
      </c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>
        <v>27000</v>
      </c>
      <c r="D17" s="4"/>
      <c r="E17" s="4">
        <v>14</v>
      </c>
      <c r="F17" s="4" t="s">
        <v>846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170255</v>
      </c>
      <c r="D19" s="5"/>
      <c r="E19" s="5"/>
      <c r="F19" s="5"/>
      <c r="G19" s="5">
        <f>SUM(G4:G18)</f>
        <v>167805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2450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1A92-2C5E-464D-A064-E461D14DAC18}">
  <dimension ref="A1:Q36"/>
  <sheetViews>
    <sheetView zoomScale="145" zoomScaleNormal="145" workbookViewId="0">
      <selection activeCell="F8" sqref="F8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856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402050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813</v>
      </c>
      <c r="G6" s="4">
        <v>230000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220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669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/>
      <c r="D12" s="4"/>
      <c r="E12" s="4">
        <v>9</v>
      </c>
      <c r="F12" s="4" t="s">
        <v>114</v>
      </c>
      <c r="G12" s="4"/>
      <c r="K12" s="1">
        <f>27-33</f>
        <v>-6</v>
      </c>
    </row>
    <row r="13" spans="1:16">
      <c r="A13" s="4">
        <v>10</v>
      </c>
      <c r="B13" s="4" t="s">
        <v>853</v>
      </c>
      <c r="C13" s="4"/>
      <c r="D13" s="4"/>
      <c r="E13" s="4">
        <v>10</v>
      </c>
      <c r="F13" s="4" t="s">
        <v>27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852</v>
      </c>
      <c r="C14" s="4">
        <v>31000</v>
      </c>
      <c r="D14" s="4"/>
      <c r="E14" s="4">
        <v>11</v>
      </c>
      <c r="F14" s="4" t="s">
        <v>851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4" t="s">
        <v>135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843</v>
      </c>
      <c r="C16" s="4"/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433050</v>
      </c>
      <c r="D19" s="5"/>
      <c r="E19" s="5"/>
      <c r="F19" s="5"/>
      <c r="G19" s="5">
        <f>SUM(G4:G18)</f>
        <v>432570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480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4159-B2E8-4CC2-BDFA-808083EF3EAB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857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315800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>
        <v>115000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151479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858</v>
      </c>
      <c r="G11" s="4">
        <v>200000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156</v>
      </c>
      <c r="C12" s="4"/>
      <c r="D12" s="4"/>
      <c r="E12" s="4">
        <v>9</v>
      </c>
      <c r="F12" s="4" t="s">
        <v>114</v>
      </c>
      <c r="G12" s="4"/>
      <c r="K12" s="1">
        <f>27-33</f>
        <v>-6</v>
      </c>
    </row>
    <row r="13" spans="1:16">
      <c r="A13" s="4">
        <v>10</v>
      </c>
      <c r="B13" s="4" t="s">
        <v>853</v>
      </c>
      <c r="C13" s="4"/>
      <c r="D13" s="4"/>
      <c r="E13" s="4">
        <v>10</v>
      </c>
      <c r="F13" s="4" t="s">
        <v>859</v>
      </c>
      <c r="G13" s="4">
        <v>10000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852</v>
      </c>
      <c r="C14" s="4"/>
      <c r="D14" s="4"/>
      <c r="E14" s="4">
        <v>11</v>
      </c>
      <c r="F14" s="4" t="s">
        <v>851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4" t="s">
        <v>135</v>
      </c>
      <c r="G15" s="4">
        <v>129656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843</v>
      </c>
      <c r="C16" s="4"/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467279</v>
      </c>
      <c r="D19" s="5"/>
      <c r="E19" s="5"/>
      <c r="F19" s="5"/>
      <c r="G19" s="5">
        <f>SUM(G4:G18)</f>
        <v>455006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12273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8058-DD87-44EA-9488-BA5445825555}">
  <dimension ref="A1:Q36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860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575000</v>
      </c>
      <c r="D4" s="4"/>
      <c r="E4" s="4">
        <v>1</v>
      </c>
      <c r="F4" s="4" t="s">
        <v>5</v>
      </c>
      <c r="G4" s="4">
        <v>800000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>
        <v>220000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126776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70000</v>
      </c>
    </row>
    <row r="8" spans="1:16">
      <c r="A8" s="4">
        <v>5</v>
      </c>
      <c r="B8" s="4" t="s">
        <v>19</v>
      </c>
      <c r="C8" s="4">
        <v>136688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300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862</v>
      </c>
      <c r="C12" s="4">
        <v>200000</v>
      </c>
      <c r="D12" s="4"/>
      <c r="E12" s="4">
        <v>9</v>
      </c>
      <c r="F12" s="4" t="s">
        <v>864</v>
      </c>
      <c r="G12" s="4">
        <v>3195</v>
      </c>
      <c r="K12" s="1">
        <f>27-33</f>
        <v>-6</v>
      </c>
    </row>
    <row r="13" spans="1:16">
      <c r="A13" s="4">
        <v>10</v>
      </c>
      <c r="B13" s="4" t="s">
        <v>233</v>
      </c>
      <c r="C13" s="4">
        <v>30000</v>
      </c>
      <c r="D13" s="4"/>
      <c r="E13" s="4">
        <v>10</v>
      </c>
      <c r="F13" s="4" t="s">
        <v>71</v>
      </c>
      <c r="G13" s="4">
        <v>9000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>
        <v>5850</v>
      </c>
      <c r="D14" s="4"/>
      <c r="E14" s="4">
        <v>11</v>
      </c>
      <c r="F14" s="4" t="s">
        <v>863</v>
      </c>
      <c r="G14" s="4">
        <v>7000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262</v>
      </c>
      <c r="C15" s="4">
        <v>36000</v>
      </c>
      <c r="D15" s="4"/>
      <c r="E15" s="4">
        <v>12</v>
      </c>
      <c r="F15" s="4" t="s">
        <v>135</v>
      </c>
      <c r="G15" s="4">
        <v>100936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>
        <v>10500</v>
      </c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>
        <v>30050</v>
      </c>
      <c r="D17" s="4"/>
      <c r="E17" s="4">
        <v>14</v>
      </c>
      <c r="F17" s="4" t="s">
        <v>846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>
        <v>24000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1224864</v>
      </c>
      <c r="D19" s="5"/>
      <c r="E19" s="5"/>
      <c r="F19" s="5"/>
      <c r="G19" s="5">
        <f>SUM(G4:G18)</f>
        <v>1210531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14333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47B4-E0AE-4946-86A4-58DEDF4B6CA8}">
  <dimension ref="A1:Q36"/>
  <sheetViews>
    <sheetView zoomScale="145" zoomScaleNormal="145" workbookViewId="0">
      <selection activeCell="G11" sqref="G11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865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194500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192258</v>
      </c>
      <c r="D6" s="4"/>
      <c r="E6" s="4">
        <v>3</v>
      </c>
      <c r="F6" s="4" t="s">
        <v>813</v>
      </c>
      <c r="G6" s="4">
        <v>200000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>
        <v>20000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28210</v>
      </c>
      <c r="D10" s="4"/>
      <c r="E10" s="4">
        <v>7</v>
      </c>
      <c r="F10" s="6" t="s">
        <v>20</v>
      </c>
      <c r="G10" s="4">
        <v>220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862</v>
      </c>
      <c r="C12" s="4"/>
      <c r="D12" s="4"/>
      <c r="E12" s="4">
        <v>9</v>
      </c>
      <c r="F12" s="4" t="s">
        <v>867</v>
      </c>
      <c r="G12" s="4">
        <v>1710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866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/>
      <c r="D14" s="4"/>
      <c r="E14" s="4">
        <v>11</v>
      </c>
      <c r="F14" s="4" t="s">
        <v>221</v>
      </c>
      <c r="G14" s="4">
        <v>5000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262</v>
      </c>
      <c r="C15" s="4"/>
      <c r="D15" s="4"/>
      <c r="E15" s="4">
        <v>12</v>
      </c>
      <c r="F15" s="4" t="s">
        <v>135</v>
      </c>
      <c r="G15" s="4">
        <v>141965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/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434968</v>
      </c>
      <c r="D19" s="5"/>
      <c r="E19" s="5"/>
      <c r="F19" s="5"/>
      <c r="G19" s="5">
        <f>SUM(G4:G18)</f>
        <v>354245</v>
      </c>
      <c r="I19" s="1">
        <f>69686-65002</f>
        <v>4684</v>
      </c>
      <c r="J19" s="1">
        <f>50650+820</f>
        <v>51470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80723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F01F-F1A7-4F15-8239-8B927648365A}">
  <dimension ref="A1:Q36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868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378650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831</v>
      </c>
      <c r="C9" s="4">
        <v>123830</v>
      </c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240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869</v>
      </c>
      <c r="C12" s="4">
        <v>24000</v>
      </c>
      <c r="D12" s="4"/>
      <c r="E12" s="4">
        <v>9</v>
      </c>
      <c r="F12" s="4" t="s">
        <v>263</v>
      </c>
      <c r="G12" s="4">
        <v>750</v>
      </c>
      <c r="K12" s="1">
        <f>27-33</f>
        <v>-6</v>
      </c>
    </row>
    <row r="13" spans="1:16">
      <c r="A13" s="4">
        <v>10</v>
      </c>
      <c r="B13" s="4" t="s">
        <v>233</v>
      </c>
      <c r="C13" s="4">
        <v>21000</v>
      </c>
      <c r="D13" s="4"/>
      <c r="E13" s="4">
        <v>10</v>
      </c>
      <c r="F13" s="4" t="s">
        <v>866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>
        <v>4900</v>
      </c>
      <c r="D14" s="4"/>
      <c r="E14" s="4">
        <v>11</v>
      </c>
      <c r="F14" s="4" t="s">
        <v>870</v>
      </c>
      <c r="G14" s="4">
        <v>150000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/>
      <c r="C15" s="4"/>
      <c r="D15" s="4"/>
      <c r="E15" s="4">
        <v>12</v>
      </c>
      <c r="F15" s="4" t="s">
        <v>135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/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552380</v>
      </c>
      <c r="D19" s="5"/>
      <c r="E19" s="5"/>
      <c r="F19" s="5"/>
      <c r="G19" s="5">
        <f>SUM(G4:G18)</f>
        <v>551240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1140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3E06-C7C7-4AAA-BC2B-C1FB9D8D7469}">
  <dimension ref="A1:Q36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871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221000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279160</v>
      </c>
      <c r="D6" s="4"/>
      <c r="E6" s="4">
        <v>3</v>
      </c>
      <c r="F6" s="4" t="s">
        <v>813</v>
      </c>
      <c r="G6" s="4">
        <v>250000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831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220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869</v>
      </c>
      <c r="C12" s="4"/>
      <c r="D12" s="4"/>
      <c r="E12" s="4">
        <v>9</v>
      </c>
      <c r="F12" s="4" t="s">
        <v>263</v>
      </c>
      <c r="G12" s="4"/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866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/>
      <c r="D14" s="4"/>
      <c r="E14" s="4">
        <v>11</v>
      </c>
      <c r="F14" s="4" t="s">
        <v>140</v>
      </c>
      <c r="G14" s="4">
        <v>10000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/>
      <c r="C15" s="4"/>
      <c r="D15" s="4"/>
      <c r="E15" s="4">
        <v>12</v>
      </c>
      <c r="F15" s="4" t="s">
        <v>135</v>
      </c>
      <c r="G15" s="4">
        <v>239160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/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500160</v>
      </c>
      <c r="D19" s="5"/>
      <c r="E19" s="5"/>
      <c r="F19" s="5"/>
      <c r="G19" s="5">
        <f>SUM(G4:G18)</f>
        <v>499730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430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D3AF-DF41-4A8E-ABC5-CDE50FDD5052}">
  <dimension ref="A1:Q36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872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266190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239160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831</v>
      </c>
      <c r="C9" s="4">
        <v>100000</v>
      </c>
      <c r="D9" s="4"/>
      <c r="E9" s="4">
        <v>6</v>
      </c>
      <c r="F9" s="4" t="s">
        <v>9</v>
      </c>
      <c r="G9" s="4">
        <v>200</v>
      </c>
      <c r="K9" s="1">
        <v>80</v>
      </c>
    </row>
    <row r="10" spans="1:16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240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</v>
      </c>
      <c r="C11" s="4"/>
      <c r="D11" s="4"/>
      <c r="E11" s="4">
        <v>8</v>
      </c>
      <c r="F11" s="4" t="s">
        <v>858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869</v>
      </c>
      <c r="C12" s="4"/>
      <c r="D12" s="4"/>
      <c r="E12" s="4">
        <v>9</v>
      </c>
      <c r="F12" s="4" t="s">
        <v>263</v>
      </c>
      <c r="G12" s="4"/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866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/>
      <c r="D14" s="4"/>
      <c r="E14" s="4">
        <v>11</v>
      </c>
      <c r="F14" s="4" t="s">
        <v>140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/>
      <c r="C15" s="4"/>
      <c r="D15" s="4"/>
      <c r="E15" s="4">
        <v>12</v>
      </c>
      <c r="F15" s="4" t="s">
        <v>135</v>
      </c>
      <c r="G15" s="4">
        <v>210862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/>
      <c r="D16" s="4"/>
      <c r="E16" s="4">
        <v>13</v>
      </c>
      <c r="F16" s="4" t="s">
        <v>78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 t="s">
        <v>873</v>
      </c>
      <c r="F17" s="4" t="s">
        <v>874</v>
      </c>
      <c r="G17" s="4">
        <v>3000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605350</v>
      </c>
      <c r="D19" s="5"/>
      <c r="E19" s="5"/>
      <c r="F19" s="5"/>
      <c r="G19" s="5">
        <f>SUM(G4:G18)</f>
        <v>514302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91048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7DAC-CF0C-4AA7-9DD8-131FFE37AC19}">
  <dimension ref="A1:Q36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875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308000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>
        <v>273000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261166</v>
      </c>
      <c r="D6" s="4"/>
      <c r="E6" s="4">
        <v>3</v>
      </c>
      <c r="F6" s="4" t="s">
        <v>813</v>
      </c>
      <c r="G6" s="4">
        <v>270000</v>
      </c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10</v>
      </c>
      <c r="G8" s="4">
        <v>200</v>
      </c>
      <c r="K8" s="1">
        <f>310+200</f>
        <v>510</v>
      </c>
    </row>
    <row r="9" spans="1:16">
      <c r="A9" s="4">
        <v>6</v>
      </c>
      <c r="B9" s="4" t="s">
        <v>156</v>
      </c>
      <c r="C9" s="4">
        <v>53000</v>
      </c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878</v>
      </c>
      <c r="C11" s="4">
        <v>10000</v>
      </c>
      <c r="D11" s="4"/>
      <c r="E11" s="4">
        <v>8</v>
      </c>
      <c r="F11" s="4" t="s">
        <v>876</v>
      </c>
      <c r="G11" s="4">
        <v>14000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877</v>
      </c>
      <c r="C12" s="4">
        <v>2200</v>
      </c>
      <c r="D12" s="4"/>
      <c r="E12" s="4">
        <v>9</v>
      </c>
      <c r="F12" s="4" t="s">
        <v>133</v>
      </c>
      <c r="G12" s="4">
        <v>3000</v>
      </c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863</v>
      </c>
      <c r="G13" s="4">
        <v>6000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/>
      <c r="D14" s="4"/>
      <c r="E14" s="4">
        <v>11</v>
      </c>
      <c r="F14" s="4" t="s">
        <v>846</v>
      </c>
      <c r="G14" s="4">
        <v>20000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/>
      <c r="C15" s="4"/>
      <c r="D15" s="4"/>
      <c r="E15" s="4">
        <v>12</v>
      </c>
      <c r="F15" s="4" t="s">
        <v>135</v>
      </c>
      <c r="G15" s="4">
        <v>178766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/>
      <c r="D16" s="4"/>
      <c r="E16" s="4">
        <v>13</v>
      </c>
      <c r="F16" s="4" t="s">
        <v>238</v>
      </c>
      <c r="G16" s="4">
        <v>12540</v>
      </c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874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784366</v>
      </c>
      <c r="D19" s="5"/>
      <c r="E19" s="5"/>
      <c r="F19" s="5"/>
      <c r="G19" s="5">
        <f>SUM(G4:G18)</f>
        <v>777756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6610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54FE-7ED4-4EA0-8F54-667218268E46}">
  <dimension ref="A1:Q36"/>
  <sheetViews>
    <sheetView zoomScale="145" zoomScaleNormal="145" workbookViewId="0">
      <selection activeCell="G2" sqref="G2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881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200000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200510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200000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879</v>
      </c>
      <c r="C10" s="4">
        <v>25000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878</v>
      </c>
      <c r="C11" s="4"/>
      <c r="D11" s="4"/>
      <c r="E11" s="4">
        <v>8</v>
      </c>
      <c r="F11" s="4" t="s">
        <v>880</v>
      </c>
      <c r="G11" s="4">
        <v>120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877</v>
      </c>
      <c r="C12" s="4"/>
      <c r="D12" s="4"/>
      <c r="E12" s="4">
        <v>9</v>
      </c>
      <c r="F12" s="4" t="s">
        <v>133</v>
      </c>
      <c r="G12" s="4"/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863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/>
      <c r="D14" s="4"/>
      <c r="E14" s="4">
        <v>11</v>
      </c>
      <c r="F14" s="4" t="s">
        <v>434</v>
      </c>
      <c r="G14" s="4">
        <v>11000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/>
      <c r="C15" s="4"/>
      <c r="D15" s="4"/>
      <c r="E15" s="4">
        <v>12</v>
      </c>
      <c r="F15" s="4" t="s">
        <v>135</v>
      </c>
      <c r="G15" s="4">
        <v>138063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/>
      <c r="D16" s="4"/>
      <c r="E16" s="4">
        <v>13</v>
      </c>
      <c r="F16" s="4" t="s">
        <v>238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874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425510</v>
      </c>
      <c r="D19" s="5"/>
      <c r="E19" s="5"/>
      <c r="F19" s="5"/>
      <c r="G19" s="5">
        <f>SUM(G4:G18)</f>
        <v>349433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76077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N23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126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406700</v>
      </c>
      <c r="D4" s="4"/>
      <c r="E4" s="4">
        <v>1</v>
      </c>
      <c r="F4" s="4" t="s">
        <v>5</v>
      </c>
      <c r="G4" s="4">
        <v>500000</v>
      </c>
    </row>
    <row r="5" spans="1:14">
      <c r="A5" s="4">
        <v>2</v>
      </c>
      <c r="B5" s="4" t="s">
        <v>4</v>
      </c>
      <c r="C5" s="4">
        <v>500000</v>
      </c>
      <c r="D5" s="4"/>
      <c r="E5" s="4">
        <v>2</v>
      </c>
      <c r="F5" s="4" t="s">
        <v>43</v>
      </c>
      <c r="G5" s="4">
        <v>250000</v>
      </c>
    </row>
    <row r="6" spans="1:14">
      <c r="A6" s="4">
        <v>3</v>
      </c>
      <c r="B6" s="4" t="s">
        <v>6</v>
      </c>
      <c r="C6" s="4">
        <v>115331</v>
      </c>
      <c r="D6" s="4"/>
      <c r="E6" s="4">
        <v>3</v>
      </c>
      <c r="F6" s="4" t="s">
        <v>38</v>
      </c>
      <c r="G6" s="4">
        <v>350000</v>
      </c>
    </row>
    <row r="7" spans="1:14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315</v>
      </c>
      <c r="K7" s="1">
        <f>30*20</f>
        <v>600</v>
      </c>
    </row>
    <row r="8" spans="1:14">
      <c r="A8" s="4">
        <v>5</v>
      </c>
      <c r="B8" s="4" t="s">
        <v>58</v>
      </c>
      <c r="C8" s="4">
        <v>59000</v>
      </c>
      <c r="D8" s="4"/>
      <c r="E8" s="4">
        <v>5</v>
      </c>
      <c r="F8" s="4" t="s">
        <v>9</v>
      </c>
      <c r="G8" s="4">
        <v>300</v>
      </c>
    </row>
    <row r="9" spans="1:14">
      <c r="A9" s="4">
        <v>6</v>
      </c>
      <c r="B9" s="4" t="s">
        <v>127</v>
      </c>
      <c r="C9" s="4">
        <v>10000</v>
      </c>
      <c r="D9" s="4"/>
      <c r="E9" s="4">
        <v>6</v>
      </c>
      <c r="F9" s="4" t="s">
        <v>40</v>
      </c>
      <c r="G9" s="4"/>
    </row>
    <row r="10" spans="1:14">
      <c r="A10" s="4">
        <v>7</v>
      </c>
      <c r="B10" s="4" t="s">
        <v>24</v>
      </c>
      <c r="C10" s="4">
        <v>40000</v>
      </c>
      <c r="D10" s="4"/>
      <c r="E10" s="4">
        <v>7</v>
      </c>
      <c r="F10" s="4" t="s">
        <v>20</v>
      </c>
      <c r="G10" s="4">
        <v>285</v>
      </c>
    </row>
    <row r="11" spans="1:14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128</v>
      </c>
      <c r="G11" s="4">
        <v>340</v>
      </c>
    </row>
    <row r="12" spans="1:14">
      <c r="A12" s="4">
        <v>9</v>
      </c>
      <c r="B12" s="4" t="s">
        <v>129</v>
      </c>
      <c r="C12" s="4">
        <v>8000</v>
      </c>
      <c r="D12" s="4"/>
      <c r="E12" s="4">
        <v>9</v>
      </c>
      <c r="F12" s="4" t="s">
        <v>130</v>
      </c>
      <c r="G12" s="4">
        <v>33000</v>
      </c>
    </row>
    <row r="13" spans="1:14">
      <c r="A13" s="4">
        <v>10</v>
      </c>
      <c r="B13" s="4" t="s">
        <v>131</v>
      </c>
      <c r="C13" s="4">
        <v>6500</v>
      </c>
      <c r="D13" s="4"/>
      <c r="E13" s="4">
        <v>10</v>
      </c>
      <c r="F13" s="4" t="s">
        <v>132</v>
      </c>
      <c r="G13" s="4">
        <v>12100</v>
      </c>
      <c r="N13" s="1">
        <f>252+48</f>
        <v>300</v>
      </c>
    </row>
    <row r="14" spans="1:14">
      <c r="A14" s="4">
        <v>11</v>
      </c>
      <c r="B14" s="4" t="s">
        <v>50</v>
      </c>
      <c r="C14" s="4">
        <v>3000</v>
      </c>
      <c r="D14" s="4"/>
      <c r="E14" s="4">
        <v>11</v>
      </c>
      <c r="F14" s="4" t="s">
        <v>133</v>
      </c>
      <c r="G14" s="4">
        <v>5000</v>
      </c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 t="s">
        <v>134</v>
      </c>
      <c r="G15" s="4">
        <v>9000</v>
      </c>
    </row>
    <row r="16" spans="1:14">
      <c r="A16" s="4">
        <v>13</v>
      </c>
      <c r="B16" s="4"/>
      <c r="C16" s="4"/>
      <c r="D16" s="4"/>
      <c r="E16" s="4">
        <v>13</v>
      </c>
      <c r="F16" s="4" t="s">
        <v>135</v>
      </c>
      <c r="G16" s="4">
        <v>30220</v>
      </c>
    </row>
    <row r="17" spans="1:12">
      <c r="A17" s="4">
        <v>14</v>
      </c>
      <c r="B17" s="4"/>
      <c r="C17" s="4"/>
      <c r="D17" s="4"/>
      <c r="E17" s="4">
        <v>14</v>
      </c>
      <c r="F17" s="4"/>
      <c r="G17" s="4"/>
      <c r="K17" s="1">
        <f>36589-16000</f>
        <v>20589</v>
      </c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  <c r="K18" s="1">
        <f>9050+11110+20589</f>
        <v>40749</v>
      </c>
    </row>
    <row r="19" spans="1:12">
      <c r="A19" s="5"/>
      <c r="B19" s="5"/>
      <c r="C19" s="5">
        <f>SUM(C4:C18)</f>
        <v>1198531</v>
      </c>
      <c r="D19" s="5"/>
      <c r="E19" s="5"/>
      <c r="F19" s="5"/>
      <c r="G19" s="5">
        <f>SUM(G4:G18)</f>
        <v>1190560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7971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5230-C20A-407C-8896-8CE4F96D701C}">
  <dimension ref="A1:Q36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882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370000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>
        <v>170000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229700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879</v>
      </c>
      <c r="C10" s="4"/>
      <c r="D10" s="4"/>
      <c r="E10" s="4">
        <v>7</v>
      </c>
      <c r="F10" s="6" t="s">
        <v>20</v>
      </c>
      <c r="G10" s="4">
        <v>220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878</v>
      </c>
      <c r="C11" s="4"/>
      <c r="D11" s="4"/>
      <c r="E11" s="4">
        <v>8</v>
      </c>
      <c r="F11" s="4" t="s">
        <v>880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877</v>
      </c>
      <c r="C12" s="4"/>
      <c r="D12" s="4"/>
      <c r="E12" s="4">
        <v>9</v>
      </c>
      <c r="F12" s="4" t="s">
        <v>133</v>
      </c>
      <c r="G12" s="4"/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863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/>
      <c r="D14" s="4"/>
      <c r="E14" s="4">
        <v>11</v>
      </c>
      <c r="F14" s="4" t="s">
        <v>434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/>
      <c r="C15" s="4"/>
      <c r="D15" s="4"/>
      <c r="E15" s="4">
        <v>12</v>
      </c>
      <c r="F15" s="4" t="s">
        <v>135</v>
      </c>
      <c r="G15" s="4">
        <v>227037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/>
      <c r="D16" s="4"/>
      <c r="E16" s="4">
        <v>13</v>
      </c>
      <c r="F16" s="4" t="s">
        <v>238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874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599700</v>
      </c>
      <c r="D19" s="5"/>
      <c r="E19" s="5"/>
      <c r="F19" s="5"/>
      <c r="G19" s="5">
        <f>SUM(G4:G18)</f>
        <v>597607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2093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B5F4-1352-4B2D-9450-7B4FD925DE02}">
  <dimension ref="A1:Q36"/>
  <sheetViews>
    <sheetView zoomScale="145" zoomScaleNormal="145" workbookViewId="0">
      <selection activeCell="F23" sqref="F2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883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313750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231037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130000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150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879</v>
      </c>
      <c r="C10" s="4"/>
      <c r="D10" s="4"/>
      <c r="E10" s="4">
        <v>7</v>
      </c>
      <c r="F10" s="6" t="s">
        <v>20</v>
      </c>
      <c r="G10" s="4">
        <v>165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878</v>
      </c>
      <c r="C11" s="4"/>
      <c r="D11" s="4"/>
      <c r="E11" s="4">
        <v>8</v>
      </c>
      <c r="F11" s="4" t="s">
        <v>422</v>
      </c>
      <c r="G11" s="4">
        <v>216000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877</v>
      </c>
      <c r="C12" s="4"/>
      <c r="D12" s="4"/>
      <c r="E12" s="4">
        <v>9</v>
      </c>
      <c r="F12" s="4" t="s">
        <v>133</v>
      </c>
      <c r="G12" s="4"/>
      <c r="K12" s="1">
        <f>27-33</f>
        <v>-6</v>
      </c>
    </row>
    <row r="13" spans="1:16">
      <c r="A13" s="4">
        <v>10</v>
      </c>
      <c r="B13" s="4" t="s">
        <v>233</v>
      </c>
      <c r="C13" s="4"/>
      <c r="D13" s="4"/>
      <c r="E13" s="4">
        <v>10</v>
      </c>
      <c r="F13" s="4" t="s">
        <v>863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/>
      <c r="D14" s="4"/>
      <c r="E14" s="4">
        <v>11</v>
      </c>
      <c r="F14" s="4" t="s">
        <v>434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>
        <v>13000</v>
      </c>
      <c r="D15" s="4"/>
      <c r="E15" s="4">
        <v>12</v>
      </c>
      <c r="F15" s="4" t="s">
        <v>135</v>
      </c>
      <c r="G15" s="4">
        <v>205293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/>
      <c r="D16" s="4"/>
      <c r="E16" s="4">
        <v>13</v>
      </c>
      <c r="F16" s="4" t="s">
        <v>238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884</v>
      </c>
      <c r="G17" s="4">
        <v>4000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557787</v>
      </c>
      <c r="D19" s="5"/>
      <c r="E19" s="5"/>
      <c r="F19" s="5"/>
      <c r="G19" s="5">
        <f>SUM(G4:G18)</f>
        <v>555858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1929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F1FB-19B4-494D-92A6-0E5A2C44204F}">
  <dimension ref="A1:Q36"/>
  <sheetViews>
    <sheetView zoomScale="145" zoomScaleNormal="145" workbookViewId="0">
      <selection activeCell="C8" sqref="C8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16" ht="17.25">
      <c r="B1" s="1" t="s">
        <v>21</v>
      </c>
      <c r="F1" s="2" t="s">
        <v>14</v>
      </c>
      <c r="G1" s="3" t="s">
        <v>885</v>
      </c>
    </row>
    <row r="3" spans="1:16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16">
      <c r="A4" s="4">
        <v>1</v>
      </c>
      <c r="B4" s="4" t="s">
        <v>4</v>
      </c>
      <c r="C4" s="4">
        <v>154600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>
        <v>252000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230335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16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120000</v>
      </c>
    </row>
    <row r="8" spans="1:16">
      <c r="A8" s="4">
        <v>5</v>
      </c>
      <c r="B8" s="4" t="s">
        <v>19</v>
      </c>
      <c r="C8" s="4">
        <v>120550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16">
      <c r="A9" s="4">
        <v>6</v>
      </c>
      <c r="B9" s="4" t="s">
        <v>156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16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>
        <v>150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878</v>
      </c>
      <c r="C11" s="4"/>
      <c r="D11" s="4"/>
      <c r="E11" s="4">
        <v>8</v>
      </c>
      <c r="F11" s="4" t="s">
        <v>226</v>
      </c>
      <c r="G11" s="4">
        <v>74000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887</v>
      </c>
      <c r="C12" s="4">
        <v>23600</v>
      </c>
      <c r="D12" s="4"/>
      <c r="E12" s="4">
        <v>9</v>
      </c>
      <c r="F12" s="4" t="s">
        <v>133</v>
      </c>
      <c r="G12" s="4"/>
      <c r="K12" s="1">
        <f>27-33</f>
        <v>-6</v>
      </c>
    </row>
    <row r="13" spans="1:16">
      <c r="A13" s="4">
        <v>10</v>
      </c>
      <c r="B13" s="4"/>
      <c r="C13" s="4"/>
      <c r="D13" s="4"/>
      <c r="E13" s="4">
        <v>10</v>
      </c>
      <c r="F13" s="4" t="s">
        <v>863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16">
      <c r="A14" s="4">
        <v>11</v>
      </c>
      <c r="B14" s="4" t="s">
        <v>861</v>
      </c>
      <c r="C14" s="4"/>
      <c r="D14" s="4"/>
      <c r="E14" s="4">
        <v>11</v>
      </c>
      <c r="F14" s="4" t="s">
        <v>434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16">
      <c r="A15" s="4">
        <v>12</v>
      </c>
      <c r="B15" s="4" t="s">
        <v>24</v>
      </c>
      <c r="C15" s="4"/>
      <c r="D15" s="4"/>
      <c r="E15" s="4">
        <v>12</v>
      </c>
      <c r="F15" s="4" t="s">
        <v>135</v>
      </c>
      <c r="G15" s="4">
        <v>129540</v>
      </c>
      <c r="J15" s="1">
        <f>J13*J14</f>
        <v>272.43486973947898</v>
      </c>
      <c r="K15" s="1">
        <f>7440+7683</f>
        <v>15123</v>
      </c>
      <c r="N15" s="1">
        <v>40</v>
      </c>
    </row>
    <row r="16" spans="1:16">
      <c r="A16" s="4">
        <v>13</v>
      </c>
      <c r="B16" s="4" t="s">
        <v>561</v>
      </c>
      <c r="C16" s="4"/>
      <c r="D16" s="4"/>
      <c r="E16" s="4">
        <v>13</v>
      </c>
      <c r="F16" s="4" t="s">
        <v>238</v>
      </c>
      <c r="G16" s="4"/>
      <c r="M16" s="1">
        <f>40+30+30+40+30+50</f>
        <v>220</v>
      </c>
      <c r="N16" s="1">
        <f>SUM(N13:N15)</f>
        <v>365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886</v>
      </c>
      <c r="G17" s="4">
        <v>3000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579085</v>
      </c>
      <c r="D19" s="5"/>
      <c r="E19" s="5"/>
      <c r="F19" s="5"/>
      <c r="G19" s="5">
        <f>SUM(G4:G18)</f>
        <v>579040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45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7AC6-6BFE-402E-AABF-61A87D1CAB91}">
  <dimension ref="A1:AE36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888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316100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>
        <v>195544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340000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156</v>
      </c>
      <c r="C9" s="4"/>
      <c r="D9" s="4"/>
      <c r="E9" s="4">
        <v>6</v>
      </c>
      <c r="F9" s="4" t="s">
        <v>9</v>
      </c>
      <c r="G9" s="4">
        <v>150</v>
      </c>
      <c r="K9" s="1">
        <v>80</v>
      </c>
    </row>
    <row r="10" spans="1:31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150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226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887</v>
      </c>
      <c r="C12" s="4"/>
      <c r="D12" s="4"/>
      <c r="E12" s="4">
        <v>9</v>
      </c>
      <c r="F12" s="4" t="s">
        <v>133</v>
      </c>
      <c r="G12" s="4"/>
      <c r="K12" s="1">
        <f>27-33</f>
        <v>-6</v>
      </c>
    </row>
    <row r="13" spans="1:31">
      <c r="A13" s="4">
        <v>10</v>
      </c>
      <c r="B13" s="4"/>
      <c r="C13" s="4"/>
      <c r="D13" s="4"/>
      <c r="E13" s="4">
        <v>10</v>
      </c>
      <c r="F13" s="4" t="s">
        <v>889</v>
      </c>
      <c r="G13" s="4">
        <v>890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861</v>
      </c>
      <c r="C14" s="4"/>
      <c r="D14" s="4"/>
      <c r="E14" s="4">
        <v>11</v>
      </c>
      <c r="F14" s="4" t="s">
        <v>434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24</v>
      </c>
      <c r="C15" s="4"/>
      <c r="D15" s="4"/>
      <c r="E15" s="4">
        <v>12</v>
      </c>
      <c r="F15" s="4" t="s">
        <v>135</v>
      </c>
      <c r="G15" s="4">
        <v>181699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561</v>
      </c>
      <c r="C16" s="4"/>
      <c r="D16" s="4"/>
      <c r="E16" s="4">
        <v>13</v>
      </c>
      <c r="F16" s="4" t="s">
        <v>238</v>
      </c>
      <c r="G16" s="4">
        <v>0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547</v>
      </c>
      <c r="C17" s="4">
        <v>8000</v>
      </c>
      <c r="D17" s="4"/>
      <c r="E17" s="4">
        <v>14</v>
      </c>
      <c r="F17" s="4" t="s">
        <v>886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>
        <v>8000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527644</v>
      </c>
      <c r="D19" s="5"/>
      <c r="E19" s="5"/>
      <c r="F19" s="5"/>
      <c r="G19" s="5">
        <f>SUM(G4:G18)</f>
        <v>522889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4755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4EFB-A910-47D0-8320-4EA839BFC737}">
  <dimension ref="A1:AE36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888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670400</v>
      </c>
      <c r="D4" s="4"/>
      <c r="E4" s="4">
        <v>1</v>
      </c>
      <c r="F4" s="4" t="s">
        <v>5</v>
      </c>
      <c r="G4" s="4">
        <v>600000</v>
      </c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>
        <v>200000</v>
      </c>
      <c r="K5" s="1">
        <f>103+85+160</f>
        <v>348</v>
      </c>
    </row>
    <row r="6" spans="1:31">
      <c r="A6" s="4">
        <v>3</v>
      </c>
      <c r="B6" s="4" t="s">
        <v>6</v>
      </c>
      <c r="C6" s="4">
        <v>181699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124</v>
      </c>
      <c r="C9" s="4">
        <v>50000</v>
      </c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7</v>
      </c>
      <c r="C10" s="4">
        <v>57700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226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>
        <v>44000</v>
      </c>
      <c r="D12" s="4"/>
      <c r="E12" s="4">
        <v>9</v>
      </c>
      <c r="F12" s="4" t="s">
        <v>891</v>
      </c>
      <c r="G12" s="4">
        <v>27800</v>
      </c>
      <c r="K12" s="1">
        <f>27-33</f>
        <v>-6</v>
      </c>
    </row>
    <row r="13" spans="1:31">
      <c r="A13" s="4">
        <v>10</v>
      </c>
      <c r="B13" s="4"/>
      <c r="C13" s="4"/>
      <c r="D13" s="4"/>
      <c r="E13" s="4">
        <v>10</v>
      </c>
      <c r="F13" s="4" t="s">
        <v>890</v>
      </c>
      <c r="G13" s="4">
        <v>7000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861</v>
      </c>
      <c r="C14" s="4"/>
      <c r="D14" s="4"/>
      <c r="E14" s="4">
        <v>11</v>
      </c>
      <c r="F14" s="4" t="s">
        <v>41</v>
      </c>
      <c r="G14" s="4">
        <v>8430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24</v>
      </c>
      <c r="C15" s="4"/>
      <c r="D15" s="4"/>
      <c r="E15" s="4">
        <v>12</v>
      </c>
      <c r="F15" s="4" t="s">
        <v>135</v>
      </c>
      <c r="G15" s="4">
        <v>129136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561</v>
      </c>
      <c r="C16" s="4"/>
      <c r="D16" s="4"/>
      <c r="E16" s="4">
        <v>13</v>
      </c>
      <c r="F16" s="4" t="s">
        <v>238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547</v>
      </c>
      <c r="C17" s="4"/>
      <c r="D17" s="4"/>
      <c r="E17" s="4">
        <v>14</v>
      </c>
      <c r="F17" s="4" t="s">
        <v>886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1003799</v>
      </c>
      <c r="D19" s="5"/>
      <c r="E19" s="5"/>
      <c r="F19" s="5"/>
      <c r="G19" s="5">
        <f>SUM(G4:G18)</f>
        <v>972616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31183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CF42-C727-42AB-9FDE-E3F8C16F9679}">
  <dimension ref="A1:AE36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892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518940</v>
      </c>
      <c r="D4" s="4"/>
      <c r="E4" s="4">
        <v>1</v>
      </c>
      <c r="F4" s="4" t="s">
        <v>5</v>
      </c>
      <c r="G4" s="4">
        <v>100000</v>
      </c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>
        <v>136080</v>
      </c>
      <c r="D6" s="4"/>
      <c r="E6" s="4">
        <v>3</v>
      </c>
      <c r="F6" s="4" t="s">
        <v>820</v>
      </c>
      <c r="G6" s="4">
        <v>312000</v>
      </c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200000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226</v>
      </c>
      <c r="G11" s="4">
        <v>2000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4" t="s">
        <v>226</v>
      </c>
      <c r="G12" s="4">
        <v>5000</v>
      </c>
      <c r="K12" s="1">
        <f>27-33</f>
        <v>-6</v>
      </c>
    </row>
    <row r="13" spans="1:31">
      <c r="A13" s="4">
        <v>10</v>
      </c>
      <c r="B13" s="4"/>
      <c r="C13" s="4"/>
      <c r="D13" s="4"/>
      <c r="E13" s="4">
        <v>10</v>
      </c>
      <c r="F13" s="4" t="s">
        <v>890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861</v>
      </c>
      <c r="C14" s="4"/>
      <c r="D14" s="4"/>
      <c r="E14" s="4">
        <v>11</v>
      </c>
      <c r="F14" s="4" t="s">
        <v>71</v>
      </c>
      <c r="G14" s="4">
        <v>9000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24</v>
      </c>
      <c r="C15" s="4">
        <v>9000</v>
      </c>
      <c r="D15" s="4"/>
      <c r="E15" s="4">
        <v>12</v>
      </c>
      <c r="F15" s="4" t="s">
        <v>6</v>
      </c>
      <c r="G15" s="4">
        <v>127516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561</v>
      </c>
      <c r="C16" s="4">
        <v>28000</v>
      </c>
      <c r="D16" s="4"/>
      <c r="E16" s="4">
        <v>13</v>
      </c>
      <c r="F16" s="4" t="s">
        <v>238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68000</v>
      </c>
      <c r="D17" s="4"/>
      <c r="E17" s="4">
        <v>14</v>
      </c>
      <c r="F17" s="4" t="s">
        <v>886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760020</v>
      </c>
      <c r="D19" s="5"/>
      <c r="E19" s="5"/>
      <c r="F19" s="5"/>
      <c r="G19" s="5">
        <f>SUM(G4:G18)</f>
        <v>756116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3904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8409-12C7-47D9-B729-6F6A659BB057}">
  <dimension ref="A1:AE36"/>
  <sheetViews>
    <sheetView zoomScale="145" zoomScaleNormal="145" workbookViewId="0">
      <selection activeCell="F8" sqref="F8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893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173000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/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170000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170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226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4" t="s">
        <v>894</v>
      </c>
      <c r="G12" s="4">
        <v>2500</v>
      </c>
      <c r="K12" s="1">
        <f>27-33</f>
        <v>-6</v>
      </c>
    </row>
    <row r="13" spans="1:31">
      <c r="A13" s="4">
        <v>10</v>
      </c>
      <c r="B13" s="4"/>
      <c r="C13" s="4"/>
      <c r="D13" s="4"/>
      <c r="E13" s="4">
        <v>10</v>
      </c>
      <c r="F13" s="4" t="s">
        <v>238</v>
      </c>
      <c r="G13" s="4">
        <v>15000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861</v>
      </c>
      <c r="C14" s="4"/>
      <c r="D14" s="4"/>
      <c r="E14" s="4">
        <v>11</v>
      </c>
      <c r="F14" s="4" t="s">
        <v>71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24</v>
      </c>
      <c r="C15" s="4"/>
      <c r="D15" s="4"/>
      <c r="E15" s="4">
        <v>12</v>
      </c>
      <c r="F15" s="4" t="s">
        <v>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547</v>
      </c>
      <c r="C16" s="4">
        <v>9000</v>
      </c>
      <c r="D16" s="4"/>
      <c r="E16" s="4">
        <v>13</v>
      </c>
      <c r="F16" s="4" t="s">
        <v>238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7000</v>
      </c>
      <c r="D17" s="4"/>
      <c r="E17" s="4">
        <v>14</v>
      </c>
      <c r="F17" s="4" t="s">
        <v>886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189000</v>
      </c>
      <c r="D19" s="5"/>
      <c r="E19" s="5"/>
      <c r="F19" s="5"/>
      <c r="G19" s="5">
        <f>SUM(G4:G18)</f>
        <v>187920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1080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3C80-CD70-43B9-9814-677971407B1A}">
  <dimension ref="A1:AE36"/>
  <sheetViews>
    <sheetView zoomScale="145" zoomScaleNormal="145" workbookViewId="0">
      <selection activeCell="G18" sqref="G18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895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168190</v>
      </c>
      <c r="D4" s="4"/>
      <c r="E4" s="4">
        <v>1</v>
      </c>
      <c r="F4" s="4" t="s">
        <v>5</v>
      </c>
      <c r="G4" s="4">
        <v>300000</v>
      </c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>
        <v>143356</v>
      </c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120000</v>
      </c>
    </row>
    <row r="8" spans="1:31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>
        <v>190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361</v>
      </c>
      <c r="G11" s="4">
        <v>1250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4" t="s">
        <v>896</v>
      </c>
      <c r="G12" s="4">
        <v>1500</v>
      </c>
      <c r="K12" s="1">
        <f>27-33</f>
        <v>-6</v>
      </c>
    </row>
    <row r="13" spans="1:31">
      <c r="A13" s="4">
        <v>10</v>
      </c>
      <c r="B13" s="4" t="s">
        <v>494</v>
      </c>
      <c r="C13" s="4">
        <v>3260</v>
      </c>
      <c r="D13" s="4"/>
      <c r="E13" s="4">
        <v>10</v>
      </c>
      <c r="F13" s="4" t="s">
        <v>238</v>
      </c>
      <c r="G13" s="4">
        <v>25000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836</v>
      </c>
      <c r="C14" s="4">
        <v>9000</v>
      </c>
      <c r="D14" s="4"/>
      <c r="E14" s="4">
        <v>11</v>
      </c>
      <c r="F14" s="4" t="s">
        <v>71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24</v>
      </c>
      <c r="C15" s="4">
        <v>51000</v>
      </c>
      <c r="D15" s="4"/>
      <c r="E15" s="4">
        <v>12</v>
      </c>
      <c r="F15" s="4" t="s">
        <v>6</v>
      </c>
      <c r="G15" s="4">
        <v>125480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547</v>
      </c>
      <c r="C16" s="4">
        <v>24000</v>
      </c>
      <c r="D16" s="4"/>
      <c r="E16" s="4">
        <v>13</v>
      </c>
      <c r="F16" s="4" t="s">
        <v>238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23000</v>
      </c>
      <c r="D17" s="4"/>
      <c r="E17" s="4">
        <v>14</v>
      </c>
      <c r="F17" s="4" t="s">
        <v>886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>
        <v>14000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585806</v>
      </c>
      <c r="D19" s="5"/>
      <c r="E19" s="5"/>
      <c r="F19" s="5"/>
      <c r="G19" s="5">
        <f>SUM(G4:G18)</f>
        <v>573670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12136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5A58-A341-4B51-912F-256F81A6260B}">
  <dimension ref="A1:AE36"/>
  <sheetViews>
    <sheetView zoomScale="145" zoomScaleNormal="145" workbookViewId="0">
      <selection activeCell="F4" sqref="F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897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450670</v>
      </c>
      <c r="D4" s="4"/>
      <c r="E4" s="4">
        <v>1</v>
      </c>
      <c r="F4" s="4" t="s">
        <v>5</v>
      </c>
      <c r="G4" s="4">
        <v>250000</v>
      </c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>
        <v>198632</v>
      </c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180000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7</v>
      </c>
      <c r="C10" s="4">
        <v>31020</v>
      </c>
      <c r="D10" s="4"/>
      <c r="E10" s="4">
        <v>7</v>
      </c>
      <c r="F10" s="6" t="s">
        <v>20</v>
      </c>
      <c r="G10" s="4">
        <v>240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361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4" t="s">
        <v>896</v>
      </c>
      <c r="G12" s="4"/>
      <c r="K12" s="1">
        <f>27-33</f>
        <v>-6</v>
      </c>
    </row>
    <row r="13" spans="1:31">
      <c r="A13" s="4">
        <v>10</v>
      </c>
      <c r="B13" s="4" t="s">
        <v>494</v>
      </c>
      <c r="C13" s="4"/>
      <c r="D13" s="4"/>
      <c r="E13" s="4">
        <v>10</v>
      </c>
      <c r="F13" s="4" t="s">
        <v>900</v>
      </c>
      <c r="G13" s="4">
        <v>15000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836</v>
      </c>
      <c r="C14" s="4"/>
      <c r="D14" s="4"/>
      <c r="E14" s="4">
        <v>11</v>
      </c>
      <c r="F14" s="4" t="s">
        <v>71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24</v>
      </c>
      <c r="C15" s="4"/>
      <c r="D15" s="4"/>
      <c r="E15" s="4">
        <v>12</v>
      </c>
      <c r="F15" s="4" t="s">
        <v>6</v>
      </c>
      <c r="G15" s="4">
        <v>185632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547</v>
      </c>
      <c r="C16" s="4"/>
      <c r="D16" s="4"/>
      <c r="E16" s="4">
        <v>13</v>
      </c>
      <c r="F16" s="4" t="s">
        <v>899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898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680322</v>
      </c>
      <c r="D19" s="5"/>
      <c r="E19" s="5"/>
      <c r="F19" s="5"/>
      <c r="G19" s="5">
        <f>SUM(G4:G18)</f>
        <v>631122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49200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8328-BDE5-4839-AB2D-12A0BD944F77}">
  <dimension ref="A1:AE36"/>
  <sheetViews>
    <sheetView zoomScale="145" zoomScaleNormal="145" workbookViewId="0">
      <selection activeCell="F24" sqref="F2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901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221981</v>
      </c>
      <c r="D4" s="4"/>
      <c r="E4" s="4">
        <v>1</v>
      </c>
      <c r="F4" s="4" t="s">
        <v>5</v>
      </c>
      <c r="G4" s="4">
        <v>150000</v>
      </c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>
        <v>183632</v>
      </c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100000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902</v>
      </c>
      <c r="G11" s="4">
        <v>8500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4" t="s">
        <v>772</v>
      </c>
      <c r="G12" s="4">
        <v>20000</v>
      </c>
      <c r="K12" s="1">
        <f>27-33</f>
        <v>-6</v>
      </c>
    </row>
    <row r="13" spans="1:31">
      <c r="A13" s="4">
        <v>10</v>
      </c>
      <c r="B13" s="4" t="s">
        <v>494</v>
      </c>
      <c r="C13" s="4"/>
      <c r="D13" s="4"/>
      <c r="E13" s="4">
        <v>10</v>
      </c>
      <c r="F13" s="4" t="s">
        <v>269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836</v>
      </c>
      <c r="C14" s="4"/>
      <c r="D14" s="4"/>
      <c r="E14" s="4">
        <v>11</v>
      </c>
      <c r="F14" s="4" t="s">
        <v>810</v>
      </c>
      <c r="G14" s="4">
        <v>8500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24</v>
      </c>
      <c r="C15" s="4">
        <v>44000</v>
      </c>
      <c r="D15" s="4"/>
      <c r="E15" s="4">
        <v>12</v>
      </c>
      <c r="F15" s="4" t="s">
        <v>6</v>
      </c>
      <c r="G15" s="4">
        <v>140832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547</v>
      </c>
      <c r="C16" s="4"/>
      <c r="D16" s="4"/>
      <c r="E16" s="4">
        <v>13</v>
      </c>
      <c r="F16" s="4" t="s">
        <v>899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898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449613</v>
      </c>
      <c r="D19" s="5"/>
      <c r="E19" s="5"/>
      <c r="F19" s="5"/>
      <c r="G19" s="5">
        <f>SUM(G4:G18)</f>
        <v>433082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16531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N23"/>
  <sheetViews>
    <sheetView zoomScale="145" zoomScaleNormal="145" workbookViewId="0">
      <selection activeCell="F9" sqref="F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4" ht="17.25">
      <c r="B1" s="1" t="s">
        <v>21</v>
      </c>
      <c r="F1" s="2" t="s">
        <v>14</v>
      </c>
      <c r="G1" s="3" t="s">
        <v>136</v>
      </c>
    </row>
    <row r="3" spans="1:14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4">
      <c r="A4" s="4">
        <v>1</v>
      </c>
      <c r="B4" s="4" t="s">
        <v>4</v>
      </c>
      <c r="C4" s="4">
        <v>515480</v>
      </c>
      <c r="D4" s="4"/>
      <c r="E4" s="4">
        <v>1</v>
      </c>
      <c r="F4" s="4" t="s">
        <v>5</v>
      </c>
      <c r="G4" s="4">
        <v>350000</v>
      </c>
    </row>
    <row r="5" spans="1:14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4">
      <c r="A6" s="4">
        <v>3</v>
      </c>
      <c r="B6" s="4" t="s">
        <v>6</v>
      </c>
      <c r="C6" s="4">
        <v>144541</v>
      </c>
      <c r="D6" s="4"/>
      <c r="E6" s="4">
        <v>3</v>
      </c>
      <c r="F6" s="4" t="s">
        <v>38</v>
      </c>
      <c r="G6" s="4">
        <v>150000</v>
      </c>
    </row>
    <row r="7" spans="1:14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4">
      <c r="A8" s="4">
        <v>5</v>
      </c>
      <c r="B8" s="4" t="s">
        <v>58</v>
      </c>
      <c r="C8" s="4"/>
      <c r="D8" s="4"/>
      <c r="E8" s="4">
        <v>5</v>
      </c>
      <c r="F8" s="4" t="s">
        <v>9</v>
      </c>
      <c r="G8" s="4">
        <v>250</v>
      </c>
    </row>
    <row r="9" spans="1:14">
      <c r="A9" s="4">
        <v>6</v>
      </c>
      <c r="B9" s="4" t="s">
        <v>19</v>
      </c>
      <c r="C9" s="4">
        <v>100000</v>
      </c>
      <c r="D9" s="4"/>
      <c r="E9" s="4">
        <v>6</v>
      </c>
      <c r="F9" s="4" t="s">
        <v>40</v>
      </c>
      <c r="G9" s="4">
        <v>174709</v>
      </c>
    </row>
    <row r="10" spans="1:14">
      <c r="A10" s="4">
        <v>7</v>
      </c>
      <c r="B10" s="4" t="s">
        <v>24</v>
      </c>
      <c r="C10" s="4">
        <v>17000</v>
      </c>
      <c r="D10" s="4"/>
      <c r="E10" s="4">
        <v>7</v>
      </c>
      <c r="F10" s="4" t="s">
        <v>20</v>
      </c>
      <c r="G10" s="4">
        <v>280</v>
      </c>
    </row>
    <row r="11" spans="1:14">
      <c r="A11" s="4">
        <v>8</v>
      </c>
      <c r="B11" s="4" t="s">
        <v>7</v>
      </c>
      <c r="C11" s="4">
        <v>20000</v>
      </c>
      <c r="D11" s="4"/>
      <c r="E11" s="4">
        <v>8</v>
      </c>
      <c r="F11" s="4" t="s">
        <v>128</v>
      </c>
      <c r="G11" s="4"/>
    </row>
    <row r="12" spans="1:14">
      <c r="A12" s="4">
        <v>9</v>
      </c>
      <c r="B12" s="4" t="s">
        <v>129</v>
      </c>
      <c r="C12" s="4"/>
      <c r="D12" s="4"/>
      <c r="E12" s="4">
        <v>9</v>
      </c>
      <c r="F12" s="4" t="s">
        <v>130</v>
      </c>
      <c r="G12" s="4"/>
    </row>
    <row r="13" spans="1:14">
      <c r="A13" s="4">
        <v>10</v>
      </c>
      <c r="B13" s="4" t="s">
        <v>131</v>
      </c>
      <c r="C13" s="4"/>
      <c r="D13" s="4"/>
      <c r="E13" s="4">
        <v>10</v>
      </c>
      <c r="F13" s="4" t="s">
        <v>137</v>
      </c>
      <c r="G13" s="4"/>
      <c r="N13" s="1">
        <f>252+48</f>
        <v>300</v>
      </c>
    </row>
    <row r="14" spans="1:14">
      <c r="A14" s="4">
        <v>11</v>
      </c>
      <c r="B14" s="4" t="s">
        <v>50</v>
      </c>
      <c r="C14" s="4"/>
      <c r="D14" s="4"/>
      <c r="E14" s="4">
        <v>11</v>
      </c>
      <c r="F14" s="4" t="s">
        <v>133</v>
      </c>
      <c r="G14" s="4"/>
      <c r="N14" s="1">
        <f>300/13</f>
        <v>23.076923076923077</v>
      </c>
    </row>
    <row r="15" spans="1:14">
      <c r="A15" s="4">
        <v>12</v>
      </c>
      <c r="B15" s="4"/>
      <c r="C15" s="4"/>
      <c r="D15" s="4"/>
      <c r="E15" s="4">
        <v>12</v>
      </c>
      <c r="F15" s="4" t="s">
        <v>134</v>
      </c>
      <c r="G15" s="4"/>
    </row>
    <row r="16" spans="1:14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116441</v>
      </c>
    </row>
    <row r="17" spans="1:12">
      <c r="A17" s="4">
        <v>14</v>
      </c>
      <c r="B17" s="4"/>
      <c r="C17" s="4"/>
      <c r="D17" s="4"/>
      <c r="E17" s="4">
        <v>14</v>
      </c>
      <c r="F17" s="4"/>
      <c r="G17" s="4" t="s">
        <v>138</v>
      </c>
      <c r="K17" s="1">
        <f>36589-16000</f>
        <v>20589</v>
      </c>
      <c r="L17" s="1">
        <f>350+122</f>
        <v>472</v>
      </c>
    </row>
    <row r="18" spans="1:12">
      <c r="A18" s="4">
        <v>15</v>
      </c>
      <c r="B18" s="4"/>
      <c r="C18" s="4"/>
      <c r="D18" s="4"/>
      <c r="E18" s="4">
        <v>15</v>
      </c>
      <c r="F18" s="4"/>
      <c r="G18" s="4"/>
      <c r="K18" s="1">
        <f>9050+11110+20589</f>
        <v>40749</v>
      </c>
    </row>
    <row r="19" spans="1:12">
      <c r="A19" s="5"/>
      <c r="B19" s="5"/>
      <c r="C19" s="5">
        <f>SUM(C4:C18)</f>
        <v>797021</v>
      </c>
      <c r="D19" s="5"/>
      <c r="E19" s="5"/>
      <c r="F19" s="5"/>
      <c r="G19" s="5">
        <f>SUM(G4:G18)</f>
        <v>791895</v>
      </c>
    </row>
    <row r="20" spans="1:12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2">
      <c r="A21" s="5"/>
      <c r="B21" s="5"/>
      <c r="C21" s="5"/>
      <c r="D21" s="5"/>
      <c r="E21" s="5"/>
      <c r="F21" s="5"/>
      <c r="G21" s="5"/>
    </row>
    <row r="22" spans="1:12">
      <c r="A22" s="5"/>
      <c r="B22" s="5" t="s">
        <v>12</v>
      </c>
      <c r="C22" s="5">
        <f>C19-G19</f>
        <v>5126</v>
      </c>
      <c r="D22" s="5"/>
      <c r="E22" s="5"/>
      <c r="F22" s="5"/>
      <c r="G22" s="5"/>
      <c r="J22" s="1">
        <f>124500+500000</f>
        <v>624500</v>
      </c>
    </row>
    <row r="23" spans="1:12">
      <c r="J23" s="1">
        <f>624500-605173</f>
        <v>19327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03C3-670B-4653-975B-56A5C16D0C0C}">
  <dimension ref="A1:AE36"/>
  <sheetViews>
    <sheetView zoomScale="145" zoomScaleNormal="145" workbookViewId="0">
      <selection activeCell="F20" sqref="F2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903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20000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>
        <v>171792</v>
      </c>
      <c r="D6" s="4"/>
      <c r="E6" s="4">
        <v>3</v>
      </c>
      <c r="F6" s="4" t="s">
        <v>813</v>
      </c>
      <c r="G6" s="4">
        <v>100000</v>
      </c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8</v>
      </c>
      <c r="C8" s="4">
        <v>63000</v>
      </c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156</v>
      </c>
      <c r="C9" s="4">
        <v>54000</v>
      </c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>
        <v>170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902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4" t="s">
        <v>904</v>
      </c>
      <c r="G12" s="4">
        <v>2000</v>
      </c>
      <c r="K12" s="1">
        <f>27-33</f>
        <v>-6</v>
      </c>
    </row>
    <row r="13" spans="1:31">
      <c r="A13" s="4">
        <v>10</v>
      </c>
      <c r="B13" s="4" t="s">
        <v>494</v>
      </c>
      <c r="C13" s="4"/>
      <c r="D13" s="4"/>
      <c r="E13" s="4">
        <v>10</v>
      </c>
      <c r="F13" s="4" t="s">
        <v>905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836</v>
      </c>
      <c r="C14" s="4"/>
      <c r="D14" s="4"/>
      <c r="E14" s="4">
        <v>11</v>
      </c>
      <c r="F14" s="4" t="s">
        <v>810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24</v>
      </c>
      <c r="C15" s="4"/>
      <c r="D15" s="4"/>
      <c r="E15" s="4">
        <v>12</v>
      </c>
      <c r="F15" s="4" t="s">
        <v>6</v>
      </c>
      <c r="G15" s="4">
        <v>113328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547</v>
      </c>
      <c r="C16" s="4"/>
      <c r="D16" s="4"/>
      <c r="E16" s="4">
        <v>13</v>
      </c>
      <c r="F16" s="4"/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898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308792</v>
      </c>
      <c r="D19" s="5"/>
      <c r="E19" s="5"/>
      <c r="F19" s="5"/>
      <c r="G19" s="5">
        <f>SUM(G4:G18)</f>
        <v>218748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90044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4829-208C-4B28-B825-D52DB04497C6}">
  <dimension ref="A1:AE36"/>
  <sheetViews>
    <sheetView zoomScale="145" zoomScaleNormal="145" workbookViewId="0">
      <selection activeCell="B16" sqref="B1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906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389000</v>
      </c>
      <c r="D4" s="4"/>
      <c r="E4" s="4">
        <v>1</v>
      </c>
      <c r="F4" s="4" t="s">
        <v>5</v>
      </c>
      <c r="G4" s="4">
        <v>300000</v>
      </c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>
        <v>200000</v>
      </c>
      <c r="K5" s="1">
        <f>103+85+160</f>
        <v>348</v>
      </c>
    </row>
    <row r="6" spans="1:31">
      <c r="A6" s="4">
        <v>3</v>
      </c>
      <c r="B6" s="4" t="s">
        <v>6</v>
      </c>
      <c r="C6" s="4"/>
      <c r="D6" s="4"/>
      <c r="E6" s="4">
        <v>3</v>
      </c>
      <c r="F6" s="4" t="s">
        <v>813</v>
      </c>
      <c r="G6" s="4">
        <v>115000</v>
      </c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19</v>
      </c>
      <c r="C8" s="4">
        <v>138200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124</v>
      </c>
      <c r="C9" s="4">
        <v>118040</v>
      </c>
      <c r="D9" s="4"/>
      <c r="E9" s="4">
        <v>6</v>
      </c>
      <c r="F9" s="4" t="s">
        <v>9</v>
      </c>
      <c r="G9" s="4">
        <v>300</v>
      </c>
      <c r="K9" s="1">
        <v>80</v>
      </c>
    </row>
    <row r="10" spans="1:31">
      <c r="A10" s="4">
        <v>7</v>
      </c>
      <c r="B10" s="4" t="s">
        <v>7</v>
      </c>
      <c r="C10" s="4">
        <v>50000</v>
      </c>
      <c r="D10" s="4"/>
      <c r="E10" s="4">
        <v>7</v>
      </c>
      <c r="F10" s="6" t="s">
        <v>20</v>
      </c>
      <c r="G10" s="4">
        <v>190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238</v>
      </c>
      <c r="G11" s="4">
        <v>20000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12" t="s">
        <v>907</v>
      </c>
      <c r="G12" s="4">
        <v>50000</v>
      </c>
      <c r="K12" s="1">
        <f>27-33</f>
        <v>-6</v>
      </c>
    </row>
    <row r="13" spans="1:31">
      <c r="A13" s="4">
        <v>10</v>
      </c>
      <c r="B13" s="4" t="s">
        <v>494</v>
      </c>
      <c r="C13" s="4"/>
      <c r="D13" s="4"/>
      <c r="E13" s="4">
        <v>10</v>
      </c>
      <c r="F13" s="4" t="s">
        <v>908</v>
      </c>
      <c r="G13" s="4">
        <v>10378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836</v>
      </c>
      <c r="C14" s="4"/>
      <c r="D14" s="4"/>
      <c r="E14" s="4">
        <v>11</v>
      </c>
      <c r="F14" s="4" t="s">
        <v>810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314</v>
      </c>
      <c r="C15" s="4">
        <v>1000</v>
      </c>
      <c r="D15" s="4"/>
      <c r="E15" s="4">
        <v>12</v>
      </c>
      <c r="F15" s="4" t="s">
        <v>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547</v>
      </c>
      <c r="C16" s="4"/>
      <c r="D16" s="4"/>
      <c r="E16" s="4">
        <v>13</v>
      </c>
      <c r="F16" s="4"/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898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696240</v>
      </c>
      <c r="D19" s="5"/>
      <c r="E19" s="5"/>
      <c r="F19" s="5"/>
      <c r="G19" s="5">
        <f>SUM(G4:G18)</f>
        <v>695968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272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4583-5FFE-475F-90C5-84F358C0D6D2}">
  <dimension ref="A1:AE36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909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715000</v>
      </c>
      <c r="D4" s="4"/>
      <c r="E4" s="4">
        <v>1</v>
      </c>
      <c r="F4" s="4" t="s">
        <v>5</v>
      </c>
      <c r="G4" s="4">
        <v>552000</v>
      </c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>
        <v>184493</v>
      </c>
      <c r="D6" s="4"/>
      <c r="E6" s="4">
        <v>3</v>
      </c>
      <c r="F6" s="4" t="s">
        <v>813</v>
      </c>
      <c r="G6" s="4">
        <v>230000</v>
      </c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7</v>
      </c>
      <c r="C10" s="4">
        <v>43000</v>
      </c>
      <c r="D10" s="4"/>
      <c r="E10" s="4">
        <v>7</v>
      </c>
      <c r="F10" s="6" t="s">
        <v>20</v>
      </c>
      <c r="G10" s="4">
        <v>240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238</v>
      </c>
      <c r="G11" s="4">
        <v>21000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12" t="s">
        <v>910</v>
      </c>
      <c r="G12" s="4">
        <v>2550</v>
      </c>
      <c r="K12" s="1">
        <f>27-33</f>
        <v>-6</v>
      </c>
    </row>
    <row r="13" spans="1:31">
      <c r="A13" s="4">
        <v>10</v>
      </c>
      <c r="B13" s="4" t="s">
        <v>494</v>
      </c>
      <c r="C13" s="4"/>
      <c r="D13" s="4"/>
      <c r="E13" s="4">
        <v>10</v>
      </c>
      <c r="F13" s="12" t="s">
        <v>911</v>
      </c>
      <c r="G13" s="4">
        <v>3180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836</v>
      </c>
      <c r="C14" s="4"/>
      <c r="D14" s="4"/>
      <c r="E14" s="4">
        <v>11</v>
      </c>
      <c r="F14" s="12" t="s">
        <v>912</v>
      </c>
      <c r="G14" s="4">
        <v>8070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314</v>
      </c>
      <c r="C15" s="4"/>
      <c r="D15" s="4"/>
      <c r="E15" s="4">
        <v>12</v>
      </c>
      <c r="F15" s="4" t="s">
        <v>913</v>
      </c>
      <c r="G15" s="4">
        <v>3870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547</v>
      </c>
      <c r="C16" s="4"/>
      <c r="D16" s="4"/>
      <c r="E16" s="4">
        <v>13</v>
      </c>
      <c r="F16" s="4" t="s">
        <v>6</v>
      </c>
      <c r="G16" s="4">
        <v>82840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588</v>
      </c>
      <c r="G17" s="4">
        <v>240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942493</v>
      </c>
      <c r="D19" s="5"/>
      <c r="E19" s="5"/>
      <c r="F19" s="5"/>
      <c r="G19" s="5">
        <f>SUM(G4:G18)</f>
        <v>904340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38153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7E56-AA6C-4ADA-B501-0D3C50122E68}">
  <dimension ref="A1:AE36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914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568100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130000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7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238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12" t="s">
        <v>915</v>
      </c>
      <c r="G12" s="4">
        <v>500000</v>
      </c>
      <c r="K12" s="1">
        <f>27-33</f>
        <v>-6</v>
      </c>
    </row>
    <row r="13" spans="1:31">
      <c r="A13" s="4">
        <v>10</v>
      </c>
      <c r="B13" s="4" t="s">
        <v>494</v>
      </c>
      <c r="C13" s="4"/>
      <c r="D13" s="4"/>
      <c r="E13" s="4">
        <v>10</v>
      </c>
      <c r="F13" s="12" t="s">
        <v>226</v>
      </c>
      <c r="G13" s="4">
        <v>10000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836</v>
      </c>
      <c r="C14" s="4"/>
      <c r="D14" s="4"/>
      <c r="E14" s="4">
        <v>11</v>
      </c>
      <c r="F14" s="12" t="s">
        <v>912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314</v>
      </c>
      <c r="C15" s="4"/>
      <c r="D15" s="4"/>
      <c r="E15" s="4">
        <v>12</v>
      </c>
      <c r="F15" s="4" t="s">
        <v>913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>
        <v>18000</v>
      </c>
      <c r="D16" s="4"/>
      <c r="E16" s="4">
        <v>13</v>
      </c>
      <c r="F16" s="4" t="s">
        <v>6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40000</v>
      </c>
      <c r="D17" s="4"/>
      <c r="E17" s="4">
        <v>14</v>
      </c>
      <c r="F17" s="4" t="s">
        <v>588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>
        <v>15000</v>
      </c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641100</v>
      </c>
      <c r="D19" s="5"/>
      <c r="E19" s="5"/>
      <c r="F19" s="5"/>
      <c r="G19" s="5">
        <f>SUM(G4:G18)</f>
        <v>640250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850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D1CE-409C-4F02-B3C8-097D78468340}">
  <dimension ref="A1:AE36"/>
  <sheetViews>
    <sheetView zoomScale="145" zoomScaleNormal="145" workbookViewId="0">
      <selection activeCell="G11" sqref="G11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914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99500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>
        <v>311649</v>
      </c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180000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124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8</v>
      </c>
      <c r="C10" s="4">
        <v>20000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878</v>
      </c>
      <c r="C11" s="4"/>
      <c r="D11" s="4"/>
      <c r="E11" s="4">
        <v>8</v>
      </c>
      <c r="F11" s="4" t="s">
        <v>238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287</v>
      </c>
      <c r="C12" s="4"/>
      <c r="D12" s="4"/>
      <c r="E12" s="4">
        <v>9</v>
      </c>
      <c r="F12" s="12" t="s">
        <v>915</v>
      </c>
      <c r="G12" s="4"/>
      <c r="K12" s="1">
        <f>27-33</f>
        <v>-6</v>
      </c>
    </row>
    <row r="13" spans="1:31">
      <c r="A13" s="4">
        <v>10</v>
      </c>
      <c r="B13" s="4" t="s">
        <v>494</v>
      </c>
      <c r="C13" s="4"/>
      <c r="D13" s="4"/>
      <c r="E13" s="4">
        <v>10</v>
      </c>
      <c r="F13" s="12" t="s">
        <v>364</v>
      </c>
      <c r="G13" s="4">
        <v>15000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836</v>
      </c>
      <c r="C14" s="4"/>
      <c r="D14" s="4"/>
      <c r="E14" s="4">
        <v>11</v>
      </c>
      <c r="F14" s="12" t="s">
        <v>912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314</v>
      </c>
      <c r="C15" s="4"/>
      <c r="D15" s="4"/>
      <c r="E15" s="4">
        <v>12</v>
      </c>
      <c r="F15" s="4" t="s">
        <v>913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6</v>
      </c>
      <c r="G16" s="4">
        <v>230149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588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431149</v>
      </c>
      <c r="D19" s="5"/>
      <c r="E19" s="5"/>
      <c r="F19" s="5"/>
      <c r="G19" s="5">
        <f>SUM(G4:G18)</f>
        <v>425399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5750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D049-1677-452A-880F-939BF9400352}">
  <dimension ref="A1:AE36"/>
  <sheetViews>
    <sheetView zoomScale="145" zoomScaleNormal="145" workbookViewId="0">
      <selection activeCell="G11" sqref="G11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916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158270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4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6</v>
      </c>
      <c r="C6" s="4">
        <v>230149</v>
      </c>
      <c r="D6" s="4"/>
      <c r="E6" s="4">
        <v>3</v>
      </c>
      <c r="F6" s="4" t="s">
        <v>813</v>
      </c>
      <c r="G6" s="4">
        <v>507000</v>
      </c>
      <c r="N6" s="1">
        <f>190+120</f>
        <v>310</v>
      </c>
    </row>
    <row r="7" spans="1:31">
      <c r="A7" s="4">
        <v>4</v>
      </c>
      <c r="B7" s="4" t="s">
        <v>17</v>
      </c>
      <c r="C7" s="4"/>
      <c r="D7" s="4"/>
      <c r="E7" s="4">
        <v>4</v>
      </c>
      <c r="F7" s="4" t="s">
        <v>336</v>
      </c>
      <c r="G7" s="4">
        <v>40000</v>
      </c>
    </row>
    <row r="8" spans="1:31">
      <c r="A8" s="4">
        <v>5</v>
      </c>
      <c r="B8" s="4" t="s">
        <v>917</v>
      </c>
      <c r="C8" s="4">
        <v>190000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238</v>
      </c>
      <c r="C9" s="4">
        <v>50000</v>
      </c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8</v>
      </c>
      <c r="C10" s="4"/>
      <c r="D10" s="4"/>
      <c r="E10" s="4">
        <v>7</v>
      </c>
      <c r="F10" s="6" t="s">
        <v>20</v>
      </c>
      <c r="G10" s="4">
        <v>110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920</v>
      </c>
      <c r="C11" s="4">
        <v>7770</v>
      </c>
      <c r="D11" s="4"/>
      <c r="E11" s="4">
        <v>8</v>
      </c>
      <c r="F11" s="4" t="s">
        <v>238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278</v>
      </c>
      <c r="C12" s="4">
        <v>22625</v>
      </c>
      <c r="D12" s="4"/>
      <c r="E12" s="4">
        <v>9</v>
      </c>
      <c r="F12" s="12" t="s">
        <v>915</v>
      </c>
      <c r="G12" s="4"/>
      <c r="K12" s="1">
        <f>27-33</f>
        <v>-6</v>
      </c>
    </row>
    <row r="13" spans="1:31">
      <c r="A13" s="4">
        <v>10</v>
      </c>
      <c r="B13" s="4" t="s">
        <v>494</v>
      </c>
      <c r="C13" s="4"/>
      <c r="D13" s="4"/>
      <c r="E13" s="4">
        <v>10</v>
      </c>
      <c r="F13" s="12" t="s">
        <v>364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836</v>
      </c>
      <c r="C14" s="4">
        <v>15000</v>
      </c>
      <c r="D14" s="4"/>
      <c r="E14" s="4">
        <v>11</v>
      </c>
      <c r="F14" s="12" t="s">
        <v>263</v>
      </c>
      <c r="G14" s="4">
        <v>750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921</v>
      </c>
      <c r="C15" s="4">
        <v>32000</v>
      </c>
      <c r="D15" s="4"/>
      <c r="E15" s="4">
        <v>12</v>
      </c>
      <c r="F15" s="4" t="s">
        <v>913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170149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918</v>
      </c>
      <c r="C17" s="4">
        <v>13000</v>
      </c>
      <c r="D17" s="4"/>
      <c r="E17" s="4">
        <v>14</v>
      </c>
      <c r="F17" s="4" t="s">
        <v>588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4" t="s">
        <v>127</v>
      </c>
      <c r="C18" s="4"/>
      <c r="D18" s="4"/>
      <c r="E18" s="4">
        <v>15</v>
      </c>
      <c r="F18" s="4"/>
      <c r="G18" s="4"/>
      <c r="I18" s="1">
        <f>51314+13688</f>
        <v>65002</v>
      </c>
      <c r="J18" s="1">
        <f>43128-20000-21470</f>
        <v>1658</v>
      </c>
      <c r="K18" s="1">
        <v>6800</v>
      </c>
      <c r="O18" s="1">
        <f>326</f>
        <v>326</v>
      </c>
    </row>
    <row r="19" spans="1:17">
      <c r="A19" s="5"/>
      <c r="B19" s="5"/>
      <c r="C19" s="5">
        <f>SUM(C4:C18)</f>
        <v>718814</v>
      </c>
      <c r="D19" s="5"/>
      <c r="E19" s="5"/>
      <c r="F19" s="5"/>
      <c r="G19" s="5">
        <f>SUM(G4:G18)</f>
        <v>718359</v>
      </c>
      <c r="I19" s="1">
        <f>69686-65002</f>
        <v>4684</v>
      </c>
      <c r="J19" s="1">
        <f>44-21</f>
        <v>23</v>
      </c>
      <c r="K19" s="1">
        <v>13860</v>
      </c>
      <c r="M19" s="1">
        <f>112/2612</f>
        <v>4.2879019908116385E-2</v>
      </c>
      <c r="N19" s="1">
        <f>24871-7000</f>
        <v>17871</v>
      </c>
    </row>
    <row r="20" spans="1:17">
      <c r="A20" s="5"/>
      <c r="B20" s="5"/>
      <c r="C20" s="5"/>
      <c r="D20" s="5"/>
      <c r="E20" s="5"/>
      <c r="F20" s="5"/>
      <c r="G20" s="5"/>
      <c r="K20" s="1">
        <v>15240</v>
      </c>
      <c r="M20" s="1">
        <f>23221*M19</f>
        <v>995.69372128637053</v>
      </c>
      <c r="O20" s="1">
        <f>19800-13000</f>
        <v>6800</v>
      </c>
      <c r="Q20" s="1">
        <f>48500-25000</f>
        <v>23500</v>
      </c>
    </row>
    <row r="21" spans="1:17">
      <c r="A21" s="5"/>
      <c r="B21" s="5"/>
      <c r="C21" s="5"/>
      <c r="D21" s="5"/>
      <c r="E21" s="5"/>
      <c r="F21" s="5"/>
      <c r="G21" s="5"/>
      <c r="K21" s="1">
        <v>2000</v>
      </c>
      <c r="L21" s="1">
        <f>30281-27500</f>
        <v>2781</v>
      </c>
      <c r="M21" s="1">
        <f>11*12</f>
        <v>132</v>
      </c>
    </row>
    <row r="22" spans="1:17">
      <c r="A22" s="5"/>
      <c r="B22" s="5" t="s">
        <v>12</v>
      </c>
      <c r="C22" s="5">
        <f>C19-G19</f>
        <v>455</v>
      </c>
      <c r="D22" s="5"/>
      <c r="E22" s="5"/>
      <c r="F22" s="5"/>
      <c r="G22" s="5"/>
      <c r="I22" s="1">
        <f>58*12</f>
        <v>696</v>
      </c>
      <c r="J22" s="1">
        <f>75+60+45+20</f>
        <v>200</v>
      </c>
      <c r="K22" s="1">
        <v>4455</v>
      </c>
      <c r="N22" s="1">
        <f>53+31</f>
        <v>84</v>
      </c>
      <c r="Q22" s="1">
        <f>27038-12500</f>
        <v>14538</v>
      </c>
    </row>
    <row r="23" spans="1:17">
      <c r="I23" s="1">
        <f>766/13</f>
        <v>58.92307692307692</v>
      </c>
      <c r="J23" s="1">
        <f>120/3920</f>
        <v>3.0612244897959183E-2</v>
      </c>
      <c r="K23" s="1">
        <v>6450</v>
      </c>
      <c r="Q23" s="1">
        <f>66129+10000</f>
        <v>76129</v>
      </c>
    </row>
    <row r="24" spans="1:17">
      <c r="J24" s="1">
        <f>2505*J23</f>
        <v>76.683673469387756</v>
      </c>
      <c r="K24" s="1">
        <v>14809</v>
      </c>
      <c r="M24" s="1">
        <f>5800+6000+3860</f>
        <v>15660</v>
      </c>
      <c r="O24" s="1">
        <f>17640-9500</f>
        <v>8140</v>
      </c>
    </row>
    <row r="25" spans="1:17">
      <c r="I25" s="1">
        <f>975-15</f>
        <v>960</v>
      </c>
      <c r="K25" s="1">
        <v>14685</v>
      </c>
    </row>
    <row r="26" spans="1:17">
      <c r="I26" s="1">
        <f>960*12/13</f>
        <v>886.15384615384619</v>
      </c>
      <c r="K26" s="1">
        <v>22924</v>
      </c>
    </row>
    <row r="27" spans="1:17">
      <c r="K27" s="1">
        <f>SUM(K18:K26)</f>
        <v>101223</v>
      </c>
      <c r="N27" s="1">
        <f>6450+14809+4455</f>
        <v>25714</v>
      </c>
    </row>
    <row r="29" spans="1:17">
      <c r="J29" s="9">
        <v>1812417099</v>
      </c>
    </row>
    <row r="31" spans="1:17">
      <c r="N31" s="1">
        <f>591*6</f>
        <v>3546</v>
      </c>
    </row>
    <row r="32" spans="1:17">
      <c r="B32" s="10"/>
      <c r="N32" s="1">
        <f>SUM(N29:N31)</f>
        <v>3546</v>
      </c>
    </row>
    <row r="33" spans="2:14">
      <c r="B33" s="10"/>
    </row>
    <row r="34" spans="2:14">
      <c r="B34" s="10"/>
      <c r="N34" s="1">
        <f>792-853</f>
        <v>-61</v>
      </c>
    </row>
    <row r="35" spans="2:14">
      <c r="B35" s="10"/>
    </row>
    <row r="36" spans="2:14">
      <c r="B36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ED04-08F7-41A0-A0DB-A0CAB29CA94C}">
  <dimension ref="A1:AE39"/>
  <sheetViews>
    <sheetView zoomScale="145" zoomScaleNormal="145" workbookViewId="0">
      <selection activeCell="F20" sqref="F2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916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442500</v>
      </c>
      <c r="D4" s="4"/>
      <c r="E4" s="4">
        <v>1</v>
      </c>
      <c r="F4" s="4" t="s">
        <v>5</v>
      </c>
      <c r="G4" s="4">
        <v>350000</v>
      </c>
    </row>
    <row r="5" spans="1:31">
      <c r="A5" s="4">
        <v>2</v>
      </c>
      <c r="B5" s="4" t="s">
        <v>6</v>
      </c>
      <c r="C5" s="4">
        <v>185989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>
        <v>100000</v>
      </c>
      <c r="D6" s="4"/>
      <c r="E6" s="4">
        <v>3</v>
      </c>
      <c r="F6" s="4" t="s">
        <v>820</v>
      </c>
      <c r="G6" s="4">
        <v>570000</v>
      </c>
      <c r="N6" s="1">
        <f>190+120</f>
        <v>310</v>
      </c>
    </row>
    <row r="7" spans="1:31">
      <c r="A7" s="4">
        <v>4</v>
      </c>
      <c r="B7" s="4" t="s">
        <v>923</v>
      </c>
      <c r="C7" s="4">
        <v>150000</v>
      </c>
      <c r="D7" s="4"/>
      <c r="E7" s="4">
        <v>4</v>
      </c>
      <c r="F7" s="4" t="s">
        <v>336</v>
      </c>
      <c r="G7" s="4">
        <v>570000</v>
      </c>
    </row>
    <row r="8" spans="1:31">
      <c r="A8" s="4">
        <v>5</v>
      </c>
      <c r="B8" s="4" t="s">
        <v>238</v>
      </c>
      <c r="C8" s="4">
        <v>110000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7</v>
      </c>
      <c r="C9" s="4">
        <v>70000</v>
      </c>
      <c r="D9" s="4"/>
      <c r="E9" s="4">
        <v>6</v>
      </c>
      <c r="F9" s="4" t="s">
        <v>9</v>
      </c>
      <c r="G9" s="4">
        <v>400</v>
      </c>
      <c r="K9" s="1">
        <v>80</v>
      </c>
    </row>
    <row r="10" spans="1:31">
      <c r="A10" s="4">
        <v>7</v>
      </c>
      <c r="B10" s="4" t="s">
        <v>920</v>
      </c>
      <c r="C10" s="4">
        <v>55000</v>
      </c>
      <c r="D10" s="4"/>
      <c r="E10" s="4">
        <v>7</v>
      </c>
      <c r="F10" s="6" t="s">
        <v>20</v>
      </c>
      <c r="G10" s="4">
        <v>150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707</v>
      </c>
      <c r="C11" s="4">
        <v>28900</v>
      </c>
      <c r="D11" s="4"/>
      <c r="E11" s="4">
        <v>8</v>
      </c>
      <c r="F11" s="4" t="s">
        <v>926</v>
      </c>
      <c r="G11" s="4">
        <v>4700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924</v>
      </c>
      <c r="C12" s="4">
        <v>88080</v>
      </c>
      <c r="D12" s="4"/>
      <c r="E12" s="4">
        <v>9</v>
      </c>
      <c r="F12" s="12" t="s">
        <v>925</v>
      </c>
      <c r="G12" s="4">
        <v>50000</v>
      </c>
      <c r="K12" s="1">
        <f>27-33</f>
        <v>-6</v>
      </c>
    </row>
    <row r="13" spans="1:31">
      <c r="A13" s="4">
        <v>10</v>
      </c>
      <c r="B13" s="4" t="s">
        <v>519</v>
      </c>
      <c r="C13" s="4">
        <v>34180</v>
      </c>
      <c r="D13" s="4"/>
      <c r="E13" s="4">
        <v>10</v>
      </c>
      <c r="F13" s="12" t="s">
        <v>560</v>
      </c>
      <c r="G13" s="4">
        <v>300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638</v>
      </c>
      <c r="C14" s="4">
        <v>22380</v>
      </c>
      <c r="D14" s="4"/>
      <c r="E14" s="4">
        <v>11</v>
      </c>
      <c r="F14" s="12" t="s">
        <v>361</v>
      </c>
      <c r="G14" s="4">
        <v>350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289</v>
      </c>
      <c r="C15" s="4">
        <v>151000</v>
      </c>
      <c r="D15" s="4"/>
      <c r="E15" s="4">
        <v>12</v>
      </c>
      <c r="F15" s="4" t="s">
        <v>913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>
        <v>25000</v>
      </c>
      <c r="D16" s="4"/>
      <c r="E16" s="4">
        <v>13</v>
      </c>
      <c r="F16" s="4" t="s">
        <v>919</v>
      </c>
      <c r="G16" s="4">
        <v>84764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89000</v>
      </c>
      <c r="D17" s="4"/>
      <c r="E17" s="4">
        <v>14</v>
      </c>
      <c r="F17" s="4" t="s">
        <v>588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>
        <v>11855</v>
      </c>
      <c r="D18" s="4"/>
      <c r="E18" s="4"/>
      <c r="F18" s="4" t="s">
        <v>927</v>
      </c>
      <c r="G18" s="4">
        <v>460</v>
      </c>
    </row>
    <row r="19" spans="1:17">
      <c r="A19" s="4">
        <v>16</v>
      </c>
      <c r="B19" s="6" t="s">
        <v>832</v>
      </c>
      <c r="C19" s="4">
        <v>16523</v>
      </c>
      <c r="D19" s="4"/>
      <c r="E19" s="4"/>
      <c r="F19" s="4"/>
      <c r="G19" s="4"/>
      <c r="J19" s="1">
        <f>128304-80000</f>
        <v>48304</v>
      </c>
    </row>
    <row r="20" spans="1:17">
      <c r="A20" s="4">
        <v>17</v>
      </c>
      <c r="B20" s="6" t="s">
        <v>928</v>
      </c>
      <c r="C20" s="4">
        <v>22000</v>
      </c>
      <c r="D20" s="4"/>
      <c r="E20" s="4"/>
      <c r="F20" s="4"/>
      <c r="G20" s="4"/>
    </row>
    <row r="21" spans="1:17">
      <c r="A21" s="4">
        <v>18</v>
      </c>
      <c r="B21" s="4" t="s">
        <v>127</v>
      </c>
      <c r="C21" s="4">
        <v>43500</v>
      </c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1645907</v>
      </c>
      <c r="D22" s="5"/>
      <c r="E22" s="5"/>
      <c r="F22" s="5"/>
      <c r="G22" s="5">
        <f>SUM(G4:G21)</f>
        <v>1631224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14683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9ABC-29D4-46FD-BD2E-DB333D5A1A13}">
  <dimension ref="A1:AE39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929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151296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/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238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</v>
      </c>
      <c r="G9" s="4">
        <v>100</v>
      </c>
      <c r="K9" s="1">
        <v>80</v>
      </c>
    </row>
    <row r="10" spans="1:31">
      <c r="A10" s="4">
        <v>7</v>
      </c>
      <c r="B10" s="4" t="s">
        <v>920</v>
      </c>
      <c r="C10" s="4">
        <v>32480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707</v>
      </c>
      <c r="C11" s="4"/>
      <c r="D11" s="4"/>
      <c r="E11" s="4">
        <v>8</v>
      </c>
      <c r="F11" s="4" t="s">
        <v>926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924</v>
      </c>
      <c r="C12" s="4"/>
      <c r="D12" s="4"/>
      <c r="E12" s="4">
        <v>9</v>
      </c>
      <c r="F12" s="12" t="s">
        <v>925</v>
      </c>
      <c r="G12" s="4"/>
      <c r="K12" s="1">
        <f>27-33</f>
        <v>-6</v>
      </c>
    </row>
    <row r="13" spans="1:31">
      <c r="A13" s="4">
        <v>10</v>
      </c>
      <c r="B13" s="4" t="s">
        <v>519</v>
      </c>
      <c r="C13" s="4"/>
      <c r="D13" s="4"/>
      <c r="E13" s="4">
        <v>10</v>
      </c>
      <c r="F13" s="12" t="s">
        <v>238</v>
      </c>
      <c r="G13" s="4">
        <v>25000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638</v>
      </c>
      <c r="C14" s="4"/>
      <c r="D14" s="4"/>
      <c r="E14" s="4">
        <v>11</v>
      </c>
      <c r="F14" s="12" t="s">
        <v>930</v>
      </c>
      <c r="G14" s="4">
        <v>15000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289</v>
      </c>
      <c r="C15" s="4"/>
      <c r="D15" s="4"/>
      <c r="E15" s="4">
        <v>12</v>
      </c>
      <c r="F15" s="4" t="s">
        <v>913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109556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588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927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/>
      <c r="G19" s="4"/>
      <c r="J19" s="1">
        <f>128304-80000</f>
        <v>48304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183776</v>
      </c>
      <c r="D22" s="5"/>
      <c r="E22" s="5"/>
      <c r="F22" s="5"/>
      <c r="G22" s="5">
        <f>SUM(G4:G21)</f>
        <v>149656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34120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6648-47D4-43A8-97C7-66DA69AD3ADE}">
  <dimension ref="A1:AE39"/>
  <sheetViews>
    <sheetView zoomScale="145" zoomScaleNormal="145" workbookViewId="0">
      <selection activeCell="H10" sqref="H1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931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393900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>
        <v>169048</v>
      </c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410000</v>
      </c>
    </row>
    <row r="8" spans="1:31">
      <c r="A8" s="4">
        <v>5</v>
      </c>
      <c r="B8" s="4" t="s">
        <v>238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</v>
      </c>
      <c r="G9" s="4">
        <v>250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>
        <v>110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707</v>
      </c>
      <c r="C11" s="4"/>
      <c r="D11" s="4"/>
      <c r="E11" s="4">
        <v>8</v>
      </c>
      <c r="F11" s="4" t="s">
        <v>926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924</v>
      </c>
      <c r="C12" s="4"/>
      <c r="D12" s="4"/>
      <c r="E12" s="4">
        <v>9</v>
      </c>
      <c r="F12" s="12" t="s">
        <v>925</v>
      </c>
      <c r="G12" s="4"/>
      <c r="K12" s="1">
        <f>27-33</f>
        <v>-6</v>
      </c>
    </row>
    <row r="13" spans="1:31">
      <c r="A13" s="4">
        <v>10</v>
      </c>
      <c r="B13" s="4" t="s">
        <v>519</v>
      </c>
      <c r="C13" s="4"/>
      <c r="D13" s="4"/>
      <c r="E13" s="4">
        <v>10</v>
      </c>
      <c r="F13" s="12" t="s">
        <v>932</v>
      </c>
      <c r="G13" s="4">
        <v>18000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638</v>
      </c>
      <c r="C14" s="4"/>
      <c r="D14" s="4"/>
      <c r="E14" s="4">
        <v>11</v>
      </c>
      <c r="F14" s="12" t="s">
        <v>933</v>
      </c>
      <c r="G14" s="4">
        <v>10000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289</v>
      </c>
      <c r="C15" s="4"/>
      <c r="D15" s="4"/>
      <c r="E15" s="4">
        <v>12</v>
      </c>
      <c r="F15" s="4" t="s">
        <v>934</v>
      </c>
      <c r="G15" s="4">
        <v>1000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119414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588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927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/>
      <c r="G19" s="4"/>
      <c r="J19" s="1">
        <f>128304-80000</f>
        <v>48304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562948</v>
      </c>
      <c r="D22" s="5"/>
      <c r="E22" s="5"/>
      <c r="F22" s="5"/>
      <c r="G22" s="5">
        <f>SUM(G4:G21)</f>
        <v>558774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4174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CB6F-6FA2-4725-A04C-140E5F2CF142}">
  <dimension ref="A1:AE39"/>
  <sheetViews>
    <sheetView zoomScale="145" zoomScaleNormal="145" workbookViewId="0">
      <selection activeCell="F11" sqref="F11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935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300440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/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238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936</v>
      </c>
      <c r="G9" s="4">
        <v>220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707</v>
      </c>
      <c r="C11" s="4"/>
      <c r="D11" s="4"/>
      <c r="E11" s="4">
        <v>8</v>
      </c>
      <c r="F11" s="4" t="s">
        <v>926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924</v>
      </c>
      <c r="C12" s="4"/>
      <c r="D12" s="4"/>
      <c r="E12" s="4">
        <v>9</v>
      </c>
      <c r="F12" s="12" t="s">
        <v>934</v>
      </c>
      <c r="G12" s="4">
        <v>1800</v>
      </c>
      <c r="K12" s="1">
        <f>27-33</f>
        <v>-6</v>
      </c>
    </row>
    <row r="13" spans="1:31">
      <c r="A13" s="4">
        <v>10</v>
      </c>
      <c r="B13" s="4" t="s">
        <v>842</v>
      </c>
      <c r="C13" s="4">
        <v>49365</v>
      </c>
      <c r="D13" s="4"/>
      <c r="E13" s="4">
        <v>10</v>
      </c>
      <c r="F13" s="12" t="s">
        <v>226</v>
      </c>
      <c r="G13" s="4">
        <v>7500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278</v>
      </c>
      <c r="C14" s="4">
        <v>29720</v>
      </c>
      <c r="D14" s="4"/>
      <c r="E14" s="4">
        <v>11</v>
      </c>
      <c r="F14" s="12" t="s">
        <v>937</v>
      </c>
      <c r="G14" s="4">
        <v>3000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289</v>
      </c>
      <c r="C15" s="4"/>
      <c r="D15" s="4"/>
      <c r="E15" s="4">
        <v>12</v>
      </c>
      <c r="F15" s="4" t="s">
        <v>934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212136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>
        <v>16000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938</v>
      </c>
      <c r="G18" s="4">
        <v>25000</v>
      </c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>
        <v>1000</v>
      </c>
      <c r="J19" s="1">
        <f>128304-80000</f>
        <v>48304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379525</v>
      </c>
      <c r="D22" s="5"/>
      <c r="E22" s="5"/>
      <c r="F22" s="5"/>
      <c r="G22" s="5">
        <f>SUM(G4:G21)</f>
        <v>266656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112869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N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7" ht="17.25">
      <c r="B1" s="1" t="s">
        <v>21</v>
      </c>
      <c r="F1" s="2" t="s">
        <v>14</v>
      </c>
      <c r="G1" s="3" t="s">
        <v>139</v>
      </c>
    </row>
    <row r="3" spans="1:7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7">
      <c r="A4" s="4">
        <v>1</v>
      </c>
      <c r="B4" s="4" t="s">
        <v>4</v>
      </c>
      <c r="C4" s="4">
        <v>443200</v>
      </c>
      <c r="D4" s="4"/>
      <c r="E4" s="4">
        <v>1</v>
      </c>
      <c r="F4" s="4" t="s">
        <v>5</v>
      </c>
      <c r="G4" s="4">
        <v>250000</v>
      </c>
    </row>
    <row r="5" spans="1:7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7">
      <c r="A6" s="4">
        <v>3</v>
      </c>
      <c r="B6" s="4" t="s">
        <v>6</v>
      </c>
      <c r="C6" s="4">
        <v>206193</v>
      </c>
      <c r="D6" s="4"/>
      <c r="E6" s="4">
        <v>3</v>
      </c>
      <c r="F6" s="4" t="s">
        <v>38</v>
      </c>
      <c r="G6" s="4">
        <v>200000</v>
      </c>
    </row>
    <row r="7" spans="1:7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7">
      <c r="A8" s="4">
        <v>5</v>
      </c>
      <c r="B8" s="4" t="s">
        <v>58</v>
      </c>
      <c r="C8" s="4"/>
      <c r="D8" s="4"/>
      <c r="E8" s="4">
        <v>5</v>
      </c>
      <c r="F8" s="4" t="s">
        <v>9</v>
      </c>
      <c r="G8" s="4">
        <v>230</v>
      </c>
    </row>
    <row r="9" spans="1:7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7">
      <c r="A10" s="4">
        <v>7</v>
      </c>
      <c r="B10" s="4" t="s">
        <v>24</v>
      </c>
      <c r="C10" s="4"/>
      <c r="D10" s="4"/>
      <c r="E10" s="4">
        <v>7</v>
      </c>
      <c r="F10" s="4" t="s">
        <v>20</v>
      </c>
      <c r="G10" s="4">
        <v>310</v>
      </c>
    </row>
    <row r="11" spans="1:7">
      <c r="A11" s="4">
        <v>8</v>
      </c>
      <c r="B11" s="4" t="s">
        <v>7</v>
      </c>
      <c r="C11" s="4"/>
      <c r="D11" s="4"/>
      <c r="E11" s="4">
        <v>8</v>
      </c>
      <c r="F11" s="4" t="s">
        <v>140</v>
      </c>
      <c r="G11" s="4">
        <v>24000</v>
      </c>
    </row>
    <row r="12" spans="1:7">
      <c r="A12" s="4">
        <v>9</v>
      </c>
      <c r="B12" s="4" t="s">
        <v>129</v>
      </c>
      <c r="C12" s="4"/>
      <c r="D12" s="4"/>
      <c r="E12" s="4">
        <v>9</v>
      </c>
      <c r="F12" s="4" t="s">
        <v>130</v>
      </c>
      <c r="G12" s="4"/>
    </row>
    <row r="13" spans="1:7">
      <c r="A13" s="4">
        <v>10</v>
      </c>
      <c r="B13" s="4" t="s">
        <v>131</v>
      </c>
      <c r="C13" s="4"/>
      <c r="D13" s="4"/>
      <c r="E13" s="4">
        <v>10</v>
      </c>
      <c r="F13" s="4" t="s">
        <v>141</v>
      </c>
      <c r="G13" s="4">
        <v>5800</v>
      </c>
    </row>
    <row r="14" spans="1:7">
      <c r="A14" s="4">
        <v>11</v>
      </c>
      <c r="B14" s="4" t="s">
        <v>50</v>
      </c>
      <c r="C14" s="4"/>
      <c r="D14" s="4"/>
      <c r="E14" s="4">
        <v>11</v>
      </c>
      <c r="F14" s="4" t="s">
        <v>133</v>
      </c>
      <c r="G14" s="4"/>
    </row>
    <row r="15" spans="1:7">
      <c r="A15" s="4">
        <v>12</v>
      </c>
      <c r="B15" s="4"/>
      <c r="C15" s="4"/>
      <c r="D15" s="4"/>
      <c r="E15" s="4">
        <v>12</v>
      </c>
      <c r="F15" s="4"/>
      <c r="G15" s="4"/>
    </row>
    <row r="16" spans="1:7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62388</v>
      </c>
    </row>
    <row r="17" spans="1:14">
      <c r="A17" s="4">
        <v>14</v>
      </c>
      <c r="B17" s="4"/>
      <c r="C17" s="4"/>
      <c r="D17" s="4"/>
      <c r="E17" s="4">
        <v>14</v>
      </c>
      <c r="F17" s="4"/>
      <c r="G17" s="4"/>
    </row>
    <row r="18" spans="1:14">
      <c r="A18" s="4">
        <v>15</v>
      </c>
      <c r="B18" s="4"/>
      <c r="C18" s="4"/>
      <c r="D18" s="4"/>
      <c r="E18" s="4">
        <v>15</v>
      </c>
      <c r="F18" s="4"/>
      <c r="G18" s="4"/>
    </row>
    <row r="19" spans="1:14">
      <c r="A19" s="5"/>
      <c r="B19" s="5"/>
      <c r="C19" s="5">
        <f>SUM(C4:C18)</f>
        <v>649393</v>
      </c>
      <c r="D19" s="5"/>
      <c r="E19" s="5"/>
      <c r="F19" s="5"/>
      <c r="G19" s="5">
        <f>SUM(G4:G18)</f>
        <v>542943</v>
      </c>
    </row>
    <row r="20" spans="1:14">
      <c r="A20" s="5"/>
      <c r="B20" s="5"/>
      <c r="C20" s="5"/>
      <c r="D20" s="5"/>
      <c r="E20" s="5"/>
      <c r="F20" s="5"/>
      <c r="G20" s="5"/>
    </row>
    <row r="21" spans="1:14">
      <c r="A21" s="5"/>
      <c r="B21" s="5"/>
      <c r="C21" s="5"/>
      <c r="D21" s="5"/>
      <c r="E21" s="5"/>
      <c r="F21" s="5"/>
      <c r="G21" s="5"/>
    </row>
    <row r="22" spans="1:14">
      <c r="A22" s="5"/>
      <c r="B22" s="5" t="s">
        <v>12</v>
      </c>
      <c r="C22" s="5">
        <f>C19-G19</f>
        <v>106450</v>
      </c>
      <c r="D22" s="5"/>
      <c r="E22" s="5"/>
      <c r="F22" s="5"/>
      <c r="G22" s="5"/>
    </row>
    <row r="31" spans="1:14">
      <c r="N31" s="1">
        <f>591*6</f>
        <v>3546</v>
      </c>
    </row>
    <row r="32" spans="1:14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9435-BAD1-4399-9176-AD97D881D07F}">
  <dimension ref="A1:AE39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940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471300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333686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/>
      <c r="D6" s="4"/>
      <c r="E6" s="4">
        <v>3</v>
      </c>
      <c r="F6" s="4" t="s">
        <v>820</v>
      </c>
      <c r="G6" s="4">
        <v>360000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250000</v>
      </c>
    </row>
    <row r="8" spans="1:31">
      <c r="A8" s="4">
        <v>5</v>
      </c>
      <c r="B8" s="4" t="s">
        <v>238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7</v>
      </c>
      <c r="C9" s="4">
        <v>50000</v>
      </c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>
        <v>220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707</v>
      </c>
      <c r="C11" s="4"/>
      <c r="D11" s="4"/>
      <c r="E11" s="4">
        <v>8</v>
      </c>
      <c r="F11" s="4" t="s">
        <v>926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924</v>
      </c>
      <c r="C12" s="4"/>
      <c r="D12" s="4"/>
      <c r="E12" s="4">
        <v>9</v>
      </c>
      <c r="F12" s="12" t="s">
        <v>934</v>
      </c>
      <c r="G12" s="4"/>
      <c r="K12" s="1">
        <f>27-33</f>
        <v>-6</v>
      </c>
    </row>
    <row r="13" spans="1:31">
      <c r="A13" s="4">
        <v>10</v>
      </c>
      <c r="B13" s="4" t="s">
        <v>842</v>
      </c>
      <c r="C13" s="4"/>
      <c r="D13" s="4"/>
      <c r="E13" s="4">
        <v>10</v>
      </c>
      <c r="F13" s="12" t="s">
        <v>238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278</v>
      </c>
      <c r="C14" s="4"/>
      <c r="D14" s="4"/>
      <c r="E14" s="4">
        <v>11</v>
      </c>
      <c r="F14" s="12" t="s">
        <v>937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289</v>
      </c>
      <c r="C15" s="4"/>
      <c r="D15" s="4"/>
      <c r="E15" s="4">
        <v>12</v>
      </c>
      <c r="F15" s="4" t="s">
        <v>934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193420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>
        <v>2000</v>
      </c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128304-80000</f>
        <v>48304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854986</v>
      </c>
      <c r="D22" s="5"/>
      <c r="E22" s="5"/>
      <c r="F22" s="5"/>
      <c r="G22" s="5">
        <f>SUM(G4:G21)</f>
        <v>810990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43996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0A63-C0E5-4CA3-B29D-3A8BAD45292E}">
  <dimension ref="A1:AE39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943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/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238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170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707</v>
      </c>
      <c r="C11" s="4"/>
      <c r="D11" s="4"/>
      <c r="E11" s="4">
        <v>8</v>
      </c>
      <c r="F11" s="4" t="s">
        <v>926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457</v>
      </c>
      <c r="C12" s="4">
        <v>47640</v>
      </c>
      <c r="D12" s="4"/>
      <c r="E12" s="4">
        <v>9</v>
      </c>
      <c r="F12" s="12" t="s">
        <v>934</v>
      </c>
      <c r="G12" s="4"/>
      <c r="K12" s="1">
        <f>27-33</f>
        <v>-6</v>
      </c>
    </row>
    <row r="13" spans="1:31">
      <c r="A13" s="4">
        <v>10</v>
      </c>
      <c r="B13" s="4" t="s">
        <v>842</v>
      </c>
      <c r="C13" s="4"/>
      <c r="D13" s="4"/>
      <c r="E13" s="4">
        <v>10</v>
      </c>
      <c r="F13" s="12" t="s">
        <v>238</v>
      </c>
      <c r="G13" s="4">
        <v>50000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278</v>
      </c>
      <c r="C14" s="4"/>
      <c r="D14" s="4"/>
      <c r="E14" s="4">
        <v>11</v>
      </c>
      <c r="F14" s="12" t="s">
        <v>117</v>
      </c>
      <c r="G14" s="4">
        <v>470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918</v>
      </c>
      <c r="C15" s="4">
        <v>3000</v>
      </c>
      <c r="D15" s="4"/>
      <c r="E15" s="4">
        <v>12</v>
      </c>
      <c r="F15" s="4" t="s">
        <v>934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128304-80000</f>
        <v>48304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50640</v>
      </c>
      <c r="D22" s="5"/>
      <c r="E22" s="5"/>
      <c r="F22" s="5"/>
      <c r="G22" s="5">
        <f>SUM(G4:G21)</f>
        <v>50640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0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EB43-785D-4F3C-844F-9E5B03C5C7C1}">
  <dimension ref="A1:AE39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944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1753200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306019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/>
      <c r="D6" s="4"/>
      <c r="E6" s="4">
        <v>3</v>
      </c>
      <c r="F6" s="4" t="s">
        <v>820</v>
      </c>
      <c r="G6" s="4">
        <v>500000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560000</v>
      </c>
    </row>
    <row r="8" spans="1:31">
      <c r="A8" s="4">
        <v>5</v>
      </c>
      <c r="B8" s="4" t="s">
        <v>238</v>
      </c>
      <c r="C8" s="4"/>
      <c r="D8" s="4"/>
      <c r="E8" s="4">
        <v>5</v>
      </c>
      <c r="F8" s="4" t="s">
        <v>10</v>
      </c>
      <c r="G8" s="4">
        <v>200</v>
      </c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350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>
        <v>290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707</v>
      </c>
      <c r="C11" s="4"/>
      <c r="D11" s="4"/>
      <c r="E11" s="4">
        <v>8</v>
      </c>
      <c r="F11" s="4" t="s">
        <v>858</v>
      </c>
      <c r="G11" s="4">
        <v>800000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947</v>
      </c>
      <c r="C12" s="4">
        <v>20000</v>
      </c>
      <c r="D12" s="4"/>
      <c r="E12" s="4">
        <v>9</v>
      </c>
      <c r="F12" s="6" t="s">
        <v>949</v>
      </c>
      <c r="G12" s="4">
        <v>2000</v>
      </c>
      <c r="K12" s="1">
        <f>27-33</f>
        <v>-6</v>
      </c>
    </row>
    <row r="13" spans="1:31">
      <c r="A13" s="4">
        <v>10</v>
      </c>
      <c r="B13" s="4" t="s">
        <v>945</v>
      </c>
      <c r="C13" s="4">
        <v>71500</v>
      </c>
      <c r="D13" s="4"/>
      <c r="E13" s="4">
        <v>10</v>
      </c>
      <c r="F13" s="12" t="s">
        <v>186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948</v>
      </c>
      <c r="C14" s="4">
        <v>44800</v>
      </c>
      <c r="D14" s="4"/>
      <c r="E14" s="4">
        <v>11</v>
      </c>
      <c r="F14" s="12" t="s">
        <v>93</v>
      </c>
      <c r="G14" s="4">
        <v>1500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918</v>
      </c>
      <c r="C15" s="4"/>
      <c r="D15" s="4"/>
      <c r="E15" s="4">
        <v>12</v>
      </c>
      <c r="F15" s="4" t="s">
        <v>946</v>
      </c>
      <c r="G15" s="4">
        <v>1080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155491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128304-80000</f>
        <v>48304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2195519</v>
      </c>
      <c r="D22" s="5"/>
      <c r="E22" s="5"/>
      <c r="F22" s="5"/>
      <c r="G22" s="5">
        <f>SUM(G4:G21)</f>
        <v>2023911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171608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48FB-3223-4174-B9E7-DF35BAA11D5F}">
  <dimension ref="A1:AE39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950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f>400000+235000</f>
        <v>635000</v>
      </c>
      <c r="D4" s="4"/>
      <c r="E4" s="4">
        <v>1</v>
      </c>
      <c r="F4" s="4" t="s">
        <v>5</v>
      </c>
      <c r="G4" s="4">
        <v>400000</v>
      </c>
    </row>
    <row r="5" spans="1:31">
      <c r="A5" s="4">
        <v>2</v>
      </c>
      <c r="B5" s="4" t="s">
        <v>6</v>
      </c>
      <c r="C5" s="4">
        <v>207375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/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300000</v>
      </c>
    </row>
    <row r="8" spans="1:31">
      <c r="A8" s="4">
        <v>5</v>
      </c>
      <c r="B8" s="4" t="s">
        <v>238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7</v>
      </c>
      <c r="C9" s="4">
        <v>7410</v>
      </c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>
        <v>400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951</v>
      </c>
      <c r="C11" s="4">
        <v>14250</v>
      </c>
      <c r="D11" s="4"/>
      <c r="E11" s="4">
        <v>8</v>
      </c>
      <c r="F11" s="4" t="s">
        <v>70</v>
      </c>
      <c r="G11" s="4">
        <v>600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370</v>
      </c>
      <c r="C12" s="4">
        <v>22380</v>
      </c>
      <c r="D12" s="4"/>
      <c r="E12" s="4">
        <v>9</v>
      </c>
      <c r="F12" s="6" t="s">
        <v>949</v>
      </c>
      <c r="G12" s="4"/>
      <c r="K12" s="1">
        <f>27-33</f>
        <v>-6</v>
      </c>
    </row>
    <row r="13" spans="1:31">
      <c r="A13" s="4">
        <v>10</v>
      </c>
      <c r="B13" s="4" t="s">
        <v>287</v>
      </c>
      <c r="C13" s="4">
        <v>23220</v>
      </c>
      <c r="D13" s="4"/>
      <c r="E13" s="4">
        <v>10</v>
      </c>
      <c r="F13" s="12" t="s">
        <v>863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948</v>
      </c>
      <c r="C14" s="4"/>
      <c r="D14" s="4"/>
      <c r="E14" s="4">
        <v>11</v>
      </c>
      <c r="F14" s="12" t="s">
        <v>93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918</v>
      </c>
      <c r="C15" s="4"/>
      <c r="D15" s="4"/>
      <c r="E15" s="4">
        <v>12</v>
      </c>
      <c r="F15" s="4" t="s">
        <v>946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138406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136026-70000</f>
        <v>66026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909635</v>
      </c>
      <c r="D22" s="5"/>
      <c r="E22" s="5"/>
      <c r="F22" s="5"/>
      <c r="G22" s="5">
        <f>SUM(G4:G21)</f>
        <v>844756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64879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B9A0-6580-47F8-80D5-24128E38C153}">
  <dimension ref="A1:AE39"/>
  <sheetViews>
    <sheetView zoomScale="145" zoomScaleNormal="145" workbookViewId="0">
      <selection activeCell="H23" sqref="H2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952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f>26000+552700</f>
        <v>578700</v>
      </c>
      <c r="D4" s="4"/>
      <c r="E4" s="4">
        <v>1</v>
      </c>
      <c r="F4" s="4" t="s">
        <v>5</v>
      </c>
      <c r="G4" s="4">
        <v>200000</v>
      </c>
    </row>
    <row r="5" spans="1:31">
      <c r="A5" s="4">
        <v>2</v>
      </c>
      <c r="B5" s="4" t="s">
        <v>6</v>
      </c>
      <c r="C5" s="4">
        <v>188136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/>
      <c r="D6" s="4"/>
      <c r="E6" s="4">
        <v>3</v>
      </c>
      <c r="F6" s="4" t="s">
        <v>813</v>
      </c>
      <c r="G6" s="4">
        <v>370000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200000</v>
      </c>
    </row>
    <row r="8" spans="1:31">
      <c r="A8" s="4">
        <v>5</v>
      </c>
      <c r="B8" s="4" t="s">
        <v>238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920</v>
      </c>
      <c r="C10" s="4">
        <v>64800</v>
      </c>
      <c r="D10" s="4"/>
      <c r="E10" s="4">
        <v>7</v>
      </c>
      <c r="F10" s="6" t="s">
        <v>20</v>
      </c>
      <c r="G10" s="4">
        <v>350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393</v>
      </c>
      <c r="C11" s="4">
        <v>35000</v>
      </c>
      <c r="D11" s="4"/>
      <c r="E11" s="4">
        <v>8</v>
      </c>
      <c r="F11" s="4" t="s">
        <v>70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4" t="s">
        <v>370</v>
      </c>
      <c r="C12" s="4"/>
      <c r="D12" s="4"/>
      <c r="E12" s="4">
        <v>9</v>
      </c>
      <c r="F12" s="6" t="s">
        <v>949</v>
      </c>
      <c r="G12" s="4"/>
      <c r="K12" s="1">
        <f>27-33</f>
        <v>-6</v>
      </c>
    </row>
    <row r="13" spans="1:31">
      <c r="A13" s="4">
        <v>10</v>
      </c>
      <c r="B13" s="4" t="s">
        <v>287</v>
      </c>
      <c r="C13" s="4">
        <v>7180</v>
      </c>
      <c r="D13" s="4"/>
      <c r="E13" s="4">
        <v>10</v>
      </c>
      <c r="F13" s="12" t="s">
        <v>678</v>
      </c>
      <c r="G13" s="4">
        <v>1000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948</v>
      </c>
      <c r="C14" s="4"/>
      <c r="D14" s="4"/>
      <c r="E14" s="4">
        <v>11</v>
      </c>
      <c r="F14" s="12" t="s">
        <v>93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918</v>
      </c>
      <c r="C15" s="4"/>
      <c r="D15" s="4"/>
      <c r="E15" s="4">
        <v>12</v>
      </c>
      <c r="F15" s="4" t="s">
        <v>71</v>
      </c>
      <c r="G15" s="4">
        <v>9000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120887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32500</v>
      </c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136026-70000</f>
        <v>66026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906316</v>
      </c>
      <c r="D22" s="5"/>
      <c r="E22" s="5"/>
      <c r="F22" s="5"/>
      <c r="G22" s="5">
        <f>SUM(G4:G21)</f>
        <v>901587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4729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35BE-BBF2-41E3-81F3-4647CA6E059A}">
  <dimension ref="A1:AE39"/>
  <sheetViews>
    <sheetView zoomScale="145" zoomScaleNormal="145" workbookViewId="0">
      <selection activeCell="C13" sqref="C13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953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381750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296772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/>
      <c r="D6" s="4"/>
      <c r="E6" s="4">
        <v>3</v>
      </c>
      <c r="F6" s="4" t="s">
        <v>954</v>
      </c>
      <c r="G6" s="4">
        <v>500000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238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>
        <v>260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956</v>
      </c>
      <c r="C11" s="4">
        <v>15830</v>
      </c>
      <c r="D11" s="4"/>
      <c r="E11" s="4">
        <v>8</v>
      </c>
      <c r="F11" s="4" t="s">
        <v>70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955</v>
      </c>
      <c r="C12" s="4">
        <v>68760</v>
      </c>
      <c r="D12" s="4"/>
      <c r="E12" s="4">
        <v>9</v>
      </c>
      <c r="F12" s="6" t="s">
        <v>949</v>
      </c>
      <c r="G12" s="4"/>
      <c r="K12" s="1">
        <f>27-33</f>
        <v>-6</v>
      </c>
    </row>
    <row r="13" spans="1:31">
      <c r="A13" s="4">
        <v>10</v>
      </c>
      <c r="B13" s="4" t="s">
        <v>945</v>
      </c>
      <c r="C13" s="4">
        <v>103000</v>
      </c>
      <c r="D13" s="4"/>
      <c r="E13" s="4">
        <v>10</v>
      </c>
      <c r="F13" s="12" t="s">
        <v>678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948</v>
      </c>
      <c r="C14" s="4"/>
      <c r="D14" s="4"/>
      <c r="E14" s="4">
        <v>11</v>
      </c>
      <c r="F14" s="12" t="s">
        <v>93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918</v>
      </c>
      <c r="C15" s="4"/>
      <c r="D15" s="4"/>
      <c r="E15" s="4">
        <v>12</v>
      </c>
      <c r="F15" s="4" t="s">
        <v>71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215547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136026-70000</f>
        <v>66026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866112</v>
      </c>
      <c r="D22" s="5"/>
      <c r="E22" s="5"/>
      <c r="F22" s="5"/>
      <c r="G22" s="5">
        <f>SUM(G4:G21)</f>
        <v>716157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149955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0F77-E9C0-45A4-BBE4-7D8352520CAA}">
  <dimension ref="A1:AE39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957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683500</v>
      </c>
      <c r="D4" s="4"/>
      <c r="E4" s="4">
        <v>1</v>
      </c>
      <c r="F4" s="4" t="s">
        <v>5</v>
      </c>
      <c r="G4" s="4">
        <v>300000</v>
      </c>
    </row>
    <row r="5" spans="1:31">
      <c r="A5" s="4">
        <v>2</v>
      </c>
      <c r="B5" s="4" t="s">
        <v>6</v>
      </c>
      <c r="C5" s="4">
        <v>244112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922</v>
      </c>
      <c r="C6" s="4"/>
      <c r="D6" s="4"/>
      <c r="E6" s="4">
        <v>3</v>
      </c>
      <c r="F6" s="4" t="s">
        <v>954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300000</v>
      </c>
    </row>
    <row r="8" spans="1:31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>
        <v>50000</v>
      </c>
      <c r="D9" s="4"/>
      <c r="E9" s="4">
        <v>6</v>
      </c>
      <c r="F9" s="4" t="s">
        <v>941</v>
      </c>
      <c r="G9" s="4">
        <v>350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>
        <v>260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959</v>
      </c>
      <c r="C11" s="4">
        <v>41400</v>
      </c>
      <c r="D11" s="4"/>
      <c r="E11" s="4">
        <v>8</v>
      </c>
      <c r="F11" s="4" t="s">
        <v>958</v>
      </c>
      <c r="G11" s="4">
        <v>350000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955</v>
      </c>
      <c r="C12" s="4"/>
      <c r="D12" s="4"/>
      <c r="E12" s="4">
        <v>9</v>
      </c>
      <c r="F12" s="6" t="s">
        <v>467</v>
      </c>
      <c r="G12" s="4">
        <v>80</v>
      </c>
      <c r="K12" s="1">
        <f>27-33</f>
        <v>-6</v>
      </c>
    </row>
    <row r="13" spans="1:31">
      <c r="A13" s="4">
        <v>10</v>
      </c>
      <c r="B13" s="4" t="s">
        <v>945</v>
      </c>
      <c r="C13" s="4"/>
      <c r="D13" s="4"/>
      <c r="E13" s="4">
        <v>10</v>
      </c>
      <c r="F13" s="12" t="s">
        <v>678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948</v>
      </c>
      <c r="C14" s="4"/>
      <c r="D14" s="4"/>
      <c r="E14" s="4">
        <v>11</v>
      </c>
      <c r="F14" s="12" t="s">
        <v>114</v>
      </c>
      <c r="G14" s="4">
        <v>5500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918</v>
      </c>
      <c r="C15" s="4"/>
      <c r="D15" s="4"/>
      <c r="E15" s="4">
        <v>12</v>
      </c>
      <c r="F15" s="4" t="s">
        <v>206</v>
      </c>
      <c r="G15" s="4">
        <v>3000</v>
      </c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154387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30000</v>
      </c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136026-70000</f>
        <v>66026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>
        <v>510</v>
      </c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1149012</v>
      </c>
      <c r="D22" s="5"/>
      <c r="E22" s="5"/>
      <c r="F22" s="5"/>
      <c r="G22" s="5">
        <f>SUM(G4:G21)</f>
        <v>1114087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34925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98FE-0399-42B2-9DCF-E8BBC49CBAFC}">
  <dimension ref="A1:AE39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960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>
        <v>33000</v>
      </c>
      <c r="D6" s="4"/>
      <c r="E6" s="4">
        <v>3</v>
      </c>
      <c r="F6" s="4" t="s">
        <v>954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/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959</v>
      </c>
      <c r="C11" s="4"/>
      <c r="D11" s="4"/>
      <c r="E11" s="4">
        <v>8</v>
      </c>
      <c r="F11" s="4" t="s">
        <v>958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955</v>
      </c>
      <c r="C12" s="4"/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945</v>
      </c>
      <c r="C13" s="4"/>
      <c r="D13" s="4"/>
      <c r="E13" s="4">
        <v>10</v>
      </c>
      <c r="F13" s="12" t="s">
        <v>238</v>
      </c>
      <c r="G13" s="4">
        <v>30000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948</v>
      </c>
      <c r="C14" s="4"/>
      <c r="D14" s="4"/>
      <c r="E14" s="4">
        <v>11</v>
      </c>
      <c r="F14" s="12" t="s">
        <v>114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918</v>
      </c>
      <c r="C15" s="4"/>
      <c r="D15" s="4"/>
      <c r="E15" s="4">
        <v>12</v>
      </c>
      <c r="F15" s="4" t="s">
        <v>206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136026-70000</f>
        <v>66026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33000</v>
      </c>
      <c r="D22" s="5"/>
      <c r="E22" s="5"/>
      <c r="F22" s="5"/>
      <c r="G22" s="5">
        <f>SUM(G4:G21)</f>
        <v>30000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3000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58F9-CAB7-4BCF-B81E-CDCF6916E04A}">
  <dimension ref="A1:AE39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962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/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954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100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959</v>
      </c>
      <c r="C11" s="4"/>
      <c r="D11" s="4"/>
      <c r="E11" s="4">
        <v>8</v>
      </c>
      <c r="F11" s="4" t="s">
        <v>958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955</v>
      </c>
      <c r="C12" s="4"/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963</v>
      </c>
      <c r="C13" s="4">
        <v>8970</v>
      </c>
      <c r="D13" s="4"/>
      <c r="E13" s="4">
        <v>10</v>
      </c>
      <c r="F13" s="12" t="s">
        <v>238</v>
      </c>
      <c r="G13" s="4">
        <v>20000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948</v>
      </c>
      <c r="C14" s="4"/>
      <c r="D14" s="4"/>
      <c r="E14" s="4">
        <v>11</v>
      </c>
      <c r="F14" s="12" t="s">
        <v>114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918</v>
      </c>
      <c r="C15" s="4">
        <v>12000</v>
      </c>
      <c r="D15" s="4"/>
      <c r="E15" s="4">
        <v>12</v>
      </c>
      <c r="F15" s="4" t="s">
        <v>206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/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136026-70000</f>
        <v>66026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20970</v>
      </c>
      <c r="D22" s="5"/>
      <c r="E22" s="5"/>
      <c r="F22" s="5"/>
      <c r="G22" s="5">
        <f>SUM(G4:G21)</f>
        <v>20100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870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9C78-B96E-483A-A265-D3471C226427}">
  <dimension ref="A1:AE39"/>
  <sheetViews>
    <sheetView zoomScale="145" zoomScaleNormal="145" workbookViewId="0">
      <selection activeCell="F4" sqref="F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964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f>1250000+250000+70600</f>
        <v>1570600</v>
      </c>
      <c r="D4" s="4"/>
      <c r="E4" s="4">
        <v>1</v>
      </c>
      <c r="F4" s="4" t="s">
        <v>5</v>
      </c>
      <c r="G4" s="4">
        <v>300000</v>
      </c>
    </row>
    <row r="5" spans="1:31">
      <c r="A5" s="4">
        <v>2</v>
      </c>
      <c r="B5" s="4" t="s">
        <v>6</v>
      </c>
      <c r="C5" s="4">
        <v>271781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>
        <v>400000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250000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300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>
        <v>475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842</v>
      </c>
      <c r="C11" s="4">
        <v>29400</v>
      </c>
      <c r="D11" s="4"/>
      <c r="E11" s="4">
        <v>8</v>
      </c>
      <c r="F11" s="4" t="s">
        <v>958</v>
      </c>
      <c r="G11" s="4">
        <v>800000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955</v>
      </c>
      <c r="C12" s="4"/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963</v>
      </c>
      <c r="C13" s="4"/>
      <c r="D13" s="4"/>
      <c r="E13" s="4">
        <v>10</v>
      </c>
      <c r="F13" s="12" t="s">
        <v>238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948</v>
      </c>
      <c r="C14" s="4"/>
      <c r="D14" s="4"/>
      <c r="E14" s="4">
        <v>11</v>
      </c>
      <c r="F14" s="12" t="s">
        <v>114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928</v>
      </c>
      <c r="C15" s="4">
        <v>50000</v>
      </c>
      <c r="D15" s="4"/>
      <c r="E15" s="4">
        <v>12</v>
      </c>
      <c r="F15" s="4" t="s">
        <v>206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149193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1921781</v>
      </c>
      <c r="D22" s="5"/>
      <c r="E22" s="5"/>
      <c r="F22" s="5"/>
      <c r="G22" s="5">
        <f>SUM(G4:G21)</f>
        <v>1900068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21713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O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142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807000</v>
      </c>
      <c r="D4" s="4"/>
      <c r="E4" s="4">
        <v>1</v>
      </c>
      <c r="F4" s="4" t="s">
        <v>5</v>
      </c>
      <c r="G4" s="4">
        <v>400000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100000</v>
      </c>
    </row>
    <row r="6" spans="1:11">
      <c r="A6" s="4">
        <v>3</v>
      </c>
      <c r="B6" s="4" t="s">
        <v>6</v>
      </c>
      <c r="C6" s="4">
        <v>179632</v>
      </c>
      <c r="D6" s="4"/>
      <c r="E6" s="4">
        <v>3</v>
      </c>
      <c r="F6" s="4" t="s">
        <v>38</v>
      </c>
      <c r="G6" s="4">
        <v>450000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350</v>
      </c>
    </row>
    <row r="8" spans="1:11">
      <c r="A8" s="4">
        <v>5</v>
      </c>
      <c r="B8" s="4" t="s">
        <v>58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>
        <v>5300</v>
      </c>
    </row>
    <row r="10" spans="1:11">
      <c r="A10" s="4">
        <v>7</v>
      </c>
      <c r="B10" s="4" t="s">
        <v>24</v>
      </c>
      <c r="C10" s="4">
        <v>40000</v>
      </c>
      <c r="D10" s="4"/>
      <c r="E10" s="4">
        <v>7</v>
      </c>
      <c r="F10" s="4" t="s">
        <v>20</v>
      </c>
      <c r="G10" s="4">
        <v>350</v>
      </c>
    </row>
    <row r="11" spans="1:11">
      <c r="A11" s="4">
        <v>8</v>
      </c>
      <c r="B11" s="4" t="s">
        <v>7</v>
      </c>
      <c r="C11" s="4">
        <v>70000</v>
      </c>
      <c r="D11" s="4"/>
      <c r="E11" s="4">
        <v>8</v>
      </c>
      <c r="F11" s="4" t="s">
        <v>143</v>
      </c>
      <c r="G11" s="4">
        <v>2120</v>
      </c>
    </row>
    <row r="12" spans="1:11">
      <c r="A12" s="4">
        <v>9</v>
      </c>
      <c r="B12" s="4" t="s">
        <v>129</v>
      </c>
      <c r="C12" s="4"/>
      <c r="D12" s="4"/>
      <c r="E12" s="4">
        <v>9</v>
      </c>
      <c r="F12" s="4" t="s">
        <v>144</v>
      </c>
      <c r="G12" s="4">
        <v>13000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27</v>
      </c>
      <c r="G13" s="4">
        <v>50000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/>
      <c r="G14" s="4"/>
      <c r="K14" s="1">
        <f>160+245</f>
        <v>405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65509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</row>
    <row r="19" spans="1:15">
      <c r="A19" s="5"/>
      <c r="B19" s="5"/>
      <c r="C19" s="5">
        <f>SUM(C4:C18)</f>
        <v>1096632</v>
      </c>
      <c r="D19" s="5"/>
      <c r="E19" s="5"/>
      <c r="F19" s="5"/>
      <c r="G19" s="5">
        <f>SUM(G4:G18)</f>
        <v>1086879</v>
      </c>
      <c r="K19" s="1">
        <v>13860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9753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C172-82CA-43A4-B02E-A55215BFB1ED}">
  <dimension ref="A1:AE39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965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250000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149193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>
        <v>250000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920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8</v>
      </c>
      <c r="C11" s="4">
        <v>63000</v>
      </c>
      <c r="D11" s="4"/>
      <c r="E11" s="4">
        <v>8</v>
      </c>
      <c r="F11" s="4" t="s">
        <v>958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156</v>
      </c>
      <c r="C12" s="4">
        <v>75000</v>
      </c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966</v>
      </c>
      <c r="C13" s="4">
        <v>5000</v>
      </c>
      <c r="D13" s="4"/>
      <c r="E13" s="4">
        <v>10</v>
      </c>
      <c r="F13" s="12" t="s">
        <v>226</v>
      </c>
      <c r="G13" s="4">
        <v>7000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25</v>
      </c>
      <c r="C14" s="4">
        <v>18450</v>
      </c>
      <c r="D14" s="4"/>
      <c r="E14" s="4">
        <v>11</v>
      </c>
      <c r="F14" s="12" t="s">
        <v>114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928</v>
      </c>
      <c r="C15" s="4"/>
      <c r="D15" s="4"/>
      <c r="E15" s="4">
        <v>12</v>
      </c>
      <c r="F15" s="4" t="s">
        <v>206</v>
      </c>
      <c r="G15" s="4"/>
      <c r="J15" s="1">
        <f>J13*J14</f>
        <v>272.43486973947898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96437</v>
      </c>
      <c r="H16" s="1">
        <v>0</v>
      </c>
      <c r="I16" s="1">
        <v>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559</v>
      </c>
      <c r="C18" s="4"/>
      <c r="D18" s="4"/>
      <c r="E18" s="4"/>
      <c r="F18" s="4" t="s">
        <v>942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 t="s">
        <v>127</v>
      </c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560643</v>
      </c>
      <c r="D22" s="5"/>
      <c r="E22" s="5"/>
      <c r="F22" s="5"/>
      <c r="G22" s="5">
        <f>SUM(G4:G21)</f>
        <v>353787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206856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DC0B-4F63-4EA3-B398-F26B8F20BDAA}">
  <dimension ref="A1:AE39"/>
  <sheetViews>
    <sheetView zoomScale="145" zoomScaleNormal="145" workbookViewId="0">
      <selection activeCell="G18" sqref="G18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967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718980</v>
      </c>
      <c r="D4" s="4"/>
      <c r="E4" s="4">
        <v>1</v>
      </c>
      <c r="F4" s="4" t="s">
        <v>5</v>
      </c>
      <c r="G4" s="4">
        <v>520000</v>
      </c>
    </row>
    <row r="5" spans="1:31">
      <c r="A5" s="4">
        <v>2</v>
      </c>
      <c r="B5" s="4" t="s">
        <v>6</v>
      </c>
      <c r="C5" s="4">
        <v>167045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820</v>
      </c>
      <c r="G6" s="4">
        <v>485000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230000</v>
      </c>
    </row>
    <row r="8" spans="1:31">
      <c r="A8" s="4">
        <v>5</v>
      </c>
      <c r="B8" s="4" t="s">
        <v>19</v>
      </c>
      <c r="C8" s="4">
        <v>169020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124</v>
      </c>
      <c r="C9" s="4">
        <v>45000</v>
      </c>
      <c r="D9" s="4"/>
      <c r="E9" s="4">
        <v>6</v>
      </c>
      <c r="F9" s="4" t="s">
        <v>941</v>
      </c>
      <c r="G9" s="4">
        <v>300</v>
      </c>
      <c r="K9" s="1">
        <v>80</v>
      </c>
    </row>
    <row r="10" spans="1:31">
      <c r="A10" s="4">
        <v>7</v>
      </c>
      <c r="B10" s="4" t="s">
        <v>968</v>
      </c>
      <c r="C10" s="4">
        <v>124600</v>
      </c>
      <c r="D10" s="4"/>
      <c r="E10" s="4">
        <v>7</v>
      </c>
      <c r="F10" s="6" t="s">
        <v>20</v>
      </c>
      <c r="G10" s="4">
        <v>400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969</v>
      </c>
      <c r="C11" s="4">
        <v>40000</v>
      </c>
      <c r="D11" s="4"/>
      <c r="E11" s="4">
        <v>8</v>
      </c>
      <c r="F11" s="4" t="s">
        <v>958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284</v>
      </c>
      <c r="C12" s="4">
        <v>10000</v>
      </c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966</v>
      </c>
      <c r="C13" s="4"/>
      <c r="D13" s="4"/>
      <c r="E13" s="4">
        <v>10</v>
      </c>
      <c r="F13" s="12" t="s">
        <v>226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25</v>
      </c>
      <c r="C14" s="4"/>
      <c r="D14" s="4"/>
      <c r="E14" s="4">
        <v>11</v>
      </c>
      <c r="F14" s="12" t="s">
        <v>325</v>
      </c>
      <c r="G14" s="4">
        <v>300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127</v>
      </c>
      <c r="C15" s="4">
        <v>35000</v>
      </c>
      <c r="D15" s="4"/>
      <c r="E15" s="4">
        <v>12</v>
      </c>
      <c r="F15" s="4" t="s">
        <v>206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104030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50500</v>
      </c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>
        <v>21000</v>
      </c>
      <c r="D18" s="4"/>
      <c r="E18" s="4"/>
      <c r="F18" s="4" t="s">
        <v>524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1381145</v>
      </c>
      <c r="D22" s="5"/>
      <c r="E22" s="5"/>
      <c r="F22" s="5"/>
      <c r="G22" s="5">
        <f>SUM(G4:G21)</f>
        <v>1340130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41015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3CA0-A588-4BF7-8145-5FE6B2ACAF82}">
  <dimension ref="A1:AE39"/>
  <sheetViews>
    <sheetView zoomScale="145" zoomScaleNormal="145" workbookViewId="0">
      <selection activeCell="G18" sqref="G18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971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377000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200243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350000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124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968</v>
      </c>
      <c r="C10" s="4"/>
      <c r="D10" s="4"/>
      <c r="E10" s="4">
        <v>7</v>
      </c>
      <c r="F10" s="6" t="s">
        <v>20</v>
      </c>
      <c r="G10" s="4">
        <v>510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969</v>
      </c>
      <c r="C11" s="4"/>
      <c r="D11" s="4"/>
      <c r="E11" s="4">
        <v>8</v>
      </c>
      <c r="F11" s="4" t="s">
        <v>958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284</v>
      </c>
      <c r="C12" s="4"/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966</v>
      </c>
      <c r="C13" s="4"/>
      <c r="D13" s="4"/>
      <c r="E13" s="4">
        <v>10</v>
      </c>
      <c r="F13" s="12" t="s">
        <v>226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25</v>
      </c>
      <c r="C14" s="4"/>
      <c r="D14" s="4"/>
      <c r="E14" s="4">
        <v>11</v>
      </c>
      <c r="F14" s="12" t="s">
        <v>325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127</v>
      </c>
      <c r="C15" s="4"/>
      <c r="D15" s="4"/>
      <c r="E15" s="4">
        <v>12</v>
      </c>
      <c r="F15" s="4" t="s">
        <v>27</v>
      </c>
      <c r="G15" s="4">
        <v>3000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165843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577243</v>
      </c>
      <c r="D22" s="5"/>
      <c r="E22" s="5"/>
      <c r="F22" s="5"/>
      <c r="G22" s="5">
        <f>SUM(G4:G21)</f>
        <v>519603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57640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DE19-C5A9-4816-B292-53C64D54E6B2}">
  <dimension ref="A1:AE39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972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1155000</v>
      </c>
      <c r="D4" s="4"/>
      <c r="E4" s="4">
        <v>1</v>
      </c>
      <c r="F4" s="4" t="s">
        <v>5</v>
      </c>
      <c r="G4" s="4">
        <v>300000</v>
      </c>
    </row>
    <row r="5" spans="1:31">
      <c r="A5" s="4">
        <v>2</v>
      </c>
      <c r="B5" s="4" t="s">
        <v>6</v>
      </c>
      <c r="C5" s="4">
        <v>334523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300000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973</v>
      </c>
      <c r="C9" s="4">
        <v>290000</v>
      </c>
      <c r="D9" s="4"/>
      <c r="E9" s="4">
        <v>6</v>
      </c>
      <c r="F9" s="4" t="s">
        <v>941</v>
      </c>
      <c r="G9" s="4">
        <v>300</v>
      </c>
      <c r="K9" s="1">
        <v>80</v>
      </c>
    </row>
    <row r="10" spans="1:31">
      <c r="A10" s="4">
        <v>7</v>
      </c>
      <c r="B10" s="4" t="s">
        <v>974</v>
      </c>
      <c r="C10" s="4">
        <v>36600</v>
      </c>
      <c r="D10" s="4"/>
      <c r="E10" s="4">
        <v>7</v>
      </c>
      <c r="F10" s="6" t="s">
        <v>20</v>
      </c>
      <c r="G10" s="4">
        <v>485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25</v>
      </c>
      <c r="C11" s="4">
        <v>23250</v>
      </c>
      <c r="D11" s="4"/>
      <c r="E11" s="4">
        <v>8</v>
      </c>
      <c r="F11" s="4" t="s">
        <v>958</v>
      </c>
      <c r="G11" s="4">
        <v>1000000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7</v>
      </c>
      <c r="C12" s="4">
        <v>30000</v>
      </c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966</v>
      </c>
      <c r="C13" s="4"/>
      <c r="D13" s="4"/>
      <c r="E13" s="4">
        <v>10</v>
      </c>
      <c r="F13" s="12" t="s">
        <v>226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975</v>
      </c>
      <c r="C14" s="4">
        <v>500</v>
      </c>
      <c r="D14" s="4"/>
      <c r="E14" s="4">
        <v>11</v>
      </c>
      <c r="F14" s="12" t="s">
        <v>325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127</v>
      </c>
      <c r="C15" s="4"/>
      <c r="D15" s="4"/>
      <c r="E15" s="4">
        <v>12</v>
      </c>
      <c r="F15" s="4" t="s">
        <v>27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136723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1869873</v>
      </c>
      <c r="D22" s="5"/>
      <c r="E22" s="5"/>
      <c r="F22" s="5"/>
      <c r="G22" s="5">
        <f>SUM(G4:G21)</f>
        <v>1737508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132365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BA0F-74CD-4FA5-8A0F-20B93BE166C8}">
  <dimension ref="A1:AE39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972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271500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211161</v>
      </c>
      <c r="D5" s="4"/>
      <c r="E5" s="4">
        <v>2</v>
      </c>
      <c r="F5" s="4" t="s">
        <v>5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820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310000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200</v>
      </c>
      <c r="K9" s="1">
        <v>80</v>
      </c>
    </row>
    <row r="10" spans="1:31">
      <c r="A10" s="4">
        <v>7</v>
      </c>
      <c r="B10" s="4" t="s">
        <v>974</v>
      </c>
      <c r="C10" s="4"/>
      <c r="D10" s="4"/>
      <c r="E10" s="4">
        <v>7</v>
      </c>
      <c r="F10" s="6" t="s">
        <v>20</v>
      </c>
      <c r="G10" s="4">
        <v>400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25</v>
      </c>
      <c r="C11" s="4"/>
      <c r="D11" s="4"/>
      <c r="E11" s="4">
        <v>8</v>
      </c>
      <c r="F11" s="4" t="s">
        <v>958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7</v>
      </c>
      <c r="C12" s="4"/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966</v>
      </c>
      <c r="C13" s="4"/>
      <c r="D13" s="4"/>
      <c r="E13" s="4">
        <v>10</v>
      </c>
      <c r="F13" s="12" t="s">
        <v>226</v>
      </c>
      <c r="G13" s="4">
        <v>1500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975</v>
      </c>
      <c r="C14" s="4"/>
      <c r="D14" s="4"/>
      <c r="E14" s="4">
        <v>11</v>
      </c>
      <c r="F14" s="12" t="s">
        <v>263</v>
      </c>
      <c r="G14" s="4">
        <v>750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127</v>
      </c>
      <c r="C15" s="4"/>
      <c r="D15" s="4"/>
      <c r="E15" s="4">
        <v>12</v>
      </c>
      <c r="F15" s="4" t="s">
        <v>27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>
        <v>34000</v>
      </c>
      <c r="D16" s="4"/>
      <c r="E16" s="4">
        <v>13</v>
      </c>
      <c r="F16" s="4" t="s">
        <v>919</v>
      </c>
      <c r="G16" s="4">
        <v>143214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 t="s">
        <v>976</v>
      </c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>
        <v>14000</v>
      </c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516661</v>
      </c>
      <c r="D22" s="5"/>
      <c r="E22" s="5"/>
      <c r="F22" s="5"/>
      <c r="G22" s="5">
        <f>SUM(G4:G21)</f>
        <v>470064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46597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F55F-6FF7-44C0-A90E-1E1D26F49A8D}">
  <dimension ref="A1:AE39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977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804850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157214</v>
      </c>
      <c r="D5" s="4"/>
      <c r="E5" s="4">
        <v>2</v>
      </c>
      <c r="F5" s="4" t="s">
        <v>820</v>
      </c>
      <c r="G5" s="4">
        <v>250000</v>
      </c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>
        <v>200000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50000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200</v>
      </c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974</v>
      </c>
      <c r="C10" s="4"/>
      <c r="D10" s="4"/>
      <c r="E10" s="4">
        <v>7</v>
      </c>
      <c r="F10" s="6" t="s">
        <v>20</v>
      </c>
      <c r="G10" s="4">
        <v>310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</v>
      </c>
      <c r="C11" s="4">
        <v>56250</v>
      </c>
      <c r="D11" s="4"/>
      <c r="E11" s="4">
        <v>8</v>
      </c>
      <c r="F11" s="4" t="s">
        <v>958</v>
      </c>
      <c r="G11" s="4">
        <v>400000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388</v>
      </c>
      <c r="C12" s="4">
        <v>16600</v>
      </c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287</v>
      </c>
      <c r="C13" s="4">
        <v>34100</v>
      </c>
      <c r="D13" s="4"/>
      <c r="E13" s="4">
        <v>10</v>
      </c>
      <c r="F13" s="12" t="s">
        <v>226</v>
      </c>
      <c r="G13" s="4" t="s">
        <v>978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975</v>
      </c>
      <c r="C14" s="4"/>
      <c r="D14" s="4"/>
      <c r="E14" s="4">
        <v>11</v>
      </c>
      <c r="F14" s="12" t="s">
        <v>263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127</v>
      </c>
      <c r="C15" s="4"/>
      <c r="D15" s="4"/>
      <c r="E15" s="4">
        <v>12</v>
      </c>
      <c r="F15" s="4" t="s">
        <v>27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619</v>
      </c>
      <c r="C16" s="4"/>
      <c r="D16" s="4"/>
      <c r="E16" s="4">
        <v>13</v>
      </c>
      <c r="F16" s="4" t="s">
        <v>919</v>
      </c>
      <c r="G16" s="4">
        <v>79312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 t="s">
        <v>976</v>
      </c>
      <c r="D17" s="4"/>
      <c r="E17" s="4">
        <v>14</v>
      </c>
      <c r="F17" s="4" t="s">
        <v>389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>
        <v>28000</v>
      </c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1069014</v>
      </c>
      <c r="D22" s="5"/>
      <c r="E22" s="5"/>
      <c r="F22" s="5"/>
      <c r="G22" s="5">
        <f>SUM(G4:G21)</f>
        <v>1008072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60942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7ADF-FB39-4FAD-9C59-A7025E9F7E13}">
  <dimension ref="A1:AE39"/>
  <sheetViews>
    <sheetView zoomScale="145" zoomScaleNormal="145" workbookViewId="0">
      <selection activeCell="F17" sqref="F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979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304300</v>
      </c>
      <c r="D4" s="4"/>
      <c r="E4" s="4">
        <v>1</v>
      </c>
      <c r="F4" s="4" t="s">
        <v>5</v>
      </c>
      <c r="G4" s="4">
        <v>300000</v>
      </c>
    </row>
    <row r="5" spans="1:31">
      <c r="A5" s="4">
        <v>2</v>
      </c>
      <c r="B5" s="4" t="s">
        <v>6</v>
      </c>
      <c r="C5" s="4">
        <v>107312</v>
      </c>
      <c r="D5" s="4"/>
      <c r="E5" s="4">
        <v>2</v>
      </c>
      <c r="F5" s="4" t="s">
        <v>820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240000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980</v>
      </c>
      <c r="C10" s="4">
        <v>214300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</v>
      </c>
      <c r="C11" s="4"/>
      <c r="D11" s="4"/>
      <c r="E11" s="4">
        <v>8</v>
      </c>
      <c r="F11" s="4" t="s">
        <v>958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>
        <v>39100</v>
      </c>
      <c r="D12" s="4"/>
      <c r="E12" s="4">
        <v>9</v>
      </c>
      <c r="F12" s="6" t="s">
        <v>467</v>
      </c>
      <c r="G12" s="4"/>
      <c r="K12" s="1">
        <f>27-33</f>
        <v>-6</v>
      </c>
    </row>
    <row r="13" spans="1:31">
      <c r="A13" s="4">
        <v>10</v>
      </c>
      <c r="B13" s="4" t="s">
        <v>287</v>
      </c>
      <c r="C13" s="4"/>
      <c r="D13" s="4"/>
      <c r="E13" s="4">
        <v>10</v>
      </c>
      <c r="F13" s="12" t="s">
        <v>226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975</v>
      </c>
      <c r="C14" s="4"/>
      <c r="D14" s="4"/>
      <c r="E14" s="4">
        <v>11</v>
      </c>
      <c r="F14" s="12" t="s">
        <v>364</v>
      </c>
      <c r="G14" s="4">
        <v>10000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>
        <v>15000</v>
      </c>
      <c r="D15" s="4"/>
      <c r="E15" s="4">
        <v>12</v>
      </c>
      <c r="F15" s="4" t="s">
        <v>27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>
        <v>5000</v>
      </c>
      <c r="D16" s="4"/>
      <c r="E16" s="4">
        <v>13</v>
      </c>
      <c r="F16" s="4" t="s">
        <v>919</v>
      </c>
      <c r="G16" s="4">
        <v>59312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 t="s">
        <v>976</v>
      </c>
      <c r="D17" s="4"/>
      <c r="E17" s="4">
        <v>14</v>
      </c>
      <c r="F17" s="4"/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/>
    </row>
    <row r="19" spans="1:17">
      <c r="A19" s="4">
        <v>16</v>
      </c>
      <c r="B19" s="6" t="s">
        <v>832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685012</v>
      </c>
      <c r="D22" s="5"/>
      <c r="E22" s="5"/>
      <c r="F22" s="5"/>
      <c r="G22" s="5">
        <f>SUM(G4:G21)</f>
        <v>614562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70450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B828-4979-4D2C-A161-181601BCBD23}">
  <dimension ref="A1:AE39"/>
  <sheetViews>
    <sheetView zoomScale="145" zoomScaleNormal="145" workbookViewId="0">
      <selection activeCell="C17" sqref="C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983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f>247610+34430</f>
        <v>282040</v>
      </c>
      <c r="D4" s="4"/>
      <c r="E4" s="4">
        <v>1</v>
      </c>
      <c r="F4" s="4" t="s">
        <v>5</v>
      </c>
      <c r="G4" s="4">
        <v>200000</v>
      </c>
    </row>
    <row r="5" spans="1:31">
      <c r="A5" s="4">
        <v>2</v>
      </c>
      <c r="B5" s="4" t="s">
        <v>6</v>
      </c>
      <c r="C5" s="4">
        <v>73492</v>
      </c>
      <c r="D5" s="4"/>
      <c r="E5" s="4">
        <v>2</v>
      </c>
      <c r="F5" s="4" t="s">
        <v>820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140000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270</v>
      </c>
      <c r="K9" s="1">
        <v>80</v>
      </c>
    </row>
    <row r="10" spans="1:31">
      <c r="A10" s="4">
        <v>7</v>
      </c>
      <c r="B10" s="4" t="s">
        <v>980</v>
      </c>
      <c r="C10" s="4"/>
      <c r="D10" s="4"/>
      <c r="E10" s="4">
        <v>7</v>
      </c>
      <c r="F10" s="6" t="s">
        <v>20</v>
      </c>
      <c r="G10" s="4">
        <v>230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</v>
      </c>
      <c r="C11" s="4"/>
      <c r="D11" s="4"/>
      <c r="E11" s="4">
        <v>8</v>
      </c>
      <c r="F11" s="4" t="s">
        <v>958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/>
      <c r="D12" s="4"/>
      <c r="E12" s="4">
        <v>9</v>
      </c>
      <c r="F12" s="6" t="s">
        <v>985</v>
      </c>
      <c r="G12" s="4">
        <v>100</v>
      </c>
      <c r="K12" s="1">
        <f>27-33</f>
        <v>-6</v>
      </c>
    </row>
    <row r="13" spans="1:31">
      <c r="A13" s="4">
        <v>10</v>
      </c>
      <c r="B13" s="4" t="s">
        <v>287</v>
      </c>
      <c r="C13" s="4"/>
      <c r="D13" s="4"/>
      <c r="E13" s="4">
        <v>10</v>
      </c>
      <c r="F13" s="12" t="s">
        <v>984</v>
      </c>
      <c r="G13" s="4">
        <v>40000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975</v>
      </c>
      <c r="C14" s="4"/>
      <c r="D14" s="4"/>
      <c r="E14" s="4">
        <v>11</v>
      </c>
      <c r="F14" s="12" t="s">
        <v>364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/>
      <c r="D15" s="4"/>
      <c r="E15" s="4">
        <v>12</v>
      </c>
      <c r="F15" s="4" t="s">
        <v>27</v>
      </c>
      <c r="G15" s="4">
        <v>1000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>
        <v>73492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30000</v>
      </c>
      <c r="D17" s="4"/>
      <c r="E17" s="4">
        <v>14</v>
      </c>
      <c r="F17" s="4"/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>
        <v>33000</v>
      </c>
      <c r="D18" s="4"/>
      <c r="E18" s="4"/>
      <c r="F18" s="4" t="s">
        <v>524</v>
      </c>
      <c r="G18" s="4"/>
    </row>
    <row r="19" spans="1:17">
      <c r="A19" s="4">
        <v>16</v>
      </c>
      <c r="B19" s="6" t="s">
        <v>619</v>
      </c>
      <c r="C19" s="4">
        <v>39000</v>
      </c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457532</v>
      </c>
      <c r="D22" s="5"/>
      <c r="E22" s="5"/>
      <c r="F22" s="5"/>
      <c r="G22" s="5">
        <f>SUM(G4:G21)</f>
        <v>455092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2440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1EB6-31AF-426D-B9B7-9451951CC513}">
  <dimension ref="A1:AE39"/>
  <sheetViews>
    <sheetView zoomScale="145" zoomScaleNormal="145" workbookViewId="0">
      <selection activeCell="C5" sqref="C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986</v>
      </c>
    </row>
    <row r="3" spans="1:31">
      <c r="A3" s="11" t="s">
        <v>0</v>
      </c>
      <c r="B3" s="11" t="s">
        <v>1</v>
      </c>
      <c r="C3" s="11" t="s">
        <v>2</v>
      </c>
      <c r="D3" s="4"/>
      <c r="E3" s="11" t="s">
        <v>3</v>
      </c>
      <c r="F3" s="11" t="s">
        <v>1</v>
      </c>
      <c r="G3" s="11" t="s">
        <v>2</v>
      </c>
    </row>
    <row r="4" spans="1:31">
      <c r="A4" s="4">
        <v>1</v>
      </c>
      <c r="B4" s="4" t="s">
        <v>4</v>
      </c>
      <c r="C4" s="4">
        <v>230500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4</v>
      </c>
      <c r="C5" s="4">
        <v>3000</v>
      </c>
      <c r="D5" s="4"/>
      <c r="E5" s="4">
        <v>2</v>
      </c>
      <c r="F5" s="4" t="s">
        <v>820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230000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300</v>
      </c>
      <c r="K9" s="1">
        <v>80</v>
      </c>
    </row>
    <row r="10" spans="1:31">
      <c r="A10" s="4">
        <v>7</v>
      </c>
      <c r="B10" s="4" t="s">
        <v>980</v>
      </c>
      <c r="C10" s="4"/>
      <c r="D10" s="4"/>
      <c r="E10" s="4">
        <v>7</v>
      </c>
      <c r="F10" s="6" t="s">
        <v>20</v>
      </c>
      <c r="G10" s="4">
        <v>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</v>
      </c>
      <c r="C11" s="4"/>
      <c r="D11" s="4"/>
      <c r="E11" s="4">
        <v>8</v>
      </c>
      <c r="F11" s="4" t="s">
        <v>987</v>
      </c>
      <c r="G11" s="4">
        <v>100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/>
      <c r="D12" s="4"/>
      <c r="E12" s="4">
        <v>9</v>
      </c>
      <c r="F12" s="6" t="s">
        <v>988</v>
      </c>
      <c r="G12" s="4">
        <v>1000</v>
      </c>
      <c r="K12" s="1">
        <f>27-33</f>
        <v>-6</v>
      </c>
    </row>
    <row r="13" spans="1:31">
      <c r="A13" s="4">
        <v>10</v>
      </c>
      <c r="B13" s="4" t="s">
        <v>287</v>
      </c>
      <c r="C13" s="4"/>
      <c r="D13" s="4"/>
      <c r="E13" s="4">
        <v>10</v>
      </c>
      <c r="F13" s="12" t="s">
        <v>989</v>
      </c>
      <c r="G13" s="4">
        <v>1535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6" t="s">
        <v>975</v>
      </c>
      <c r="C14" s="4"/>
      <c r="D14" s="4"/>
      <c r="E14" s="4">
        <v>11</v>
      </c>
      <c r="F14" s="12" t="s">
        <v>117</v>
      </c>
      <c r="G14" s="4">
        <v>430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/>
      <c r="D15" s="4"/>
      <c r="E15" s="4">
        <v>12</v>
      </c>
      <c r="F15" s="4" t="s">
        <v>27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/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/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/>
    </row>
    <row r="19" spans="1:17">
      <c r="A19" s="4">
        <v>16</v>
      </c>
      <c r="B19" s="6" t="s">
        <v>619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233500</v>
      </c>
      <c r="D22" s="5"/>
      <c r="E22" s="5"/>
      <c r="F22" s="5"/>
      <c r="G22" s="5">
        <f>SUM(G4:G21)</f>
        <v>233365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135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1623-CF6A-4FD1-889F-CAE943CE4397}">
  <dimension ref="A1:AE39"/>
  <sheetViews>
    <sheetView zoomScale="145" zoomScaleNormal="145" workbookViewId="0">
      <selection activeCell="F17" sqref="F17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990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f>224000+133000</f>
        <v>357000</v>
      </c>
      <c r="D4" s="4"/>
      <c r="E4" s="4">
        <v>1</v>
      </c>
      <c r="F4" s="4" t="s">
        <v>5</v>
      </c>
      <c r="G4" s="4">
        <v>200000</v>
      </c>
    </row>
    <row r="5" spans="1:31">
      <c r="A5" s="4">
        <v>2</v>
      </c>
      <c r="B5" s="4" t="s">
        <v>6</v>
      </c>
      <c r="C5" s="4">
        <v>110225</v>
      </c>
      <c r="D5" s="4"/>
      <c r="E5" s="4">
        <v>2</v>
      </c>
      <c r="F5" s="4" t="s">
        <v>820</v>
      </c>
      <c r="G5" s="4">
        <v>130000</v>
      </c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220000</v>
      </c>
    </row>
    <row r="8" spans="1:31">
      <c r="A8" s="4">
        <v>5</v>
      </c>
      <c r="B8" s="4" t="s">
        <v>19</v>
      </c>
      <c r="C8" s="4">
        <v>150000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980</v>
      </c>
      <c r="C10" s="4"/>
      <c r="D10" s="4"/>
      <c r="E10" s="4">
        <v>7</v>
      </c>
      <c r="F10" s="6" t="s">
        <v>20</v>
      </c>
      <c r="G10" s="4">
        <v>450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987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/>
      <c r="D12" s="4"/>
      <c r="E12" s="4">
        <v>9</v>
      </c>
      <c r="F12" s="6" t="s">
        <v>988</v>
      </c>
      <c r="G12" s="4"/>
      <c r="K12" s="1">
        <f>27-33</f>
        <v>-6</v>
      </c>
    </row>
    <row r="13" spans="1:31">
      <c r="A13" s="4">
        <v>10</v>
      </c>
      <c r="B13" s="4" t="s">
        <v>287</v>
      </c>
      <c r="C13" s="4"/>
      <c r="D13" s="4"/>
      <c r="E13" s="4">
        <v>10</v>
      </c>
      <c r="F13" s="12" t="s">
        <v>989</v>
      </c>
      <c r="G13" s="4" t="s">
        <v>992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981</v>
      </c>
      <c r="C14" s="4">
        <v>1000</v>
      </c>
      <c r="D14" s="4"/>
      <c r="E14" s="4">
        <v>11</v>
      </c>
      <c r="F14" s="12" t="s">
        <v>991</v>
      </c>
      <c r="G14" s="4">
        <v>6930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/>
      <c r="D15" s="4"/>
      <c r="E15" s="4">
        <v>12</v>
      </c>
      <c r="F15" s="4" t="s">
        <v>27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>
        <v>54000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/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/>
    </row>
    <row r="19" spans="1:17">
      <c r="A19" s="4">
        <v>16</v>
      </c>
      <c r="B19" s="6" t="s">
        <v>619</v>
      </c>
      <c r="C19" s="4"/>
      <c r="D19" s="4"/>
      <c r="E19" s="4"/>
      <c r="F19" s="4" t="s">
        <v>939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668225</v>
      </c>
      <c r="D22" s="5"/>
      <c r="E22" s="5"/>
      <c r="F22" s="5"/>
      <c r="G22" s="5">
        <f>SUM(G4:G21)</f>
        <v>611730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56495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O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145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226346</v>
      </c>
      <c r="D6" s="4"/>
      <c r="E6" s="4">
        <v>3</v>
      </c>
      <c r="F6" s="4" t="s">
        <v>38</v>
      </c>
      <c r="G6" s="4"/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1">
      <c r="A8" s="4">
        <v>5</v>
      </c>
      <c r="B8" s="4" t="s">
        <v>58</v>
      </c>
      <c r="C8" s="4"/>
      <c r="D8" s="4"/>
      <c r="E8" s="4">
        <v>5</v>
      </c>
      <c r="F8" s="4" t="s">
        <v>9</v>
      </c>
      <c r="G8" s="4">
        <v>60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24</v>
      </c>
      <c r="C10" s="4"/>
      <c r="D10" s="4"/>
      <c r="E10" s="4">
        <v>7</v>
      </c>
      <c r="F10" s="4" t="s">
        <v>20</v>
      </c>
      <c r="G10" s="4"/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143</v>
      </c>
      <c r="G11" s="4"/>
    </row>
    <row r="12" spans="1:11">
      <c r="A12" s="4">
        <v>9</v>
      </c>
      <c r="B12" s="4" t="s">
        <v>129</v>
      </c>
      <c r="C12" s="4"/>
      <c r="D12" s="4"/>
      <c r="E12" s="4">
        <v>9</v>
      </c>
      <c r="F12" s="4" t="s">
        <v>144</v>
      </c>
      <c r="G12" s="4"/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27</v>
      </c>
      <c r="G13" s="4"/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146</v>
      </c>
      <c r="G14" s="4">
        <v>64340</v>
      </c>
      <c r="K14" s="1">
        <f>160+245</f>
        <v>405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137394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</row>
    <row r="19" spans="1:15">
      <c r="A19" s="5"/>
      <c r="B19" s="5"/>
      <c r="C19" s="5">
        <f>SUM(C4:C18)</f>
        <v>226346</v>
      </c>
      <c r="D19" s="5"/>
      <c r="E19" s="5"/>
      <c r="F19" s="5"/>
      <c r="G19" s="5">
        <f>SUM(G4:G18)</f>
        <v>201794</v>
      </c>
      <c r="K19" s="1">
        <v>13860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24552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DA4B-9524-4918-BA64-D7DE73872285}">
  <dimension ref="A1:AE39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993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f>141400+524000</f>
        <v>665400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306605</v>
      </c>
      <c r="D5" s="4"/>
      <c r="E5" s="4">
        <v>2</v>
      </c>
      <c r="F5" s="4" t="s">
        <v>820</v>
      </c>
      <c r="G5" s="4">
        <v>350000</v>
      </c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>
        <v>295000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205000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200</v>
      </c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320</v>
      </c>
      <c r="K9" s="1">
        <v>80</v>
      </c>
    </row>
    <row r="10" spans="1:31">
      <c r="A10" s="4">
        <v>7</v>
      </c>
      <c r="B10" s="4" t="s">
        <v>980</v>
      </c>
      <c r="C10" s="4"/>
      <c r="D10" s="4"/>
      <c r="E10" s="4">
        <v>7</v>
      </c>
      <c r="F10" s="6" t="s">
        <v>20</v>
      </c>
      <c r="G10" s="4">
        <v>620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7</v>
      </c>
      <c r="C11" s="4">
        <v>88780</v>
      </c>
      <c r="D11" s="4"/>
      <c r="E11" s="4">
        <v>8</v>
      </c>
      <c r="F11" s="4" t="s">
        <v>284</v>
      </c>
      <c r="G11" s="4">
        <v>5000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/>
      <c r="D12" s="4"/>
      <c r="E12" s="4">
        <v>9</v>
      </c>
      <c r="F12" s="6" t="s">
        <v>221</v>
      </c>
      <c r="G12" s="4">
        <v>5000</v>
      </c>
      <c r="K12" s="1">
        <f>27-33</f>
        <v>-6</v>
      </c>
    </row>
    <row r="13" spans="1:31">
      <c r="A13" s="4">
        <v>10</v>
      </c>
      <c r="B13" s="4" t="s">
        <v>287</v>
      </c>
      <c r="C13" s="4"/>
      <c r="D13" s="4"/>
      <c r="E13" s="4">
        <v>10</v>
      </c>
      <c r="F13" s="12" t="s">
        <v>560</v>
      </c>
      <c r="G13" s="4">
        <v>140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981</v>
      </c>
      <c r="C14" s="4"/>
      <c r="D14" s="4"/>
      <c r="E14" s="4">
        <v>11</v>
      </c>
      <c r="F14" s="12" t="s">
        <v>994</v>
      </c>
      <c r="G14" s="4">
        <v>8880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/>
      <c r="D15" s="4"/>
      <c r="E15" s="4">
        <v>12</v>
      </c>
      <c r="F15" s="12" t="s">
        <v>995</v>
      </c>
      <c r="G15" s="4">
        <v>4485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>
        <v>183881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>
        <v>9500</v>
      </c>
      <c r="D17" s="4"/>
      <c r="E17" s="4">
        <v>14</v>
      </c>
      <c r="F17" s="4" t="s">
        <v>996</v>
      </c>
      <c r="G17" s="4">
        <v>100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>
        <v>24000</v>
      </c>
      <c r="D18" s="4"/>
      <c r="E18" s="4"/>
      <c r="F18" s="4" t="s">
        <v>524</v>
      </c>
      <c r="G18" s="4">
        <v>26000</v>
      </c>
    </row>
    <row r="19" spans="1:17">
      <c r="A19" s="4">
        <v>16</v>
      </c>
      <c r="B19" s="6" t="s">
        <v>619</v>
      </c>
      <c r="C19" s="4"/>
      <c r="D19" s="4"/>
      <c r="E19" s="4"/>
      <c r="F19" s="4"/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1094285</v>
      </c>
      <c r="D22" s="5"/>
      <c r="E22" s="5"/>
      <c r="F22" s="5"/>
      <c r="G22" s="5">
        <f>SUM(G4:G21)</f>
        <v>1084626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9659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82B2-01B5-4A8C-BCC5-D9C9D25214E5}">
  <dimension ref="A1:AE39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997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v>424000</v>
      </c>
      <c r="D4" s="4"/>
      <c r="E4" s="4">
        <v>1</v>
      </c>
      <c r="F4" s="4" t="s">
        <v>5</v>
      </c>
      <c r="G4" s="4">
        <v>400000</v>
      </c>
    </row>
    <row r="5" spans="1:31">
      <c r="A5" s="4">
        <v>2</v>
      </c>
      <c r="B5" s="4" t="s">
        <v>6</v>
      </c>
      <c r="C5" s="4">
        <v>209881</v>
      </c>
      <c r="D5" s="4"/>
      <c r="E5" s="4">
        <v>2</v>
      </c>
      <c r="F5" s="4" t="s">
        <v>820</v>
      </c>
      <c r="G5" s="4">
        <v>0</v>
      </c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75000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325</v>
      </c>
      <c r="K9" s="1">
        <v>80</v>
      </c>
    </row>
    <row r="10" spans="1:31">
      <c r="A10" s="4">
        <v>7</v>
      </c>
      <c r="B10" s="4" t="s">
        <v>8</v>
      </c>
      <c r="C10" s="4">
        <v>75000</v>
      </c>
      <c r="D10" s="4"/>
      <c r="E10" s="4">
        <v>7</v>
      </c>
      <c r="F10" s="6" t="s">
        <v>20</v>
      </c>
      <c r="G10" s="4">
        <v>175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998</v>
      </c>
      <c r="C11" s="4">
        <v>167600</v>
      </c>
      <c r="D11" s="4"/>
      <c r="E11" s="4">
        <v>8</v>
      </c>
      <c r="F11" s="4" t="s">
        <v>999</v>
      </c>
      <c r="G11" s="4">
        <v>400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>
        <v>67150</v>
      </c>
      <c r="D12" s="4"/>
      <c r="E12" s="4">
        <v>9</v>
      </c>
      <c r="F12" s="6" t="s">
        <v>221</v>
      </c>
      <c r="G12" s="4"/>
      <c r="K12" s="1">
        <f>27-33</f>
        <v>-6</v>
      </c>
    </row>
    <row r="13" spans="1:31">
      <c r="A13" s="4">
        <v>10</v>
      </c>
      <c r="B13" s="4" t="s">
        <v>287</v>
      </c>
      <c r="C13" s="4"/>
      <c r="D13" s="4"/>
      <c r="E13" s="4">
        <v>10</v>
      </c>
      <c r="F13" s="12" t="s">
        <v>560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981</v>
      </c>
      <c r="C14" s="4"/>
      <c r="D14" s="4"/>
      <c r="E14" s="4">
        <v>11</v>
      </c>
      <c r="F14" s="12" t="s">
        <v>994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/>
      <c r="D15" s="4"/>
      <c r="E15" s="4">
        <v>12</v>
      </c>
      <c r="F15" s="12" t="s">
        <v>995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>
        <v>151481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996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>
        <v>10000</v>
      </c>
    </row>
    <row r="19" spans="1:17">
      <c r="A19" s="4">
        <v>16</v>
      </c>
      <c r="B19" s="6" t="s">
        <v>619</v>
      </c>
      <c r="C19" s="4"/>
      <c r="D19" s="4"/>
      <c r="E19" s="4"/>
      <c r="F19" s="4"/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943631</v>
      </c>
      <c r="D22" s="5"/>
      <c r="E22" s="5"/>
      <c r="F22" s="5"/>
      <c r="G22" s="5">
        <f>SUM(G4:G21)</f>
        <v>637381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306250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AFC1-C1BB-4EF7-9AE0-E126BA25F01B}">
  <dimension ref="A1:AE39"/>
  <sheetViews>
    <sheetView zoomScale="145" zoomScaleNormal="145" workbookViewId="0">
      <selection activeCell="G19" sqref="G19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1000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v>770000</v>
      </c>
      <c r="D4" s="4"/>
      <c r="E4" s="4">
        <v>1</v>
      </c>
      <c r="F4" s="4" t="s">
        <v>5</v>
      </c>
      <c r="G4" s="4">
        <v>400000</v>
      </c>
    </row>
    <row r="5" spans="1:31">
      <c r="A5" s="4">
        <v>2</v>
      </c>
      <c r="B5" s="4" t="s">
        <v>6</v>
      </c>
      <c r="C5" s="4">
        <v>256122</v>
      </c>
      <c r="D5" s="4"/>
      <c r="E5" s="4">
        <v>2</v>
      </c>
      <c r="F5" s="4" t="s">
        <v>820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>
        <v>300000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100000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300</v>
      </c>
      <c r="K9" s="1">
        <v>80</v>
      </c>
    </row>
    <row r="10" spans="1:31">
      <c r="A10" s="4">
        <v>7</v>
      </c>
      <c r="B10" s="4" t="s">
        <v>156</v>
      </c>
      <c r="C10" s="4">
        <v>70000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945</v>
      </c>
      <c r="C11" s="4">
        <v>51500</v>
      </c>
      <c r="D11" s="4"/>
      <c r="E11" s="4">
        <v>8</v>
      </c>
      <c r="F11" s="4" t="s">
        <v>999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/>
      <c r="D12" s="4"/>
      <c r="E12" s="4">
        <v>9</v>
      </c>
      <c r="F12" s="6" t="s">
        <v>284</v>
      </c>
      <c r="G12" s="4">
        <v>2500</v>
      </c>
      <c r="K12" s="1">
        <f>27-33</f>
        <v>-6</v>
      </c>
    </row>
    <row r="13" spans="1:31">
      <c r="A13" s="4">
        <v>10</v>
      </c>
      <c r="B13" s="4" t="s">
        <v>287</v>
      </c>
      <c r="C13" s="4"/>
      <c r="D13" s="4"/>
      <c r="E13" s="4">
        <v>10</v>
      </c>
      <c r="F13" s="12" t="s">
        <v>560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981</v>
      </c>
      <c r="C14" s="4"/>
      <c r="D14" s="4"/>
      <c r="E14" s="4">
        <v>11</v>
      </c>
      <c r="F14" s="12" t="s">
        <v>994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/>
      <c r="D15" s="4"/>
      <c r="E15" s="4">
        <v>12</v>
      </c>
      <c r="F15" s="12" t="s">
        <v>995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>
        <v>211122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996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>
        <v>10000</v>
      </c>
    </row>
    <row r="19" spans="1:17">
      <c r="A19" s="4">
        <v>16</v>
      </c>
      <c r="B19" s="6" t="s">
        <v>619</v>
      </c>
      <c r="C19" s="4"/>
      <c r="D19" s="4"/>
      <c r="E19" s="4"/>
      <c r="F19" s="4"/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1147622</v>
      </c>
      <c r="D22" s="5"/>
      <c r="E22" s="5"/>
      <c r="F22" s="5"/>
      <c r="G22" s="5">
        <f>SUM(G4:G21)</f>
        <v>1024022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123600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E381-E50E-4114-8A6D-E18D8A80C8F0}">
  <dimension ref="A1:AE39"/>
  <sheetViews>
    <sheetView zoomScale="145" zoomScaleNormal="145" workbookViewId="0">
      <selection activeCell="G19" sqref="G19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1001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v>873000</v>
      </c>
      <c r="D4" s="4"/>
      <c r="E4" s="4">
        <v>1</v>
      </c>
      <c r="F4" s="4" t="s">
        <v>5</v>
      </c>
      <c r="G4" s="4">
        <v>570000</v>
      </c>
    </row>
    <row r="5" spans="1:31">
      <c r="A5" s="4">
        <v>2</v>
      </c>
      <c r="B5" s="4" t="s">
        <v>6</v>
      </c>
      <c r="C5" s="4">
        <v>221122</v>
      </c>
      <c r="D5" s="4"/>
      <c r="E5" s="4">
        <v>2</v>
      </c>
      <c r="F5" s="4" t="s">
        <v>820</v>
      </c>
      <c r="G5" s="4">
        <v>400000</v>
      </c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/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19</v>
      </c>
      <c r="C8" s="4">
        <v>118950</v>
      </c>
      <c r="D8" s="4"/>
      <c r="E8" s="4">
        <v>5</v>
      </c>
      <c r="F8" s="4" t="s">
        <v>10</v>
      </c>
      <c r="G8" s="4">
        <v>100</v>
      </c>
      <c r="K8" s="1">
        <f>310+200</f>
        <v>510</v>
      </c>
    </row>
    <row r="9" spans="1:31">
      <c r="A9" s="4">
        <v>6</v>
      </c>
      <c r="B9" s="4" t="s">
        <v>973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156</v>
      </c>
      <c r="C10" s="4"/>
      <c r="D10" s="4"/>
      <c r="E10" s="4">
        <v>7</v>
      </c>
      <c r="F10" s="6" t="s">
        <v>20</v>
      </c>
      <c r="G10" s="4">
        <v>600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945</v>
      </c>
      <c r="C11" s="4"/>
      <c r="D11" s="4"/>
      <c r="E11" s="4">
        <v>8</v>
      </c>
      <c r="F11" s="4" t="s">
        <v>1002</v>
      </c>
      <c r="G11" s="4">
        <v>500</v>
      </c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/>
      <c r="D12" s="4"/>
      <c r="E12" s="4">
        <v>9</v>
      </c>
      <c r="F12" s="6" t="s">
        <v>1003</v>
      </c>
      <c r="G12" s="4">
        <v>200</v>
      </c>
      <c r="K12" s="1">
        <f>27-33</f>
        <v>-6</v>
      </c>
    </row>
    <row r="13" spans="1:31">
      <c r="A13" s="4">
        <v>10</v>
      </c>
      <c r="B13" s="4" t="s">
        <v>287</v>
      </c>
      <c r="C13" s="4"/>
      <c r="D13" s="4"/>
      <c r="E13" s="4">
        <v>10</v>
      </c>
      <c r="F13" s="12" t="s">
        <v>560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981</v>
      </c>
      <c r="C14" s="4"/>
      <c r="D14" s="4"/>
      <c r="E14" s="4">
        <v>11</v>
      </c>
      <c r="F14" s="12" t="s">
        <v>1004</v>
      </c>
      <c r="G14" s="4">
        <v>5220</v>
      </c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/>
      <c r="D15" s="4"/>
      <c r="E15" s="4">
        <v>12</v>
      </c>
      <c r="F15" s="12" t="s">
        <v>41</v>
      </c>
      <c r="G15" s="4">
        <v>12595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>
        <v>141865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996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>
        <v>15000</v>
      </c>
    </row>
    <row r="19" spans="1:17">
      <c r="A19" s="4">
        <v>16</v>
      </c>
      <c r="B19" s="6" t="s">
        <v>619</v>
      </c>
      <c r="C19" s="4"/>
      <c r="D19" s="4"/>
      <c r="E19" s="4"/>
      <c r="F19" s="4"/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1213072</v>
      </c>
      <c r="D22" s="5"/>
      <c r="E22" s="5"/>
      <c r="F22" s="5"/>
      <c r="G22" s="5">
        <f>SUM(G4:G21)</f>
        <v>1146330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66742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BCB9-12FA-4249-831B-C2CC3B4049BB}">
  <dimension ref="A1:AE39"/>
  <sheetViews>
    <sheetView topLeftCell="A7" zoomScale="145" zoomScaleNormal="145" workbookViewId="0">
      <selection activeCell="C25" sqref="C25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1005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v>512600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259505</v>
      </c>
      <c r="D5" s="4"/>
      <c r="E5" s="4">
        <v>2</v>
      </c>
      <c r="F5" s="4" t="s">
        <v>820</v>
      </c>
      <c r="G5" s="4">
        <v>140000</v>
      </c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>
        <v>306000</v>
      </c>
      <c r="J6" s="1">
        <v>35835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94000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200</v>
      </c>
      <c r="K8" s="1">
        <f>310+200</f>
        <v>510</v>
      </c>
    </row>
    <row r="9" spans="1:31">
      <c r="A9" s="4">
        <v>6</v>
      </c>
      <c r="B9" s="4" t="s">
        <v>7</v>
      </c>
      <c r="C9" s="4">
        <v>70000</v>
      </c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156</v>
      </c>
      <c r="C10" s="4"/>
      <c r="D10" s="4"/>
      <c r="E10" s="4">
        <v>7</v>
      </c>
      <c r="F10" s="6" t="s">
        <v>20</v>
      </c>
      <c r="G10" s="4">
        <v>1100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945</v>
      </c>
      <c r="C11" s="4"/>
      <c r="D11" s="4"/>
      <c r="E11" s="4">
        <v>8</v>
      </c>
      <c r="F11" s="4" t="s">
        <v>1002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/>
      <c r="D12" s="4"/>
      <c r="E12" s="4">
        <v>9</v>
      </c>
      <c r="F12" s="6" t="s">
        <v>1003</v>
      </c>
      <c r="G12" s="4"/>
      <c r="K12" s="1">
        <f>27-33</f>
        <v>-6</v>
      </c>
    </row>
    <row r="13" spans="1:31">
      <c r="A13" s="4">
        <v>10</v>
      </c>
      <c r="B13" s="4" t="s">
        <v>287</v>
      </c>
      <c r="C13" s="4">
        <v>58000</v>
      </c>
      <c r="D13" s="4"/>
      <c r="E13" s="4">
        <v>10</v>
      </c>
      <c r="F13" s="12" t="s">
        <v>560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981</v>
      </c>
      <c r="C14" s="4"/>
      <c r="D14" s="4"/>
      <c r="E14" s="4">
        <v>11</v>
      </c>
      <c r="F14" s="12" t="s">
        <v>1004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/>
      <c r="D15" s="4"/>
      <c r="E15" s="4">
        <v>12</v>
      </c>
      <c r="F15" s="12" t="s">
        <v>41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>
        <v>218151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996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/>
    </row>
    <row r="19" spans="1:17">
      <c r="A19" s="4">
        <v>16</v>
      </c>
      <c r="B19" s="6" t="s">
        <v>619</v>
      </c>
      <c r="C19" s="4"/>
      <c r="D19" s="4"/>
      <c r="E19" s="4"/>
      <c r="F19" s="4"/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900105</v>
      </c>
      <c r="D22" s="5"/>
      <c r="E22" s="5"/>
      <c r="F22" s="5"/>
      <c r="G22" s="5">
        <f>SUM(G4:G21)</f>
        <v>759701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140404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2FD4-681B-460C-AACE-A391B237C732}">
  <dimension ref="A1:AE39"/>
  <sheetViews>
    <sheetView zoomScale="145" zoomScaleNormal="145" workbookViewId="0">
      <selection activeCell="F24" sqref="F24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1006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v>449607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>
        <v>474763</v>
      </c>
      <c r="D5" s="4"/>
      <c r="E5" s="4">
        <v>2</v>
      </c>
      <c r="F5" s="4" t="s">
        <v>820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310000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350</v>
      </c>
      <c r="K9" s="1">
        <v>80</v>
      </c>
    </row>
    <row r="10" spans="1:31">
      <c r="A10" s="4">
        <v>7</v>
      </c>
      <c r="B10" s="4" t="s">
        <v>156</v>
      </c>
      <c r="C10" s="4"/>
      <c r="D10" s="4"/>
      <c r="E10" s="4">
        <v>7</v>
      </c>
      <c r="F10" s="6" t="s">
        <v>20</v>
      </c>
      <c r="G10" s="4">
        <v>1190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945</v>
      </c>
      <c r="C11" s="4"/>
      <c r="D11" s="4"/>
      <c r="E11" s="4">
        <v>8</v>
      </c>
      <c r="F11" s="4" t="s">
        <v>1002</v>
      </c>
      <c r="G11" s="4"/>
      <c r="I11" s="1">
        <f>128+15</f>
        <v>143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/>
      <c r="D12" s="4"/>
      <c r="E12" s="4">
        <v>9</v>
      </c>
      <c r="F12" s="6" t="s">
        <v>1007</v>
      </c>
      <c r="G12" s="4">
        <v>1400</v>
      </c>
      <c r="K12" s="1">
        <f>27-33</f>
        <v>-6</v>
      </c>
    </row>
    <row r="13" spans="1:31">
      <c r="A13" s="4">
        <v>10</v>
      </c>
      <c r="B13" s="4" t="s">
        <v>287</v>
      </c>
      <c r="C13" s="4"/>
      <c r="D13" s="4"/>
      <c r="E13" s="4">
        <v>10</v>
      </c>
      <c r="F13" s="12" t="s">
        <v>560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981</v>
      </c>
      <c r="C14" s="4"/>
      <c r="D14" s="4"/>
      <c r="E14" s="4">
        <v>11</v>
      </c>
      <c r="F14" s="12" t="s">
        <v>1004</v>
      </c>
      <c r="G14" s="4"/>
      <c r="I14" s="1">
        <f>90+150+130+60</f>
        <v>430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981</v>
      </c>
      <c r="C15" s="4"/>
      <c r="D15" s="4"/>
      <c r="E15" s="4">
        <v>12</v>
      </c>
      <c r="F15" s="12" t="s">
        <v>41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>
        <v>237086</v>
      </c>
      <c r="H16" s="1">
        <v>0</v>
      </c>
      <c r="I16" s="1">
        <v>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996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>
        <v>164000</v>
      </c>
    </row>
    <row r="19" spans="1:17">
      <c r="A19" s="4">
        <v>16</v>
      </c>
      <c r="B19" s="6" t="s">
        <v>619</v>
      </c>
      <c r="C19" s="4"/>
      <c r="D19" s="4"/>
      <c r="E19" s="4"/>
      <c r="F19" s="4"/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I21" s="1">
        <f>51314+13688</f>
        <v>65002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924370</v>
      </c>
      <c r="D22" s="5"/>
      <c r="E22" s="5"/>
      <c r="F22" s="5"/>
      <c r="G22" s="5">
        <f>SUM(G4:G21)</f>
        <v>714026</v>
      </c>
      <c r="I22" s="1">
        <f>69686-65002</f>
        <v>4684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210344</v>
      </c>
      <c r="D25" s="5"/>
      <c r="E25" s="5"/>
      <c r="F25" s="5"/>
      <c r="G25" s="5"/>
      <c r="I25" s="1">
        <f>58*12</f>
        <v>696</v>
      </c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0DD5-BEB8-4D0F-9223-0B219D381E11}">
  <dimension ref="A1:AE39"/>
  <sheetViews>
    <sheetView zoomScale="145" zoomScaleNormal="145" workbookViewId="0">
      <selection activeCell="G2" sqref="G2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1055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v>681500</v>
      </c>
      <c r="D4" s="4"/>
      <c r="E4" s="4">
        <v>1</v>
      </c>
      <c r="F4" s="4" t="s">
        <v>5</v>
      </c>
      <c r="G4" s="4">
        <v>400000</v>
      </c>
    </row>
    <row r="5" spans="1:31">
      <c r="A5" s="4">
        <v>2</v>
      </c>
      <c r="B5" s="4" t="s">
        <v>6</v>
      </c>
      <c r="C5" s="4">
        <v>64984</v>
      </c>
      <c r="D5" s="4"/>
      <c r="E5" s="4">
        <v>2</v>
      </c>
      <c r="F5" s="4" t="s">
        <v>820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>
        <v>400000</v>
      </c>
      <c r="J6" s="1">
        <v>35835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/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>
        <v>200</v>
      </c>
      <c r="K8" s="1">
        <f>310+200</f>
        <v>510</v>
      </c>
    </row>
    <row r="9" spans="1:31">
      <c r="A9" s="4">
        <v>6</v>
      </c>
      <c r="B9" s="4" t="s">
        <v>7</v>
      </c>
      <c r="C9" s="4">
        <v>40010</v>
      </c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156</v>
      </c>
      <c r="C10" s="4"/>
      <c r="D10" s="4"/>
      <c r="E10" s="4">
        <v>7</v>
      </c>
      <c r="F10" s="6" t="s">
        <v>20</v>
      </c>
      <c r="G10" s="4">
        <v>400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945</v>
      </c>
      <c r="C11" s="4">
        <v>102000</v>
      </c>
      <c r="D11" s="4"/>
      <c r="E11" s="4">
        <v>8</v>
      </c>
      <c r="F11" s="4" t="s">
        <v>1002</v>
      </c>
      <c r="G11" s="4"/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519</v>
      </c>
      <c r="C12" s="4">
        <v>45825</v>
      </c>
      <c r="D12" s="4"/>
      <c r="E12" s="4">
        <v>9</v>
      </c>
      <c r="F12" s="6" t="s">
        <v>1007</v>
      </c>
      <c r="G12" s="4"/>
      <c r="K12" s="1">
        <f>27-33</f>
        <v>-6</v>
      </c>
    </row>
    <row r="13" spans="1:31">
      <c r="A13" s="4">
        <v>10</v>
      </c>
      <c r="B13" s="4" t="s">
        <v>287</v>
      </c>
      <c r="C13" s="4">
        <v>40350</v>
      </c>
      <c r="D13" s="4"/>
      <c r="E13" s="4">
        <v>10</v>
      </c>
      <c r="F13" s="12" t="s">
        <v>133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1052</v>
      </c>
      <c r="C14" s="4">
        <v>18385</v>
      </c>
      <c r="D14" s="4"/>
      <c r="E14" s="4">
        <v>11</v>
      </c>
      <c r="F14" s="12" t="s">
        <v>1053</v>
      </c>
      <c r="G14" s="4">
        <v>10695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1054</v>
      </c>
      <c r="C15" s="4">
        <v>15960</v>
      </c>
      <c r="D15" s="4"/>
      <c r="E15" s="4">
        <v>12</v>
      </c>
      <c r="F15" s="12" t="s">
        <v>247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>
        <v>54984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996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524</v>
      </c>
      <c r="G18" s="4"/>
    </row>
    <row r="19" spans="1:17">
      <c r="A19" s="4">
        <v>16</v>
      </c>
      <c r="B19" s="6" t="s">
        <v>619</v>
      </c>
      <c r="C19" s="4"/>
      <c r="D19" s="4"/>
      <c r="E19" s="4"/>
      <c r="F19" s="4"/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1009014</v>
      </c>
      <c r="D22" s="5"/>
      <c r="E22" s="5"/>
      <c r="F22" s="5"/>
      <c r="G22" s="5">
        <f>SUM(G4:G21)</f>
        <v>871529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137485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697B2-6EE2-4392-8E10-460896AD3378}">
  <dimension ref="A1:AE39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1064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v>1108500</v>
      </c>
      <c r="D4" s="4"/>
      <c r="E4" s="4">
        <v>1</v>
      </c>
      <c r="F4" s="4" t="s">
        <v>5</v>
      </c>
      <c r="G4" s="4"/>
    </row>
    <row r="5" spans="1:31">
      <c r="A5" s="4">
        <v>2</v>
      </c>
      <c r="B5" s="4" t="s">
        <v>6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125000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1056</v>
      </c>
      <c r="C10" s="4">
        <v>8370</v>
      </c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945</v>
      </c>
      <c r="C11" s="4"/>
      <c r="D11" s="4"/>
      <c r="E11" s="4">
        <v>8</v>
      </c>
      <c r="F11" s="4" t="s">
        <v>858</v>
      </c>
      <c r="G11" s="4">
        <v>950000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1057</v>
      </c>
      <c r="C12" s="4">
        <v>27180</v>
      </c>
      <c r="D12" s="4"/>
      <c r="E12" s="4">
        <v>9</v>
      </c>
      <c r="F12" s="6" t="s">
        <v>1007</v>
      </c>
      <c r="G12" s="4"/>
      <c r="K12" s="1">
        <f>27-33</f>
        <v>-6</v>
      </c>
    </row>
    <row r="13" spans="1:31">
      <c r="A13" s="4">
        <v>10</v>
      </c>
      <c r="B13" s="4" t="s">
        <v>1058</v>
      </c>
      <c r="C13" s="4">
        <v>44180</v>
      </c>
      <c r="D13" s="4"/>
      <c r="E13" s="4">
        <v>10</v>
      </c>
      <c r="F13" s="12" t="s">
        <v>133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1052</v>
      </c>
      <c r="C14" s="4">
        <v>15000</v>
      </c>
      <c r="D14" s="4"/>
      <c r="E14" s="4">
        <v>11</v>
      </c>
      <c r="F14" s="12" t="s">
        <v>1053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1054</v>
      </c>
      <c r="C15" s="4"/>
      <c r="D15" s="4"/>
      <c r="E15" s="4">
        <v>12</v>
      </c>
      <c r="F15" s="12" t="s">
        <v>247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982</v>
      </c>
      <c r="C16" s="4"/>
      <c r="D16" s="4"/>
      <c r="E16" s="4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233</v>
      </c>
      <c r="C17" s="4"/>
      <c r="D17" s="4"/>
      <c r="E17" s="4">
        <v>14</v>
      </c>
      <c r="F17" s="4" t="s">
        <v>996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319</v>
      </c>
      <c r="C18" s="4"/>
      <c r="D18" s="4"/>
      <c r="E18" s="4"/>
      <c r="F18" s="4" t="s">
        <v>1059</v>
      </c>
      <c r="G18" s="4">
        <v>12000</v>
      </c>
    </row>
    <row r="19" spans="1:17">
      <c r="A19" s="4">
        <v>16</v>
      </c>
      <c r="B19" s="6" t="s">
        <v>619</v>
      </c>
      <c r="C19" s="4"/>
      <c r="D19" s="4"/>
      <c r="E19" s="4"/>
      <c r="F19" s="4" t="s">
        <v>1060</v>
      </c>
      <c r="G19" s="4">
        <v>15000</v>
      </c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/>
      <c r="C21" s="4"/>
      <c r="D21" s="4"/>
      <c r="E21" s="4">
        <v>15</v>
      </c>
      <c r="F21" s="4"/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1203230</v>
      </c>
      <c r="D22" s="5"/>
      <c r="E22" s="5"/>
      <c r="F22" s="5"/>
      <c r="G22" s="5">
        <f>SUM(G4:G21)</f>
        <v>1102250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100980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7EB2-5BC1-48FE-888D-69D3B371D2F1}">
  <dimension ref="A1:AE39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5.85546875" style="1" customWidth="1"/>
    <col min="2" max="2" width="18.140625" style="1" customWidth="1"/>
    <col min="3" max="3" width="10.7109375" style="1" customWidth="1"/>
    <col min="4" max="4" width="1.85546875" style="1" customWidth="1"/>
    <col min="5" max="5" width="5.7109375" style="1" customWidth="1"/>
    <col min="6" max="6" width="26.140625" style="1" customWidth="1"/>
    <col min="7" max="7" width="16.14062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1061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4">
        <v>1</v>
      </c>
      <c r="B4" s="4" t="s">
        <v>4</v>
      </c>
      <c r="C4" s="4">
        <v>357300</v>
      </c>
      <c r="D4" s="4"/>
      <c r="E4" s="4">
        <v>1</v>
      </c>
      <c r="F4" s="4" t="s">
        <v>5</v>
      </c>
      <c r="G4" s="4">
        <v>300000</v>
      </c>
    </row>
    <row r="5" spans="1:31">
      <c r="A5" s="4">
        <v>2</v>
      </c>
      <c r="B5" s="4" t="s">
        <v>6</v>
      </c>
      <c r="C5" s="4"/>
      <c r="D5" s="4"/>
      <c r="E5" s="4">
        <v>2</v>
      </c>
      <c r="F5" s="4" t="s">
        <v>820</v>
      </c>
      <c r="G5" s="4"/>
      <c r="K5" s="1">
        <f>103+85+160</f>
        <v>348</v>
      </c>
    </row>
    <row r="6" spans="1:31">
      <c r="A6" s="4">
        <v>3</v>
      </c>
      <c r="B6" s="4" t="s">
        <v>961</v>
      </c>
      <c r="C6" s="4"/>
      <c r="D6" s="4"/>
      <c r="E6" s="4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4">
        <v>4</v>
      </c>
      <c r="B7" s="4" t="s">
        <v>923</v>
      </c>
      <c r="C7" s="4"/>
      <c r="D7" s="4"/>
      <c r="E7" s="4">
        <v>4</v>
      </c>
      <c r="F7" s="4" t="s">
        <v>336</v>
      </c>
      <c r="G7" s="4">
        <v>150000</v>
      </c>
    </row>
    <row r="8" spans="1:31">
      <c r="A8" s="4">
        <v>5</v>
      </c>
      <c r="B8" s="4" t="s">
        <v>19</v>
      </c>
      <c r="C8" s="4"/>
      <c r="D8" s="4"/>
      <c r="E8" s="4">
        <v>5</v>
      </c>
      <c r="F8" s="4" t="s">
        <v>10</v>
      </c>
      <c r="G8" s="4"/>
      <c r="K8" s="1">
        <f>310+200</f>
        <v>510</v>
      </c>
    </row>
    <row r="9" spans="1:31">
      <c r="A9" s="4">
        <v>6</v>
      </c>
      <c r="B9" s="4" t="s">
        <v>7</v>
      </c>
      <c r="C9" s="4"/>
      <c r="D9" s="4"/>
      <c r="E9" s="4">
        <v>6</v>
      </c>
      <c r="F9" s="4" t="s">
        <v>941</v>
      </c>
      <c r="G9" s="4">
        <v>250</v>
      </c>
      <c r="K9" s="1">
        <v>80</v>
      </c>
    </row>
    <row r="10" spans="1:31">
      <c r="A10" s="4">
        <v>7</v>
      </c>
      <c r="B10" s="4" t="s">
        <v>1056</v>
      </c>
      <c r="C10" s="4"/>
      <c r="D10" s="4"/>
      <c r="E10" s="4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4">
        <v>8</v>
      </c>
      <c r="B11" s="4" t="s">
        <v>24</v>
      </c>
      <c r="C11" s="4">
        <v>20000</v>
      </c>
      <c r="D11" s="4"/>
      <c r="E11" s="4">
        <v>8</v>
      </c>
      <c r="F11" s="4" t="s">
        <v>467</v>
      </c>
      <c r="G11" s="4">
        <v>250</v>
      </c>
      <c r="K11" s="1">
        <f>510+80+180</f>
        <v>770</v>
      </c>
      <c r="M11" s="1">
        <f>105+70+20</f>
        <v>195</v>
      </c>
    </row>
    <row r="12" spans="1:31">
      <c r="A12" s="4">
        <v>9</v>
      </c>
      <c r="B12" s="6" t="s">
        <v>1062</v>
      </c>
      <c r="C12" s="4">
        <v>14300</v>
      </c>
      <c r="D12" s="4"/>
      <c r="E12" s="4">
        <v>9</v>
      </c>
      <c r="F12" s="6" t="s">
        <v>1007</v>
      </c>
      <c r="G12" s="4"/>
      <c r="K12" s="1">
        <f>27-33</f>
        <v>-6</v>
      </c>
    </row>
    <row r="13" spans="1:31">
      <c r="A13" s="4">
        <v>10</v>
      </c>
      <c r="B13" s="4" t="s">
        <v>233</v>
      </c>
      <c r="C13" s="4">
        <v>13500</v>
      </c>
      <c r="D13" s="4"/>
      <c r="E13" s="4">
        <v>10</v>
      </c>
      <c r="F13" s="12" t="s">
        <v>133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4">
        <v>11</v>
      </c>
      <c r="B14" s="4" t="s">
        <v>1052</v>
      </c>
      <c r="C14" s="4">
        <v>20520</v>
      </c>
      <c r="D14" s="4"/>
      <c r="E14" s="4">
        <v>11</v>
      </c>
      <c r="F14" s="12" t="s">
        <v>1063</v>
      </c>
      <c r="G14" s="4">
        <v>11940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4">
        <v>12</v>
      </c>
      <c r="B15" s="4" t="s">
        <v>998</v>
      </c>
      <c r="C15" s="4">
        <v>28200</v>
      </c>
      <c r="D15" s="4"/>
      <c r="E15" s="4">
        <v>12</v>
      </c>
      <c r="F15" s="12" t="s">
        <v>169</v>
      </c>
      <c r="G15" s="4">
        <v>800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4">
        <v>13</v>
      </c>
      <c r="B16" s="4" t="s">
        <v>50</v>
      </c>
      <c r="C16" s="4">
        <v>22000</v>
      </c>
      <c r="D16" s="4"/>
      <c r="E16" s="4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4">
        <v>14</v>
      </c>
      <c r="B17" s="6" t="s">
        <v>127</v>
      </c>
      <c r="C17" s="4">
        <v>16000</v>
      </c>
      <c r="D17" s="4"/>
      <c r="E17" s="4">
        <v>14</v>
      </c>
      <c r="F17" s="4" t="s">
        <v>1066</v>
      </c>
      <c r="G17" s="4">
        <v>5000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4">
        <v>15</v>
      </c>
      <c r="B18" s="6" t="s">
        <v>918</v>
      </c>
      <c r="C18" s="4">
        <v>20000</v>
      </c>
      <c r="D18" s="4"/>
      <c r="E18" s="4"/>
      <c r="F18" s="4" t="s">
        <v>1065</v>
      </c>
      <c r="G18" s="4">
        <v>80000</v>
      </c>
    </row>
    <row r="19" spans="1:17">
      <c r="A19" s="4">
        <v>16</v>
      </c>
      <c r="B19" s="6" t="s">
        <v>619</v>
      </c>
      <c r="C19" s="4">
        <v>32000</v>
      </c>
      <c r="D19" s="4"/>
      <c r="E19" s="4"/>
      <c r="F19" s="4" t="s">
        <v>1060</v>
      </c>
      <c r="G19" s="4"/>
      <c r="J19" s="1">
        <f>6280+25000+30000+20860+9632+10000</f>
        <v>101772</v>
      </c>
    </row>
    <row r="20" spans="1:17">
      <c r="A20" s="4">
        <v>17</v>
      </c>
      <c r="B20" s="6" t="s">
        <v>928</v>
      </c>
      <c r="C20" s="4"/>
      <c r="D20" s="4"/>
      <c r="E20" s="4"/>
      <c r="F20" s="4"/>
      <c r="G20" s="4"/>
      <c r="J20" s="1">
        <f>101772+158793</f>
        <v>260565</v>
      </c>
    </row>
    <row r="21" spans="1:17">
      <c r="A21" s="4">
        <v>18</v>
      </c>
      <c r="B21" s="4" t="s">
        <v>961</v>
      </c>
      <c r="C21" s="4">
        <v>20000</v>
      </c>
      <c r="D21" s="4"/>
      <c r="E21" s="4">
        <v>15</v>
      </c>
      <c r="F21" s="4"/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563820</v>
      </c>
      <c r="D22" s="5"/>
      <c r="E22" s="5"/>
      <c r="F22" s="5"/>
      <c r="G22" s="5">
        <f>SUM(G4:G21)</f>
        <v>548240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15580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2" spans="1:17">
      <c r="J32" s="9">
        <v>1812417099</v>
      </c>
    </row>
    <row r="34" spans="2:14">
      <c r="N34" s="1">
        <f>591*6</f>
        <v>3546</v>
      </c>
    </row>
    <row r="35" spans="2:14">
      <c r="B35" s="10"/>
      <c r="N35" s="1">
        <f>SUM(N32:N34)</f>
        <v>3546</v>
      </c>
    </row>
    <row r="36" spans="2:14">
      <c r="B36" s="10"/>
    </row>
    <row r="37" spans="2:14">
      <c r="B37" s="10"/>
      <c r="N37" s="1">
        <f>792-853</f>
        <v>-61</v>
      </c>
    </row>
    <row r="38" spans="2:14">
      <c r="B38" s="10"/>
    </row>
    <row r="39" spans="2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CEE5-3671-47ED-A712-81B06A347A19}">
  <dimension ref="A1:AE39"/>
  <sheetViews>
    <sheetView zoomScale="145" zoomScaleNormal="145" workbookViewId="0">
      <selection activeCell="C6" sqref="C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1067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707500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126539</v>
      </c>
      <c r="D5" s="4"/>
      <c r="E5" s="15">
        <v>2</v>
      </c>
      <c r="F5" s="4" t="s">
        <v>820</v>
      </c>
      <c r="G5" s="4">
        <v>250000</v>
      </c>
      <c r="K5" s="1">
        <f>103+85+160</f>
        <v>348</v>
      </c>
    </row>
    <row r="6" spans="1:31">
      <c r="A6" s="15">
        <v>3</v>
      </c>
      <c r="B6" s="4" t="s">
        <v>961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19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7</v>
      </c>
      <c r="C9" s="4">
        <v>30030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482</v>
      </c>
      <c r="C10" s="4">
        <v>150000</v>
      </c>
      <c r="D10" s="4"/>
      <c r="E10" s="15">
        <v>7</v>
      </c>
      <c r="F10" s="6" t="s">
        <v>20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1068</v>
      </c>
      <c r="G12" s="4">
        <v>200000</v>
      </c>
      <c r="K12" s="1">
        <f>27-33</f>
        <v>-6</v>
      </c>
    </row>
    <row r="13" spans="1:31">
      <c r="A13" s="15">
        <v>10</v>
      </c>
      <c r="B13" s="4" t="s">
        <v>233</v>
      </c>
      <c r="C13" s="4"/>
      <c r="D13" s="4"/>
      <c r="E13" s="15">
        <v>10</v>
      </c>
      <c r="F13" s="12" t="s">
        <v>1069</v>
      </c>
      <c r="G13" s="4">
        <v>400000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1072</v>
      </c>
      <c r="G14" s="4">
        <v>18000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1070</v>
      </c>
      <c r="G15" s="4">
        <v>5085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50</v>
      </c>
      <c r="C16" s="4"/>
      <c r="D16" s="4"/>
      <c r="E16" s="15">
        <v>13</v>
      </c>
      <c r="F16" s="4" t="s">
        <v>919</v>
      </c>
      <c r="G16" s="4">
        <v>107491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1066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6" t="s">
        <v>1071</v>
      </c>
      <c r="C19" s="4">
        <v>12000</v>
      </c>
      <c r="D19" s="4"/>
      <c r="E19" s="15">
        <v>16</v>
      </c>
      <c r="F19" s="4" t="s">
        <v>1060</v>
      </c>
      <c r="G19" s="4"/>
      <c r="J19" s="1">
        <f>6280+25000+30000+20860+9632+10000</f>
        <v>101772</v>
      </c>
    </row>
    <row r="20" spans="1:17">
      <c r="A20" s="15">
        <v>17</v>
      </c>
      <c r="B20" s="6" t="s">
        <v>928</v>
      </c>
      <c r="C20" s="4"/>
      <c r="D20" s="4"/>
      <c r="E20" s="15">
        <v>17</v>
      </c>
      <c r="F20" s="4"/>
      <c r="G20" s="4"/>
      <c r="J20" s="1">
        <f>101772+158793</f>
        <v>260565</v>
      </c>
    </row>
    <row r="21" spans="1:17">
      <c r="A21" s="15">
        <v>18</v>
      </c>
      <c r="B21" s="4" t="s">
        <v>961</v>
      </c>
      <c r="C21" s="4"/>
      <c r="D21" s="4"/>
      <c r="E21" s="15">
        <v>18</v>
      </c>
      <c r="F21" s="4"/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1026069</v>
      </c>
      <c r="D22" s="5"/>
      <c r="E22" s="5"/>
      <c r="F22" s="5"/>
      <c r="G22" s="5">
        <f>SUM(G4:G21)</f>
        <v>980976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45093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1073</v>
      </c>
      <c r="C32" s="4">
        <v>35000</v>
      </c>
      <c r="J32" s="9">
        <v>1812417099</v>
      </c>
    </row>
    <row r="33" spans="1:14">
      <c r="A33" s="27">
        <v>2</v>
      </c>
      <c r="B33" s="6" t="s">
        <v>1074</v>
      </c>
      <c r="C33" s="4">
        <v>80000</v>
      </c>
    </row>
    <row r="34" spans="1:14">
      <c r="A34" s="27">
        <v>3</v>
      </c>
      <c r="B34" s="4"/>
      <c r="C34" s="4"/>
      <c r="N34" s="1">
        <f>591*6</f>
        <v>3546</v>
      </c>
    </row>
    <row r="35" spans="1:14">
      <c r="B35" s="10"/>
      <c r="C35" s="28">
        <f>SUM(C32:C34)</f>
        <v>115000</v>
      </c>
      <c r="N35" s="1">
        <f>SUM(N32:N34)</f>
        <v>3546</v>
      </c>
    </row>
    <row r="36" spans="1:14">
      <c r="B36" s="10"/>
    </row>
    <row r="37" spans="1:14">
      <c r="B37" s="10"/>
      <c r="N37" s="1">
        <f>792-853</f>
        <v>-61</v>
      </c>
    </row>
    <row r="38" spans="1:14">
      <c r="B38" s="10"/>
    </row>
    <row r="39" spans="1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O34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147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845000</v>
      </c>
      <c r="D4" s="4"/>
      <c r="E4" s="4">
        <v>1</v>
      </c>
      <c r="F4" s="4" t="s">
        <v>5</v>
      </c>
      <c r="G4" s="4">
        <v>400000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150000</v>
      </c>
    </row>
    <row r="6" spans="1:11">
      <c r="A6" s="4">
        <v>3</v>
      </c>
      <c r="B6" s="4" t="s">
        <v>6</v>
      </c>
      <c r="C6" s="4">
        <v>137394</v>
      </c>
      <c r="D6" s="4"/>
      <c r="E6" s="4">
        <v>3</v>
      </c>
      <c r="F6" s="4" t="s">
        <v>38</v>
      </c>
      <c r="G6" s="4">
        <v>450000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315</v>
      </c>
    </row>
    <row r="8" spans="1:11">
      <c r="A8" s="4">
        <v>5</v>
      </c>
      <c r="B8" s="4" t="s">
        <v>148</v>
      </c>
      <c r="C8" s="4">
        <v>33000</v>
      </c>
      <c r="D8" s="4"/>
      <c r="E8" s="4">
        <v>5</v>
      </c>
      <c r="F8" s="4" t="s">
        <v>9</v>
      </c>
      <c r="G8" s="4">
        <v>200</v>
      </c>
    </row>
    <row r="9" spans="1:11">
      <c r="A9" s="4">
        <v>6</v>
      </c>
      <c r="B9" s="4" t="s">
        <v>19</v>
      </c>
      <c r="C9" s="4">
        <v>136350</v>
      </c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149</v>
      </c>
      <c r="C10" s="4">
        <v>13400</v>
      </c>
      <c r="D10" s="4"/>
      <c r="E10" s="4">
        <v>7</v>
      </c>
      <c r="F10" s="4" t="s">
        <v>20</v>
      </c>
      <c r="G10" s="4"/>
    </row>
    <row r="11" spans="1:11">
      <c r="A11" s="4">
        <v>8</v>
      </c>
      <c r="B11" s="4" t="s">
        <v>7</v>
      </c>
      <c r="C11" s="4">
        <v>20000</v>
      </c>
      <c r="D11" s="4"/>
      <c r="E11" s="4">
        <v>8</v>
      </c>
      <c r="F11" s="4" t="s">
        <v>150</v>
      </c>
      <c r="G11" s="4">
        <v>350</v>
      </c>
    </row>
    <row r="12" spans="1:11">
      <c r="A12" s="4">
        <v>9</v>
      </c>
      <c r="B12" s="4" t="s">
        <v>129</v>
      </c>
      <c r="C12" s="4"/>
      <c r="D12" s="4"/>
      <c r="E12" s="4">
        <v>9</v>
      </c>
      <c r="F12" s="4" t="s">
        <v>151</v>
      </c>
      <c r="G12" s="4">
        <v>50000</v>
      </c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152</v>
      </c>
      <c r="G13" s="4">
        <v>39600</v>
      </c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146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94534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1185144</v>
      </c>
      <c r="D19" s="5"/>
      <c r="E19" s="5"/>
      <c r="F19" s="5"/>
      <c r="G19" s="5">
        <f>SUM(G4:G18)</f>
        <v>1184999</v>
      </c>
      <c r="K19" s="1">
        <v>13860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145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D6A0-8C91-431C-AB31-700E70BE5641}">
  <dimension ref="A1:AE39"/>
  <sheetViews>
    <sheetView topLeftCell="A4" zoomScale="145" zoomScaleNormal="145" workbookViewId="0">
      <selection activeCell="F11" sqref="F11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1075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376800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6</v>
      </c>
      <c r="C5" s="4">
        <v>107491</v>
      </c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961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>
        <v>180000</v>
      </c>
    </row>
    <row r="8" spans="1:31">
      <c r="A8" s="15">
        <v>5</v>
      </c>
      <c r="B8" s="4" t="s">
        <v>19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82</v>
      </c>
      <c r="G10" s="4">
        <v>430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1077</v>
      </c>
      <c r="G12" s="4">
        <v>100</v>
      </c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12" t="s">
        <v>1069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1072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1070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50</v>
      </c>
      <c r="C16" s="4"/>
      <c r="D16" s="4"/>
      <c r="E16" s="15">
        <v>13</v>
      </c>
      <c r="F16" s="4" t="s">
        <v>919</v>
      </c>
      <c r="G16" s="4">
        <v>87691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1066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6" t="s">
        <v>1078</v>
      </c>
      <c r="C19" s="4">
        <v>35000</v>
      </c>
      <c r="D19" s="4"/>
      <c r="E19" s="15">
        <v>16</v>
      </c>
      <c r="F19" s="4" t="s">
        <v>1060</v>
      </c>
      <c r="G19" s="4"/>
      <c r="J19" s="1">
        <f>6280+25000+30000+20860+9632+10000</f>
        <v>101772</v>
      </c>
    </row>
    <row r="20" spans="1:17">
      <c r="A20" s="15">
        <v>17</v>
      </c>
      <c r="B20" s="6" t="s">
        <v>928</v>
      </c>
      <c r="C20" s="4"/>
      <c r="D20" s="4"/>
      <c r="E20" s="15">
        <v>17</v>
      </c>
      <c r="F20" s="4"/>
      <c r="G20" s="4"/>
      <c r="J20" s="1">
        <f>101772+158793</f>
        <v>260565</v>
      </c>
    </row>
    <row r="21" spans="1:17">
      <c r="A21" s="15">
        <v>18</v>
      </c>
      <c r="B21" s="4" t="s">
        <v>961</v>
      </c>
      <c r="C21" s="4"/>
      <c r="D21" s="4"/>
      <c r="E21" s="15">
        <v>18</v>
      </c>
      <c r="F21" s="4"/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519291</v>
      </c>
      <c r="D22" s="5"/>
      <c r="E22" s="5"/>
      <c r="F22" s="5"/>
      <c r="G22" s="5">
        <f>SUM(G4:G21)</f>
        <v>468471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50820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1073</v>
      </c>
      <c r="C32" s="4"/>
      <c r="J32" s="9">
        <v>1812417099</v>
      </c>
    </row>
    <row r="33" spans="1:14">
      <c r="A33" s="27">
        <v>2</v>
      </c>
      <c r="B33" s="6" t="s">
        <v>1074</v>
      </c>
      <c r="C33" s="4">
        <v>80000</v>
      </c>
    </row>
    <row r="34" spans="1:14">
      <c r="A34" s="27">
        <v>3</v>
      </c>
      <c r="B34" s="4"/>
      <c r="C34" s="4"/>
      <c r="N34" s="1">
        <f>591*6</f>
        <v>3546</v>
      </c>
    </row>
    <row r="35" spans="1:14">
      <c r="B35" s="10"/>
      <c r="C35" s="28">
        <f>SUM(C32:C34)</f>
        <v>80000</v>
      </c>
      <c r="N35" s="1">
        <f>SUM(N32:N34)</f>
        <v>3546</v>
      </c>
    </row>
    <row r="36" spans="1:14">
      <c r="B36" s="10"/>
    </row>
    <row r="37" spans="1:14">
      <c r="B37" s="10"/>
      <c r="N37" s="1">
        <f>792-853</f>
        <v>-61</v>
      </c>
    </row>
    <row r="38" spans="1:14">
      <c r="B38" s="10"/>
    </row>
    <row r="39" spans="1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DD20-8A15-4E98-A31B-DD24C1D00D58}">
  <dimension ref="A1:AE39"/>
  <sheetViews>
    <sheetView zoomScale="145" zoomScaleNormal="145" workbookViewId="0">
      <selection activeCell="B33" sqref="B3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1080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277090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134141</v>
      </c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961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19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>
        <f>270</f>
        <v>270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1079</v>
      </c>
      <c r="G12" s="4">
        <v>7000</v>
      </c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12" t="s">
        <v>1081</v>
      </c>
      <c r="G13" s="4">
        <v>6000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422</v>
      </c>
      <c r="G14" s="4">
        <v>20400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1070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50</v>
      </c>
      <c r="C16" s="4"/>
      <c r="D16" s="4"/>
      <c r="E16" s="15">
        <v>13</v>
      </c>
      <c r="F16" s="4" t="s">
        <v>919</v>
      </c>
      <c r="G16" s="4">
        <v>114141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1066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6" t="s">
        <v>1078</v>
      </c>
      <c r="C19" s="4"/>
      <c r="D19" s="4"/>
      <c r="E19" s="15">
        <v>16</v>
      </c>
      <c r="F19" s="4" t="s">
        <v>1060</v>
      </c>
      <c r="G19" s="4"/>
      <c r="J19" s="1">
        <f>6280+25000+30000+20860+9632+10000</f>
        <v>101772</v>
      </c>
    </row>
    <row r="20" spans="1:17">
      <c r="A20" s="15">
        <v>17</v>
      </c>
      <c r="B20" s="6" t="s">
        <v>928</v>
      </c>
      <c r="C20" s="4"/>
      <c r="D20" s="4"/>
      <c r="E20" s="15">
        <v>17</v>
      </c>
      <c r="F20" s="4" t="s">
        <v>961</v>
      </c>
      <c r="G20" s="4">
        <v>14000</v>
      </c>
      <c r="J20" s="1">
        <f>101772+158793</f>
        <v>260565</v>
      </c>
    </row>
    <row r="21" spans="1:17">
      <c r="A21" s="15">
        <v>18</v>
      </c>
      <c r="B21" s="4" t="s">
        <v>961</v>
      </c>
      <c r="C21" s="4"/>
      <c r="D21" s="4"/>
      <c r="E21" s="15">
        <v>18</v>
      </c>
      <c r="F21" s="4"/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411231</v>
      </c>
      <c r="D22" s="5"/>
      <c r="E22" s="5"/>
      <c r="F22" s="5"/>
      <c r="G22" s="5">
        <f>SUM(G4:G21)</f>
        <v>362161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49070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961</v>
      </c>
      <c r="C32" s="4">
        <v>14000</v>
      </c>
      <c r="J32" s="9">
        <v>1812417099</v>
      </c>
    </row>
    <row r="33" spans="1:14">
      <c r="A33" s="27">
        <v>2</v>
      </c>
      <c r="B33" s="6" t="s">
        <v>1074</v>
      </c>
      <c r="C33" s="4">
        <v>80000</v>
      </c>
    </row>
    <row r="34" spans="1:14">
      <c r="A34" s="27">
        <v>3</v>
      </c>
      <c r="B34" s="4"/>
      <c r="C34" s="4"/>
      <c r="N34" s="1">
        <f>591*6</f>
        <v>3546</v>
      </c>
    </row>
    <row r="35" spans="1:14">
      <c r="B35" s="10"/>
      <c r="C35" s="28">
        <f>SUM(C32:C34)</f>
        <v>94000</v>
      </c>
      <c r="N35" s="1">
        <f>SUM(N32:N34)</f>
        <v>3546</v>
      </c>
    </row>
    <row r="36" spans="1:14">
      <c r="B36" s="10"/>
    </row>
    <row r="37" spans="1:14">
      <c r="B37" s="10"/>
      <c r="N37" s="1">
        <f>792-853</f>
        <v>-61</v>
      </c>
    </row>
    <row r="38" spans="1:14">
      <c r="B38" s="10"/>
    </row>
    <row r="39" spans="1:14">
      <c r="B39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5129-8DB9-4287-ACC9-4849469F0CBA}">
  <dimension ref="A1:AE40"/>
  <sheetViews>
    <sheetView zoomScale="145" zoomScaleNormal="145" workbookViewId="0">
      <selection activeCell="F6" sqref="F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1082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f>518900+40000</f>
        <v>558900</v>
      </c>
      <c r="D4" s="4"/>
      <c r="E4" s="15">
        <v>1</v>
      </c>
      <c r="F4" s="4" t="s">
        <v>5</v>
      </c>
      <c r="G4" s="4">
        <v>445000</v>
      </c>
    </row>
    <row r="5" spans="1:31">
      <c r="A5" s="15">
        <v>2</v>
      </c>
      <c r="B5" s="4" t="s">
        <v>6</v>
      </c>
      <c r="C5" s="4">
        <v>155518</v>
      </c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>
        <v>50000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>
        <v>50000</v>
      </c>
    </row>
    <row r="8" spans="1:31">
      <c r="A8" s="15">
        <v>5</v>
      </c>
      <c r="B8" s="4" t="s">
        <v>19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>
        <v>360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1079</v>
      </c>
      <c r="G12" s="4"/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12" t="s">
        <v>1081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422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1070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50</v>
      </c>
      <c r="C16" s="4"/>
      <c r="D16" s="4"/>
      <c r="E16" s="15">
        <v>13</v>
      </c>
      <c r="F16" s="4" t="s">
        <v>919</v>
      </c>
      <c r="G16" s="4">
        <v>150518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1066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6" t="s">
        <v>1078</v>
      </c>
      <c r="C19" s="4">
        <v>31000</v>
      </c>
      <c r="D19" s="4"/>
      <c r="E19" s="15">
        <v>16</v>
      </c>
      <c r="F19" s="6" t="s">
        <v>1083</v>
      </c>
      <c r="G19" s="4">
        <v>50000</v>
      </c>
      <c r="J19" s="1">
        <f>6280+25000+30000+20860+9632+10000</f>
        <v>101772</v>
      </c>
    </row>
    <row r="20" spans="1:17">
      <c r="A20" s="15">
        <v>17</v>
      </c>
      <c r="B20" s="6"/>
      <c r="C20" s="4"/>
      <c r="D20" s="4"/>
      <c r="E20" s="15">
        <v>17</v>
      </c>
      <c r="F20" s="4" t="s">
        <v>961</v>
      </c>
      <c r="G20" s="4">
        <v>40000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10000</v>
      </c>
      <c r="D21" s="4"/>
      <c r="E21" s="15">
        <v>18</v>
      </c>
      <c r="F21" s="4" t="s">
        <v>1084</v>
      </c>
      <c r="G21" s="4">
        <v>23000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805418</v>
      </c>
      <c r="D22" s="5"/>
      <c r="E22" s="5"/>
      <c r="F22" s="5"/>
      <c r="G22" s="5">
        <f>SUM(G4:G21)</f>
        <v>759178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46240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961</v>
      </c>
      <c r="C32" s="4">
        <v>40000</v>
      </c>
      <c r="J32" s="9">
        <v>1812417099</v>
      </c>
    </row>
    <row r="33" spans="1:14">
      <c r="A33" s="27">
        <v>2</v>
      </c>
      <c r="B33" s="6" t="s">
        <v>1074</v>
      </c>
      <c r="C33" s="4">
        <v>30000</v>
      </c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1084</v>
      </c>
      <c r="C35" s="4">
        <v>23000</v>
      </c>
      <c r="N35" s="1">
        <f>591*6</f>
        <v>3546</v>
      </c>
    </row>
    <row r="36" spans="1:14">
      <c r="B36" s="10"/>
      <c r="C36" s="28">
        <f>SUM(C32:C35)</f>
        <v>143000</v>
      </c>
      <c r="N36" s="1">
        <f>SUM(N32:N35)</f>
        <v>3546</v>
      </c>
    </row>
    <row r="37" spans="1:14">
      <c r="B37" s="10"/>
    </row>
    <row r="38" spans="1:14">
      <c r="B38" s="10"/>
      <c r="N38" s="1">
        <f>792-853</f>
        <v>-61</v>
      </c>
    </row>
    <row r="39" spans="1:14">
      <c r="B39" s="10"/>
    </row>
    <row r="40" spans="1:14">
      <c r="B40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FA5D-BF90-477F-823D-671B1C2A13E6}">
  <dimension ref="A1:AE40"/>
  <sheetViews>
    <sheetView topLeftCell="A7" zoomScale="145" zoomScaleNormal="145" workbookViewId="0">
      <selection activeCell="B33" sqref="B3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1087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f>534300+20000+98600</f>
        <v>652900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150518</v>
      </c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>
        <v>170000</v>
      </c>
    </row>
    <row r="8" spans="1:31">
      <c r="A8" s="15">
        <v>5</v>
      </c>
      <c r="B8" s="4" t="s">
        <v>19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>
        <v>600000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1079</v>
      </c>
      <c r="G12" s="4"/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12" t="s">
        <v>1081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422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1070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50</v>
      </c>
      <c r="C16" s="4"/>
      <c r="D16" s="4"/>
      <c r="E16" s="15">
        <v>13</v>
      </c>
      <c r="F16" s="4" t="s">
        <v>919</v>
      </c>
      <c r="G16" s="4">
        <v>135518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1066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23</v>
      </c>
      <c r="C18" s="4">
        <v>10000</v>
      </c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6" t="s">
        <v>24</v>
      </c>
      <c r="C19" s="4">
        <f>65000+11000</f>
        <v>76000</v>
      </c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6"/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40000</v>
      </c>
      <c r="D21" s="4"/>
      <c r="E21" s="15">
        <v>18</v>
      </c>
      <c r="F21" s="4" t="s">
        <v>1088</v>
      </c>
      <c r="G21" s="4">
        <v>5000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929418</v>
      </c>
      <c r="D22" s="5"/>
      <c r="E22" s="5"/>
      <c r="F22" s="5"/>
      <c r="G22" s="5">
        <f>SUM(G4:G21)</f>
        <v>910818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18600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5000</v>
      </c>
      <c r="J32" s="9">
        <v>1812417099</v>
      </c>
    </row>
    <row r="33" spans="1:14">
      <c r="A33" s="27">
        <v>2</v>
      </c>
      <c r="B33" s="6" t="s">
        <v>1074</v>
      </c>
      <c r="C33" s="4">
        <v>30000</v>
      </c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1084</v>
      </c>
      <c r="C35" s="4">
        <v>23000</v>
      </c>
      <c r="N35" s="1">
        <f>591*6</f>
        <v>3546</v>
      </c>
    </row>
    <row r="36" spans="1:14">
      <c r="B36" s="10"/>
      <c r="C36" s="28">
        <f>SUM(C32:C35)</f>
        <v>108000</v>
      </c>
      <c r="N36" s="1">
        <f>SUM(N32:N35)</f>
        <v>3546</v>
      </c>
    </row>
    <row r="37" spans="1:14">
      <c r="B37" s="10"/>
    </row>
    <row r="38" spans="1:14">
      <c r="B38" s="10"/>
      <c r="N38" s="1">
        <f>792-853</f>
        <v>-61</v>
      </c>
    </row>
    <row r="39" spans="1:14">
      <c r="B39" s="10"/>
    </row>
    <row r="40" spans="1:14">
      <c r="B40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3313-7140-4EA1-BD7A-C9C7668AA9B1}">
  <dimension ref="A1:AE40"/>
  <sheetViews>
    <sheetView topLeftCell="A4" zoomScale="145" zoomScaleNormal="145" workbookViewId="0">
      <selection activeCell="C20" sqref="C2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1087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f>407100+5000+60000</f>
        <v>472100</v>
      </c>
      <c r="D4" s="4"/>
      <c r="E4" s="15">
        <v>1</v>
      </c>
      <c r="F4" s="4" t="s">
        <v>5</v>
      </c>
      <c r="G4" s="4">
        <v>400000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>
        <v>150000</v>
      </c>
    </row>
    <row r="8" spans="1:31">
      <c r="A8" s="15">
        <v>5</v>
      </c>
      <c r="B8" s="4" t="s">
        <v>19</v>
      </c>
      <c r="C8" s="4">
        <v>123690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7</v>
      </c>
      <c r="C9" s="4">
        <v>70000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50000</v>
      </c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1091</v>
      </c>
      <c r="G12" s="4">
        <v>250</v>
      </c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12" t="s">
        <v>1081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422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1070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>
        <v>4000</v>
      </c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1066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50000</v>
      </c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4" t="s">
        <v>1093</v>
      </c>
      <c r="C19" s="4">
        <v>23000</v>
      </c>
      <c r="D19" s="4"/>
      <c r="E19" s="15">
        <v>16</v>
      </c>
      <c r="F19" s="6" t="s">
        <v>1083</v>
      </c>
      <c r="G19" s="4">
        <v>18000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5000</v>
      </c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>
        <v>15000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797790</v>
      </c>
      <c r="D22" s="5"/>
      <c r="E22" s="5"/>
      <c r="F22" s="5"/>
      <c r="G22" s="5">
        <f>SUM(G4:G21)</f>
        <v>783600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14190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>
        <v>30000</v>
      </c>
    </row>
    <row r="34" spans="1:14">
      <c r="A34" s="27">
        <v>3</v>
      </c>
      <c r="B34" s="6" t="s">
        <v>1085</v>
      </c>
      <c r="C34" s="4">
        <v>18000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B36" s="10"/>
      <c r="C36" s="28">
        <f>SUM(C32:C35)</f>
        <v>63000</v>
      </c>
      <c r="N36" s="1">
        <f>SUM(N32:N35)</f>
        <v>3546</v>
      </c>
    </row>
    <row r="37" spans="1:14">
      <c r="B37" s="10"/>
    </row>
    <row r="38" spans="1:14">
      <c r="B38" s="10"/>
      <c r="N38" s="1">
        <f>792-853</f>
        <v>-61</v>
      </c>
    </row>
    <row r="39" spans="1:14">
      <c r="B39" s="10"/>
    </row>
    <row r="40" spans="1:14">
      <c r="B40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987B-6644-4DF1-A526-4602F4EF77D3}">
  <dimension ref="A1:AE41"/>
  <sheetViews>
    <sheetView topLeftCell="A4"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1095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100000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231530</v>
      </c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19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100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>
        <v>410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1091</v>
      </c>
      <c r="G12" s="4"/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12" t="s">
        <v>1081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422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1070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182317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1096</v>
      </c>
      <c r="G17" s="4">
        <v>30000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4" t="s">
        <v>1093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16000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331530</v>
      </c>
      <c r="D22" s="5"/>
      <c r="E22" s="5"/>
      <c r="F22" s="5"/>
      <c r="G22" s="5">
        <f>SUM(G4:G21)</f>
        <v>228827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102703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>
        <v>30000</v>
      </c>
    </row>
    <row r="34" spans="1:14">
      <c r="A34" s="27">
        <v>3</v>
      </c>
      <c r="B34" s="6" t="s">
        <v>1085</v>
      </c>
      <c r="C34" s="4">
        <v>18000</v>
      </c>
    </row>
    <row r="35" spans="1:14">
      <c r="A35" s="27">
        <v>4</v>
      </c>
      <c r="B35" s="6" t="s">
        <v>1084</v>
      </c>
      <c r="C35" s="4">
        <v>30000</v>
      </c>
      <c r="N35" s="1">
        <f>591*6</f>
        <v>3546</v>
      </c>
    </row>
    <row r="36" spans="1:14">
      <c r="A36" s="27">
        <v>5</v>
      </c>
      <c r="B36" s="6" t="s">
        <v>961</v>
      </c>
      <c r="C36" s="4">
        <v>16000</v>
      </c>
    </row>
    <row r="37" spans="1:14" ht="17.25">
      <c r="B37" s="30" t="s">
        <v>1097</v>
      </c>
      <c r="C37" s="29">
        <f>SUM(C32:C36)</f>
        <v>109000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F876-DAB3-4B39-A658-0AF33557AE3D}">
  <dimension ref="A1:AE41"/>
  <sheetViews>
    <sheetView topLeftCell="A4" zoomScale="145" zoomScaleNormal="145" workbookViewId="0">
      <selection activeCell="F28" sqref="F28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1098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136000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182317</v>
      </c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19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200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>
        <v>900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1091</v>
      </c>
      <c r="G12" s="4"/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12" t="s">
        <v>1081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71</v>
      </c>
      <c r="G14" s="4">
        <v>9000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1070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152757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1096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4" t="s">
        <v>1093</v>
      </c>
      <c r="C19" s="4"/>
      <c r="D19" s="4"/>
      <c r="E19" s="15">
        <v>16</v>
      </c>
      <c r="F19" s="6" t="s">
        <v>1083</v>
      </c>
      <c r="G19" s="4">
        <v>34000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50000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16000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334317</v>
      </c>
      <c r="D22" s="5"/>
      <c r="E22" s="5"/>
      <c r="F22" s="5"/>
      <c r="G22" s="5">
        <f>SUM(G4:G21)</f>
        <v>246857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87460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>
        <v>30000</v>
      </c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1084</v>
      </c>
      <c r="C35" s="4">
        <v>30000</v>
      </c>
      <c r="N35" s="1">
        <f>591*6</f>
        <v>3546</v>
      </c>
    </row>
    <row r="36" spans="1:14">
      <c r="A36" s="27">
        <v>5</v>
      </c>
      <c r="B36" s="6" t="s">
        <v>961</v>
      </c>
      <c r="C36" s="4">
        <v>50000</v>
      </c>
    </row>
    <row r="37" spans="1:14" ht="17.25">
      <c r="B37" s="30" t="s">
        <v>1097</v>
      </c>
      <c r="C37" s="29">
        <f>SUM(C32:C36)</f>
        <v>175000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6E15-60D5-40D7-92FC-83CC99328D3A}">
  <dimension ref="A1:AE41"/>
  <sheetViews>
    <sheetView topLeftCell="A2" zoomScale="145" zoomScaleNormal="145" workbookViewId="0">
      <selection activeCell="C37" sqref="C3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1099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502000</v>
      </c>
      <c r="D4" s="4"/>
      <c r="E4" s="15">
        <v>1</v>
      </c>
      <c r="F4" s="4" t="s">
        <v>5</v>
      </c>
      <c r="G4" s="4">
        <v>400000</v>
      </c>
    </row>
    <row r="5" spans="1:31">
      <c r="A5" s="15">
        <v>2</v>
      </c>
      <c r="B5" s="4" t="s">
        <v>6</v>
      </c>
      <c r="C5" s="4">
        <v>204207</v>
      </c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19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7</v>
      </c>
      <c r="C9" s="4">
        <v>43030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>
        <v>500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1091</v>
      </c>
      <c r="G12" s="4"/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12" t="s">
        <v>41</v>
      </c>
      <c r="G13" s="4">
        <v>22267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71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1070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182207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1096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4" t="s">
        <v>1065</v>
      </c>
      <c r="C19" s="4">
        <v>10000</v>
      </c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75000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50000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809237</v>
      </c>
      <c r="D22" s="5"/>
      <c r="E22" s="5"/>
      <c r="F22" s="5"/>
      <c r="G22" s="5">
        <f>SUM(G4:G21)</f>
        <v>680224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129013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>
        <v>20000</v>
      </c>
    </row>
    <row r="34" spans="1:14">
      <c r="A34" s="27">
        <v>3</v>
      </c>
      <c r="B34" s="6" t="s">
        <v>1085</v>
      </c>
      <c r="C34" s="4">
        <v>52000</v>
      </c>
    </row>
    <row r="35" spans="1:14">
      <c r="A35" s="27">
        <v>4</v>
      </c>
      <c r="B35" s="6" t="s">
        <v>1084</v>
      </c>
      <c r="C35" s="4">
        <v>30000</v>
      </c>
      <c r="N35" s="1">
        <f>591*6</f>
        <v>3546</v>
      </c>
    </row>
    <row r="36" spans="1:14">
      <c r="A36" s="27">
        <v>5</v>
      </c>
      <c r="B36" s="6" t="s">
        <v>961</v>
      </c>
      <c r="C36" s="4">
        <v>75000</v>
      </c>
    </row>
    <row r="37" spans="1:14" ht="17.25">
      <c r="B37" s="30" t="s">
        <v>1097</v>
      </c>
      <c r="C37" s="29">
        <f>SUM(C32:C36)</f>
        <v>192000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749E-E410-4ACB-8A9F-4BDF72F06F71}">
  <dimension ref="A1:AE41"/>
  <sheetViews>
    <sheetView topLeftCell="A4" zoomScale="145" zoomScaleNormal="145" workbookViewId="0">
      <selection activeCell="C13" sqref="C1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1105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f>487000+255000</f>
        <v>742000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247263</v>
      </c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1100</v>
      </c>
      <c r="C8" s="4">
        <v>60650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>
        <v>450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>
        <v>400000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1102</v>
      </c>
      <c r="G12" s="4">
        <v>1200</v>
      </c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12" t="s">
        <v>186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1101</v>
      </c>
      <c r="G14" s="4">
        <v>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1104</v>
      </c>
      <c r="G15" s="4">
        <v>5000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209943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>
        <v>8500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52000</v>
      </c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4" t="s">
        <v>1065</v>
      </c>
      <c r="C19" s="4"/>
      <c r="D19" s="4"/>
      <c r="E19" s="15">
        <v>16</v>
      </c>
      <c r="F19" s="6" t="s">
        <v>1083</v>
      </c>
      <c r="G19" s="4">
        <v>50000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15000</v>
      </c>
      <c r="D20" s="4"/>
      <c r="E20" s="15">
        <v>17</v>
      </c>
      <c r="F20" s="4" t="s">
        <v>961</v>
      </c>
      <c r="G20" s="4">
        <v>15000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>
        <v>20000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1116913</v>
      </c>
      <c r="D22" s="5"/>
      <c r="E22" s="5"/>
      <c r="F22" s="5"/>
      <c r="G22" s="5">
        <f>SUM(G4:G21)</f>
        <v>714343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402570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>
        <v>20000</v>
      </c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1084</v>
      </c>
      <c r="C35" s="4">
        <v>30000</v>
      </c>
      <c r="N35" s="1">
        <f>591*6</f>
        <v>3546</v>
      </c>
    </row>
    <row r="36" spans="1:14">
      <c r="A36" s="27">
        <v>5</v>
      </c>
      <c r="B36" s="6" t="s">
        <v>961</v>
      </c>
      <c r="C36" s="4">
        <v>90000</v>
      </c>
    </row>
    <row r="37" spans="1:14" ht="17.25">
      <c r="B37" s="30" t="s">
        <v>1097</v>
      </c>
      <c r="C37" s="29">
        <f>SUM(C32:C36)</f>
        <v>210000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92E4-AC81-4C50-9D2A-175CE14F8882}">
  <dimension ref="A1:AE41"/>
  <sheetViews>
    <sheetView zoomScale="145" zoomScaleNormal="145" workbookViewId="0">
      <selection activeCell="E25" sqref="E2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1105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/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820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1100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200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1062</v>
      </c>
      <c r="C12" s="4"/>
      <c r="D12" s="4"/>
      <c r="E12" s="15">
        <v>9</v>
      </c>
      <c r="F12" s="6" t="s">
        <v>1106</v>
      </c>
      <c r="G12" s="4">
        <v>350</v>
      </c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6" t="s">
        <v>1107</v>
      </c>
      <c r="G13" s="4">
        <v>200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1101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1104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1065</v>
      </c>
      <c r="G18" s="4"/>
    </row>
    <row r="19" spans="1:17">
      <c r="A19" s="15">
        <v>16</v>
      </c>
      <c r="B19" s="4" t="s">
        <v>1065</v>
      </c>
      <c r="C19" s="4">
        <v>20000</v>
      </c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50000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70000</v>
      </c>
      <c r="D22" s="5"/>
      <c r="E22" s="5"/>
      <c r="F22" s="5"/>
      <c r="G22" s="5">
        <f>SUM(G4:G21)</f>
        <v>750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69250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1084</v>
      </c>
      <c r="C35" s="4">
        <v>30000</v>
      </c>
      <c r="N35" s="1">
        <f>591*6</f>
        <v>3546</v>
      </c>
    </row>
    <row r="36" spans="1:14">
      <c r="A36" s="27">
        <v>5</v>
      </c>
      <c r="B36" s="6" t="s">
        <v>961</v>
      </c>
      <c r="C36" s="4">
        <v>40000</v>
      </c>
    </row>
    <row r="37" spans="1:14" ht="17.25">
      <c r="B37" s="30" t="s">
        <v>1097</v>
      </c>
      <c r="C37" s="29">
        <f>SUM(C32:C36)</f>
        <v>140000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2"/>
  <sheetViews>
    <sheetView zoomScale="145" zoomScaleNormal="145" workbookViewId="0">
      <selection activeCell="F9" sqref="F9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8.140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29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30</v>
      </c>
      <c r="C4" s="4">
        <v>1650</v>
      </c>
      <c r="D4" s="4"/>
      <c r="E4" s="4">
        <v>1</v>
      </c>
      <c r="F4" s="4" t="s">
        <v>31</v>
      </c>
      <c r="G4" s="4">
        <v>280</v>
      </c>
    </row>
    <row r="5" spans="1:11">
      <c r="A5" s="4">
        <v>2</v>
      </c>
      <c r="B5" s="4" t="s">
        <v>6</v>
      </c>
      <c r="C5" s="4"/>
      <c r="D5" s="4"/>
      <c r="E5" s="4">
        <v>2</v>
      </c>
      <c r="F5" s="4" t="s">
        <v>32</v>
      </c>
      <c r="G5" s="4">
        <v>70</v>
      </c>
    </row>
    <row r="6" spans="1:11">
      <c r="A6" s="4">
        <v>3</v>
      </c>
      <c r="B6" s="4" t="s">
        <v>4</v>
      </c>
      <c r="C6" s="4"/>
      <c r="D6" s="4"/>
      <c r="E6" s="4">
        <v>3</v>
      </c>
      <c r="F6" s="4" t="s">
        <v>33</v>
      </c>
      <c r="G6" s="4">
        <v>600</v>
      </c>
    </row>
    <row r="7" spans="1:11">
      <c r="A7" s="4">
        <v>4</v>
      </c>
      <c r="B7" s="4" t="s">
        <v>24</v>
      </c>
      <c r="C7" s="4"/>
      <c r="D7" s="4"/>
      <c r="E7" s="4">
        <v>4</v>
      </c>
      <c r="F7" s="4" t="s">
        <v>34</v>
      </c>
      <c r="G7" s="4">
        <v>300</v>
      </c>
      <c r="K7" s="1">
        <f>30*20</f>
        <v>600</v>
      </c>
    </row>
    <row r="8" spans="1:11">
      <c r="A8" s="4">
        <v>5</v>
      </c>
      <c r="B8" s="4" t="s">
        <v>25</v>
      </c>
      <c r="C8" s="4"/>
      <c r="D8" s="4"/>
      <c r="E8" s="4">
        <v>5</v>
      </c>
      <c r="F8" s="4" t="s">
        <v>35</v>
      </c>
      <c r="G8" s="4">
        <v>400</v>
      </c>
    </row>
    <row r="9" spans="1:11">
      <c r="A9" s="4">
        <v>6</v>
      </c>
      <c r="B9" s="4"/>
      <c r="C9" s="4"/>
      <c r="D9" s="4"/>
      <c r="E9" s="4">
        <v>6</v>
      </c>
      <c r="F9" s="4"/>
      <c r="G9" s="4"/>
    </row>
    <row r="10" spans="1:11">
      <c r="A10" s="4">
        <v>7</v>
      </c>
      <c r="B10" s="4"/>
      <c r="C10" s="4"/>
      <c r="D10" s="4"/>
      <c r="E10" s="4">
        <v>7</v>
      </c>
      <c r="F10" s="4"/>
      <c r="G10" s="4"/>
    </row>
    <row r="11" spans="1:11">
      <c r="A11" s="4">
        <v>8</v>
      </c>
      <c r="B11" s="4"/>
      <c r="C11" s="4"/>
      <c r="D11" s="4"/>
      <c r="E11" s="4">
        <v>8</v>
      </c>
      <c r="F11" s="4"/>
      <c r="G11" s="4"/>
    </row>
    <row r="12" spans="1:11">
      <c r="A12" s="4">
        <v>9</v>
      </c>
      <c r="B12" s="4"/>
      <c r="C12" s="4"/>
      <c r="D12" s="4"/>
      <c r="E12" s="4">
        <v>9</v>
      </c>
      <c r="F12" s="4"/>
      <c r="G12" s="4"/>
    </row>
    <row r="13" spans="1:11">
      <c r="A13" s="4">
        <v>10</v>
      </c>
      <c r="B13" s="4"/>
      <c r="C13" s="4"/>
      <c r="D13" s="4"/>
      <c r="E13" s="4">
        <v>10</v>
      </c>
      <c r="F13" s="4"/>
      <c r="G13" s="4"/>
    </row>
    <row r="14" spans="1:11">
      <c r="A14" s="4">
        <v>11</v>
      </c>
      <c r="B14" s="4"/>
      <c r="C14" s="4"/>
      <c r="D14" s="4"/>
      <c r="E14" s="4">
        <v>11</v>
      </c>
      <c r="F14" s="4"/>
      <c r="G14" s="4"/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1">
      <c r="A17" s="4">
        <v>14</v>
      </c>
      <c r="B17" s="4"/>
      <c r="C17" s="4"/>
      <c r="D17" s="4"/>
      <c r="E17" s="4">
        <v>14</v>
      </c>
      <c r="F17" s="4"/>
      <c r="G17" s="4"/>
    </row>
    <row r="18" spans="1:11">
      <c r="A18" s="4">
        <v>15</v>
      </c>
      <c r="B18" s="4"/>
      <c r="C18" s="4"/>
      <c r="D18" s="4"/>
      <c r="E18" s="4">
        <v>15</v>
      </c>
      <c r="F18" s="4"/>
      <c r="G18" s="4"/>
    </row>
    <row r="19" spans="1:11">
      <c r="A19" s="5"/>
      <c r="B19" s="5"/>
      <c r="C19" s="5">
        <f>SUM(C4:C18)</f>
        <v>1650</v>
      </c>
      <c r="D19" s="5"/>
      <c r="E19" s="5"/>
      <c r="F19" s="5"/>
      <c r="G19" s="5">
        <f>SUM(G4:G18)</f>
        <v>1650</v>
      </c>
    </row>
    <row r="20" spans="1:11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1">
      <c r="A21" s="5"/>
      <c r="B21" s="5"/>
      <c r="C21" s="5"/>
      <c r="D21" s="5"/>
      <c r="E21" s="5"/>
      <c r="F21" s="5"/>
      <c r="G21" s="5"/>
    </row>
    <row r="22" spans="1:11">
      <c r="A22" s="5"/>
      <c r="B22" s="5" t="s">
        <v>12</v>
      </c>
      <c r="C22" s="5">
        <f>C19-G19</f>
        <v>0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O34"/>
  <sheetViews>
    <sheetView zoomScale="145" zoomScaleNormal="145" workbookViewId="0">
      <selection activeCell="F18" sqref="F18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153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423000</v>
      </c>
      <c r="D4" s="4"/>
      <c r="E4" s="4">
        <v>1</v>
      </c>
      <c r="F4" s="4" t="s">
        <v>5</v>
      </c>
      <c r="G4" s="4">
        <v>200000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0</v>
      </c>
    </row>
    <row r="6" spans="1:11">
      <c r="A6" s="4">
        <v>3</v>
      </c>
      <c r="B6" s="4" t="s">
        <v>6</v>
      </c>
      <c r="C6" s="4">
        <v>161284</v>
      </c>
      <c r="D6" s="4"/>
      <c r="E6" s="4">
        <v>3</v>
      </c>
      <c r="F6" s="4" t="s">
        <v>38</v>
      </c>
      <c r="G6" s="4">
        <v>200000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1">
      <c r="A8" s="4">
        <v>5</v>
      </c>
      <c r="B8" s="4" t="s">
        <v>148</v>
      </c>
      <c r="C8" s="4"/>
      <c r="D8" s="4"/>
      <c r="E8" s="4">
        <v>5</v>
      </c>
      <c r="F8" s="4" t="s">
        <v>9</v>
      </c>
      <c r="G8" s="4">
        <v>230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>
        <v>70</v>
      </c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93</v>
      </c>
      <c r="G11" s="4">
        <v>1500</v>
      </c>
    </row>
    <row r="12" spans="1:11">
      <c r="A12" s="4">
        <v>9</v>
      </c>
      <c r="B12" s="4" t="s">
        <v>129</v>
      </c>
      <c r="C12" s="4"/>
      <c r="D12" s="4"/>
      <c r="E12" s="4">
        <v>9</v>
      </c>
      <c r="F12" s="4" t="s">
        <v>151</v>
      </c>
      <c r="G12" s="4">
        <v>0</v>
      </c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152</v>
      </c>
      <c r="G13" s="4">
        <v>0</v>
      </c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146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112975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>
        <v>0</v>
      </c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584284</v>
      </c>
      <c r="D19" s="5"/>
      <c r="E19" s="5"/>
      <c r="F19" s="5"/>
      <c r="G19" s="5">
        <f>SUM(G4:G18)</f>
        <v>514990</v>
      </c>
      <c r="K19" s="1">
        <v>13860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69294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6EA8-BD0F-47B4-AE0A-ED9D9658009F}">
  <dimension ref="A1:AE41"/>
  <sheetViews>
    <sheetView topLeftCell="A4" zoomScale="145" zoomScaleNormal="145" workbookViewId="0">
      <selection activeCell="C37" sqref="C3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1110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1240100</v>
      </c>
      <c r="D4" s="4"/>
      <c r="E4" s="15">
        <v>1</v>
      </c>
      <c r="F4" s="4" t="s">
        <v>5</v>
      </c>
      <c r="G4" s="4">
        <v>400000</v>
      </c>
    </row>
    <row r="5" spans="1:31">
      <c r="A5" s="15">
        <v>2</v>
      </c>
      <c r="B5" s="4" t="s">
        <v>6</v>
      </c>
      <c r="C5" s="4">
        <v>209943</v>
      </c>
      <c r="D5" s="4"/>
      <c r="E5" s="15">
        <v>2</v>
      </c>
      <c r="F5" s="4" t="s">
        <v>5</v>
      </c>
      <c r="G5" s="4">
        <v>300000</v>
      </c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465000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>
        <v>245000</v>
      </c>
    </row>
    <row r="8" spans="1:31">
      <c r="A8" s="15">
        <v>5</v>
      </c>
      <c r="B8" s="4" t="s">
        <v>1100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7</v>
      </c>
      <c r="C9" s="4">
        <v>112090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>
        <v>525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945</v>
      </c>
      <c r="C12" s="4"/>
      <c r="D12" s="4"/>
      <c r="E12" s="15">
        <v>9</v>
      </c>
      <c r="F12" s="6" t="s">
        <v>1108</v>
      </c>
      <c r="G12" s="4">
        <v>1160</v>
      </c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6" t="s">
        <v>1107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93</v>
      </c>
      <c r="G14" s="4">
        <v>1500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82</v>
      </c>
      <c r="G15" s="4">
        <v>430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146087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1109</v>
      </c>
      <c r="G18" s="4">
        <v>400</v>
      </c>
    </row>
    <row r="19" spans="1:17">
      <c r="A19" s="15">
        <v>16</v>
      </c>
      <c r="B19" s="4" t="s">
        <v>1065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22280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40000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1602133</v>
      </c>
      <c r="D22" s="5"/>
      <c r="E22" s="5"/>
      <c r="F22" s="5"/>
      <c r="G22" s="5">
        <f>SUM(G4:G21)</f>
        <v>1582782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19351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1084</v>
      </c>
      <c r="C35" s="4">
        <v>30000</v>
      </c>
      <c r="N35" s="1">
        <f>591*6</f>
        <v>3546</v>
      </c>
    </row>
    <row r="36" spans="1:14">
      <c r="A36" s="27">
        <v>5</v>
      </c>
      <c r="B36" s="6" t="s">
        <v>961</v>
      </c>
      <c r="C36" s="4">
        <v>22280</v>
      </c>
    </row>
    <row r="37" spans="1:14" ht="17.25">
      <c r="B37" s="30" t="s">
        <v>1097</v>
      </c>
      <c r="C37" s="29">
        <f>SUM(C32:C36)</f>
        <v>122280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9F2B-41A8-44ED-9F78-988890B4E11E}">
  <dimension ref="A1:AE41"/>
  <sheetViews>
    <sheetView topLeftCell="A4" zoomScale="145" zoomScaleNormal="145" workbookViewId="0">
      <selection activeCell="F20" sqref="F2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1112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454000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144817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300000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923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1100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>
        <v>600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945</v>
      </c>
      <c r="C12" s="4"/>
      <c r="D12" s="4"/>
      <c r="E12" s="15">
        <v>9</v>
      </c>
      <c r="F12" s="6" t="s">
        <v>1108</v>
      </c>
      <c r="G12" s="4"/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6" t="s">
        <v>1107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93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82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134817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50000</v>
      </c>
      <c r="D18" s="4"/>
      <c r="E18" s="15">
        <v>15</v>
      </c>
      <c r="F18" s="4" t="s">
        <v>1109</v>
      </c>
      <c r="G18" s="4"/>
    </row>
    <row r="19" spans="1:17">
      <c r="A19" s="15">
        <v>16</v>
      </c>
      <c r="B19" s="4" t="s">
        <v>1111</v>
      </c>
      <c r="C19" s="4">
        <v>20000</v>
      </c>
      <c r="D19" s="4"/>
      <c r="E19" s="15">
        <v>16</v>
      </c>
      <c r="F19" s="6" t="s">
        <v>1083</v>
      </c>
      <c r="G19" s="4">
        <v>65000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20000</v>
      </c>
      <c r="D20" s="4"/>
      <c r="E20" s="15">
        <v>17</v>
      </c>
      <c r="F20" s="4" t="s">
        <v>961</v>
      </c>
      <c r="G20" s="4">
        <v>66000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22280</v>
      </c>
      <c r="D21" s="4"/>
      <c r="E21" s="15">
        <v>18</v>
      </c>
      <c r="F21" s="4" t="s">
        <v>1088</v>
      </c>
      <c r="G21" s="4">
        <v>15000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711097</v>
      </c>
      <c r="D22" s="5"/>
      <c r="E22" s="5"/>
      <c r="F22" s="5"/>
      <c r="G22" s="5">
        <f>SUM(G4:G21)</f>
        <v>581817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129280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65000</v>
      </c>
    </row>
    <row r="35" spans="1:14">
      <c r="A35" s="27">
        <v>4</v>
      </c>
      <c r="B35" s="6" t="s">
        <v>1084</v>
      </c>
      <c r="C35" s="4">
        <v>10000</v>
      </c>
      <c r="N35" s="1">
        <f>591*6</f>
        <v>3546</v>
      </c>
    </row>
    <row r="36" spans="1:14">
      <c r="A36" s="27">
        <v>5</v>
      </c>
      <c r="B36" s="6" t="s">
        <v>961</v>
      </c>
      <c r="C36" s="4">
        <v>66000</v>
      </c>
    </row>
    <row r="37" spans="1:14" ht="17.25">
      <c r="B37" s="30" t="s">
        <v>1097</v>
      </c>
      <c r="C37" s="29">
        <f>SUM(C32:C36)</f>
        <v>156000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450C-0E39-4241-9207-89A9372FDE76}">
  <dimension ref="A1:AE41"/>
  <sheetViews>
    <sheetView topLeftCell="A7" zoomScale="145" zoomScaleNormal="145" workbookViewId="0">
      <selection activeCell="F13" sqref="F1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1113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696500</v>
      </c>
      <c r="D4" s="4"/>
      <c r="E4" s="15">
        <v>1</v>
      </c>
      <c r="F4" s="4" t="s">
        <v>5</v>
      </c>
      <c r="G4" s="4">
        <v>500000</v>
      </c>
    </row>
    <row r="5" spans="1:31">
      <c r="A5" s="15">
        <v>2</v>
      </c>
      <c r="B5" s="4" t="s">
        <v>6</v>
      </c>
      <c r="C5" s="4">
        <v>299563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160718</v>
      </c>
      <c r="D7" s="4"/>
      <c r="E7" s="15">
        <v>4</v>
      </c>
      <c r="F7" s="4" t="s">
        <v>336</v>
      </c>
      <c r="G7" s="4">
        <v>300000</v>
      </c>
    </row>
    <row r="8" spans="1:31">
      <c r="A8" s="15">
        <v>5</v>
      </c>
      <c r="B8" s="4" t="s">
        <v>8</v>
      </c>
      <c r="C8" s="4">
        <v>100000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550</v>
      </c>
      <c r="K9" s="1">
        <v>80</v>
      </c>
    </row>
    <row r="10" spans="1:31">
      <c r="A10" s="15">
        <v>7</v>
      </c>
      <c r="B10" s="4" t="s">
        <v>482</v>
      </c>
      <c r="C10" s="4"/>
      <c r="D10" s="4"/>
      <c r="E10" s="15">
        <v>7</v>
      </c>
      <c r="F10" s="6" t="s">
        <v>44</v>
      </c>
      <c r="G10" s="4">
        <v>280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945</v>
      </c>
      <c r="C12" s="4"/>
      <c r="D12" s="4"/>
      <c r="E12" s="15">
        <v>9</v>
      </c>
      <c r="F12" s="6" t="s">
        <v>435</v>
      </c>
      <c r="G12" s="4">
        <v>130</v>
      </c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6" t="s">
        <v>195</v>
      </c>
      <c r="G13" s="4">
        <v>15000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93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82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279563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1109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33000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66000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1322781</v>
      </c>
      <c r="D22" s="5"/>
      <c r="E22" s="5"/>
      <c r="F22" s="5"/>
      <c r="G22" s="5">
        <f>SUM(G4:G21)</f>
        <v>1128623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194158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65000</v>
      </c>
    </row>
    <row r="35" spans="1:14">
      <c r="A35" s="27">
        <v>4</v>
      </c>
      <c r="B35" s="6" t="s">
        <v>1084</v>
      </c>
      <c r="C35" s="4">
        <v>10000</v>
      </c>
      <c r="N35" s="1">
        <f>591*6</f>
        <v>3546</v>
      </c>
    </row>
    <row r="36" spans="1:14">
      <c r="A36" s="27">
        <v>5</v>
      </c>
      <c r="B36" s="6" t="s">
        <v>961</v>
      </c>
      <c r="C36" s="4">
        <v>33000</v>
      </c>
    </row>
    <row r="37" spans="1:14" ht="17.25">
      <c r="B37" s="30" t="s">
        <v>1097</v>
      </c>
      <c r="C37" s="29">
        <f>SUM(C32:C36)</f>
        <v>123000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EFA9-9765-4100-8AFB-EF2014BFFF01}">
  <dimension ref="A1:AE41"/>
  <sheetViews>
    <sheetView topLeftCell="A5" zoomScale="145" zoomScaleNormal="145" workbookViewId="0">
      <selection activeCell="C36" sqref="C3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1114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919000</v>
      </c>
      <c r="D4" s="4"/>
      <c r="E4" s="15">
        <v>1</v>
      </c>
      <c r="F4" s="4" t="s">
        <v>5</v>
      </c>
      <c r="G4" s="4">
        <v>900000</v>
      </c>
    </row>
    <row r="5" spans="1:31">
      <c r="A5" s="15">
        <v>2</v>
      </c>
      <c r="B5" s="4" t="s">
        <v>6</v>
      </c>
      <c r="C5" s="4">
        <v>279563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>
        <v>83000</v>
      </c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124</v>
      </c>
      <c r="C7" s="4">
        <v>50000</v>
      </c>
      <c r="D7" s="4"/>
      <c r="E7" s="15">
        <v>4</v>
      </c>
      <c r="F7" s="4" t="s">
        <v>336</v>
      </c>
      <c r="G7" s="4">
        <v>120000</v>
      </c>
    </row>
    <row r="8" spans="1:31">
      <c r="A8" s="15">
        <v>5</v>
      </c>
      <c r="B8" s="4" t="s">
        <v>8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7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358</v>
      </c>
      <c r="C10" s="4">
        <v>100000</v>
      </c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945</v>
      </c>
      <c r="C12" s="4"/>
      <c r="D12" s="4"/>
      <c r="E12" s="15">
        <v>9</v>
      </c>
      <c r="F12" s="6" t="s">
        <v>435</v>
      </c>
      <c r="G12" s="4"/>
      <c r="K12" s="1">
        <f>27-33</f>
        <v>-6</v>
      </c>
    </row>
    <row r="13" spans="1:31">
      <c r="A13" s="15">
        <v>10</v>
      </c>
      <c r="B13" s="4" t="s">
        <v>1076</v>
      </c>
      <c r="C13" s="4"/>
      <c r="D13" s="4"/>
      <c r="E13" s="15">
        <v>10</v>
      </c>
      <c r="F13" s="6" t="s">
        <v>195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93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82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187302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65000</v>
      </c>
      <c r="D18" s="4"/>
      <c r="E18" s="15">
        <v>15</v>
      </c>
      <c r="F18" s="4" t="s">
        <v>1109</v>
      </c>
      <c r="G18" s="4"/>
    </row>
    <row r="19" spans="1:17">
      <c r="A19" s="15">
        <v>16</v>
      </c>
      <c r="B19" s="4" t="s">
        <v>1111</v>
      </c>
      <c r="C19" s="4">
        <v>10000</v>
      </c>
      <c r="D19" s="4"/>
      <c r="E19" s="15">
        <v>16</v>
      </c>
      <c r="F19" s="6" t="s">
        <v>1083</v>
      </c>
      <c r="G19" s="4">
        <v>50000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15000</v>
      </c>
      <c r="D20" s="4"/>
      <c r="E20" s="15">
        <v>17</v>
      </c>
      <c r="F20" s="4" t="s">
        <v>961</v>
      </c>
      <c r="G20" s="4">
        <v>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33000</v>
      </c>
      <c r="D21" s="4"/>
      <c r="E21" s="15">
        <v>18</v>
      </c>
      <c r="F21" s="4" t="s">
        <v>1088</v>
      </c>
      <c r="G21" s="4">
        <v>10000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1554563</v>
      </c>
      <c r="D22" s="5"/>
      <c r="E22" s="5"/>
      <c r="F22" s="5"/>
      <c r="G22" s="5">
        <f>SUM(G4:G21)</f>
        <v>1472702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81861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5000</v>
      </c>
    </row>
    <row r="37" spans="1:14" ht="17.25">
      <c r="B37" s="30" t="s">
        <v>1097</v>
      </c>
      <c r="C37" s="29">
        <f>SUM(C32:C36)</f>
        <v>65000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966A-21AA-4B98-AC88-4F0CD97FD635}">
  <dimension ref="A1:AE41"/>
  <sheetViews>
    <sheetView topLeftCell="A4"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1116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964500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238967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820</v>
      </c>
      <c r="G6" s="4">
        <v>170000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124</v>
      </c>
      <c r="C7" s="4"/>
      <c r="D7" s="4"/>
      <c r="E7" s="15">
        <v>4</v>
      </c>
      <c r="F7" s="4" t="s">
        <v>336</v>
      </c>
      <c r="G7" s="4">
        <v>170000</v>
      </c>
    </row>
    <row r="8" spans="1:31">
      <c r="A8" s="15">
        <v>5</v>
      </c>
      <c r="B8" s="4" t="s">
        <v>8</v>
      </c>
      <c r="C8" s="4"/>
      <c r="D8" s="4"/>
      <c r="E8" s="15">
        <v>5</v>
      </c>
      <c r="F8" s="4" t="s">
        <v>10</v>
      </c>
      <c r="G8" s="4">
        <v>200</v>
      </c>
      <c r="K8" s="1">
        <f>310+200</f>
        <v>510</v>
      </c>
    </row>
    <row r="9" spans="1:31">
      <c r="A9" s="15">
        <v>6</v>
      </c>
      <c r="B9" s="4" t="s">
        <v>7</v>
      </c>
      <c r="C9" s="4">
        <v>50000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1076</v>
      </c>
      <c r="C10" s="4">
        <v>24260</v>
      </c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35000</v>
      </c>
      <c r="D11" s="4"/>
      <c r="E11" s="15">
        <v>8</v>
      </c>
      <c r="F11" s="4" t="s">
        <v>1089</v>
      </c>
      <c r="G11" s="4">
        <v>800000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>
        <v>32000</v>
      </c>
      <c r="D12" s="4"/>
      <c r="E12" s="15">
        <v>9</v>
      </c>
      <c r="F12" s="6" t="s">
        <v>435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>
        <v>23000</v>
      </c>
      <c r="D13" s="4"/>
      <c r="E13" s="15">
        <v>10</v>
      </c>
      <c r="F13" s="6" t="s">
        <v>1115</v>
      </c>
      <c r="G13" s="4">
        <v>1600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93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82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163203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50000</v>
      </c>
      <c r="D18" s="4"/>
      <c r="E18" s="15">
        <v>15</v>
      </c>
      <c r="F18" s="4" t="s">
        <v>1117</v>
      </c>
      <c r="G18" s="4">
        <v>54916</v>
      </c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>
        <v>50000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10000</v>
      </c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>
        <v>7000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1427727</v>
      </c>
      <c r="D22" s="5"/>
      <c r="E22" s="5"/>
      <c r="F22" s="5"/>
      <c r="G22" s="5">
        <f>SUM(G4:G21)</f>
        <v>1417219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10508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7000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5000</v>
      </c>
    </row>
    <row r="37" spans="1:14" ht="17.25">
      <c r="B37" s="30" t="s">
        <v>1097</v>
      </c>
      <c r="C37" s="29">
        <f>SUM(C32:C36)</f>
        <v>62000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8BFD-5A27-4ACF-94F8-E6AD56217DEC}">
  <dimension ref="A1:AE41"/>
  <sheetViews>
    <sheetView topLeftCell="A4" zoomScale="145" zoomScaleNormal="145" workbookViewId="0">
      <selection activeCell="F4" sqref="F4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1120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303400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6</v>
      </c>
      <c r="C5" s="4">
        <v>172395</v>
      </c>
      <c r="D5" s="4"/>
      <c r="E5" s="15">
        <v>2</v>
      </c>
      <c r="F5" s="4" t="s">
        <v>5</v>
      </c>
      <c r="G5" s="4">
        <v>200000</v>
      </c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820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124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>
        <v>60470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869</v>
      </c>
      <c r="C9" s="4">
        <v>110000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1118</v>
      </c>
      <c r="G12" s="4">
        <v>100000</v>
      </c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1119</v>
      </c>
      <c r="G13" s="4">
        <v>18000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364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82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127395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50000</v>
      </c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>
        <v>40000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7000</v>
      </c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5000</v>
      </c>
      <c r="D21" s="4"/>
      <c r="E21" s="15">
        <v>18</v>
      </c>
      <c r="F21" s="4" t="s">
        <v>1088</v>
      </c>
      <c r="G21" s="4">
        <v>10000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708265</v>
      </c>
      <c r="D22" s="5"/>
      <c r="E22" s="5"/>
      <c r="F22" s="5"/>
      <c r="G22" s="5">
        <f>SUM(G4:G21)</f>
        <v>705645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I23" s="1">
        <f>9000-1760</f>
        <v>7240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2620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I26" s="1">
        <f>766/13</f>
        <v>58.92307692307692</v>
      </c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I28" s="1">
        <f>975-15</f>
        <v>960</v>
      </c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90F6-75D1-4E3A-8508-B4FF61D3B4E4}">
  <dimension ref="A1:AE41"/>
  <sheetViews>
    <sheetView topLeftCell="A4" zoomScale="145" zoomScaleNormal="145" workbookViewId="0">
      <selection activeCell="C12" sqref="C1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1121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67000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f>22614+127395</f>
        <v>150009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820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124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869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500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1124</v>
      </c>
      <c r="G12" s="4">
        <v>50000</v>
      </c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1119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1122</v>
      </c>
      <c r="G14" s="4">
        <v>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1123</v>
      </c>
      <c r="G15" s="4">
        <v>130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f>106548-22614</f>
        <v>83934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40000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217009</v>
      </c>
      <c r="D22" s="5"/>
      <c r="E22" s="5"/>
      <c r="F22" s="5"/>
      <c r="G22" s="5">
        <f>SUM(G4:G21)</f>
        <v>179814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37195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40000</v>
      </c>
    </row>
    <row r="37" spans="1:14" ht="17.25">
      <c r="B37" s="30" t="s">
        <v>1097</v>
      </c>
      <c r="C37" s="29">
        <f>SUM(C32:C36)</f>
        <v>90000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4E96-D590-4D24-87AA-FBDC187BF5FF}">
  <dimension ref="A1:AE41"/>
  <sheetViews>
    <sheetView topLeftCell="A4" zoomScale="145" zoomScaleNormal="145" workbookViewId="0">
      <selection activeCell="G27" sqref="G2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1125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170000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820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124</v>
      </c>
      <c r="C7" s="4"/>
      <c r="D7" s="4"/>
      <c r="E7" s="15">
        <v>4</v>
      </c>
      <c r="F7" s="4" t="s">
        <v>336</v>
      </c>
      <c r="G7" s="4">
        <v>200000</v>
      </c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869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1124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1119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1122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1123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1103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32000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202000</v>
      </c>
      <c r="D22" s="5"/>
      <c r="E22" s="5"/>
      <c r="F22" s="5"/>
      <c r="G22" s="5">
        <f>SUM(G4:G21)</f>
        <v>200250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1750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I29" s="1">
        <f>960*12/13</f>
        <v>886.15384615384619</v>
      </c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8000</v>
      </c>
    </row>
    <row r="37" spans="1:14" ht="17.25">
      <c r="B37" s="30" t="s">
        <v>1097</v>
      </c>
      <c r="C37" s="29">
        <f>SUM(C32:C36)</f>
        <v>58000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DF7C-BC07-401B-8E80-BFACB4C05077}">
  <dimension ref="A1:AE41"/>
  <sheetViews>
    <sheetView zoomScale="145" zoomScaleNormal="145" workbookViewId="0">
      <selection activeCell="C8" sqref="C8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1126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346850</v>
      </c>
      <c r="D4" s="4"/>
      <c r="E4" s="15">
        <v>1</v>
      </c>
      <c r="F4" s="4" t="s">
        <v>5</v>
      </c>
      <c r="G4" s="4">
        <v>100000</v>
      </c>
    </row>
    <row r="5" spans="1:31">
      <c r="A5" s="15">
        <v>2</v>
      </c>
      <c r="B5" s="4" t="s">
        <v>6</v>
      </c>
      <c r="C5" s="4">
        <v>83934</v>
      </c>
      <c r="D5" s="4"/>
      <c r="E5" s="15">
        <v>2</v>
      </c>
      <c r="F5" s="4" t="s">
        <v>5</v>
      </c>
      <c r="G5" s="4">
        <v>100000</v>
      </c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250000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100000</v>
      </c>
      <c r="D7" s="4"/>
      <c r="E7" s="15">
        <v>4</v>
      </c>
      <c r="F7" s="4" t="s">
        <v>336</v>
      </c>
      <c r="G7" s="4">
        <v>50000</v>
      </c>
    </row>
    <row r="8" spans="1:31">
      <c r="A8" s="15">
        <v>5</v>
      </c>
      <c r="B8" s="4" t="s">
        <v>7</v>
      </c>
      <c r="C8" s="4">
        <v>50000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869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45000</v>
      </c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1124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772</v>
      </c>
      <c r="G13" s="4">
        <v>30000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1127</v>
      </c>
      <c r="G14" s="4">
        <v>8000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27</v>
      </c>
      <c r="G15" s="4">
        <v>10000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47581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>
        <v>20000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8000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633784</v>
      </c>
      <c r="D22" s="5"/>
      <c r="E22" s="5"/>
      <c r="F22" s="5"/>
      <c r="G22" s="5">
        <f>SUM(G4:G21)</f>
        <v>616181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17603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C2D4-F6A1-4415-9BF9-49C6D9B4B934}">
  <dimension ref="A1:AE41"/>
  <sheetViews>
    <sheetView topLeftCell="A7" zoomScale="145" zoomScaleNormal="145" workbookViewId="0">
      <selection activeCell="F6" sqref="F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1128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/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869</v>
      </c>
      <c r="C9" s="4"/>
      <c r="D9" s="4"/>
      <c r="E9" s="15">
        <v>6</v>
      </c>
      <c r="F9" s="4" t="s">
        <v>941</v>
      </c>
      <c r="G9" s="4"/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1124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772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434</v>
      </c>
      <c r="G14" s="4">
        <v>11000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133</v>
      </c>
      <c r="G15" s="4">
        <v>500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0</v>
      </c>
      <c r="D22" s="5"/>
      <c r="E22" s="5"/>
      <c r="F22" s="5"/>
      <c r="G22" s="5">
        <f>SUM(G4:G21)</f>
        <v>11500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-11500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O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154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265000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187172</v>
      </c>
      <c r="D6" s="4"/>
      <c r="E6" s="4">
        <v>3</v>
      </c>
      <c r="F6" s="4" t="s">
        <v>38</v>
      </c>
      <c r="G6" s="4">
        <v>250000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1">
      <c r="A8" s="4">
        <v>5</v>
      </c>
      <c r="B8" s="4" t="s">
        <v>148</v>
      </c>
      <c r="C8" s="4"/>
      <c r="D8" s="4"/>
      <c r="E8" s="4">
        <v>5</v>
      </c>
      <c r="F8" s="4" t="s">
        <v>9</v>
      </c>
      <c r="G8" s="4">
        <v>180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>
        <v>78000</v>
      </c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/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93</v>
      </c>
      <c r="G11" s="4"/>
    </row>
    <row r="12" spans="1:11">
      <c r="A12" s="4">
        <v>9</v>
      </c>
      <c r="B12" s="4" t="s">
        <v>129</v>
      </c>
      <c r="C12" s="4"/>
      <c r="D12" s="4"/>
      <c r="E12" s="4">
        <v>9</v>
      </c>
      <c r="F12" s="4" t="s">
        <v>151</v>
      </c>
      <c r="G12" s="4"/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152</v>
      </c>
      <c r="G13" s="4"/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146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f>5500+118342</f>
        <v>123842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452172</v>
      </c>
      <c r="D19" s="5"/>
      <c r="E19" s="5"/>
      <c r="F19" s="5"/>
      <c r="G19" s="5">
        <f>SUM(G4:G18)</f>
        <v>452122</v>
      </c>
      <c r="K19" s="1">
        <v>13860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50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5862-C3F7-4536-B2F2-1634A0E586A3}">
  <dimension ref="A1:AE41"/>
  <sheetViews>
    <sheetView topLeftCell="A7" zoomScale="145" zoomScaleNormal="145" workbookViewId="0">
      <selection activeCell="G15" sqref="G1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1128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/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869</v>
      </c>
      <c r="C9" s="4"/>
      <c r="D9" s="4"/>
      <c r="E9" s="15">
        <v>6</v>
      </c>
      <c r="F9" s="4" t="s">
        <v>941</v>
      </c>
      <c r="G9" s="4"/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16500</v>
      </c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1124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772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434</v>
      </c>
      <c r="G14" s="4">
        <v>11000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1129</v>
      </c>
      <c r="G15" s="4">
        <v>5500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16500</v>
      </c>
      <c r="D22" s="5"/>
      <c r="E22" s="5"/>
      <c r="F22" s="5"/>
      <c r="G22" s="5">
        <f>SUM(G4:G21)</f>
        <v>16500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E096-9FA0-4053-8C9D-118F2C90A37D}">
  <dimension ref="A1:AE41"/>
  <sheetViews>
    <sheetView topLeftCell="A7" zoomScale="145" zoomScaleNormal="145" workbookViewId="0">
      <selection activeCell="C37" sqref="C3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1130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642000</v>
      </c>
      <c r="D4" s="4"/>
      <c r="E4" s="15">
        <v>1</v>
      </c>
      <c r="F4" s="4" t="s">
        <v>5</v>
      </c>
      <c r="G4" s="4">
        <v>350000</v>
      </c>
    </row>
    <row r="5" spans="1:31">
      <c r="A5" s="15">
        <v>2</v>
      </c>
      <c r="B5" s="4" t="s">
        <v>6</v>
      </c>
      <c r="C5" s="4">
        <v>47581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100000</v>
      </c>
    </row>
    <row r="8" spans="1:31">
      <c r="A8" s="15">
        <v>5</v>
      </c>
      <c r="B8" s="4" t="s">
        <v>7</v>
      </c>
      <c r="C8" s="4">
        <v>78340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869</v>
      </c>
      <c r="C9" s="4"/>
      <c r="D9" s="4"/>
      <c r="E9" s="15">
        <v>6</v>
      </c>
      <c r="F9" s="4" t="s">
        <v>941</v>
      </c>
      <c r="G9" s="4">
        <v>340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820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1089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1124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772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1131</v>
      </c>
      <c r="G14" s="4">
        <v>60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1129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47581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50000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767921</v>
      </c>
      <c r="D22" s="5"/>
      <c r="E22" s="5"/>
      <c r="F22" s="5"/>
      <c r="G22" s="5">
        <f>SUM(G4:G21)</f>
        <v>748901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19020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50000</v>
      </c>
    </row>
    <row r="37" spans="1:14" ht="17.25">
      <c r="B37" s="30" t="s">
        <v>1097</v>
      </c>
      <c r="C37" s="29">
        <f>SUM(C32:C36)</f>
        <v>100000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B7CD-B9E7-43A9-BB25-95F44A98798A}">
  <dimension ref="A1:AE41"/>
  <sheetViews>
    <sheetView topLeftCell="A4" zoomScale="145" zoomScaleNormal="145" workbookViewId="0">
      <selection activeCell="F12" sqref="F1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1133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261800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47581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100000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8</v>
      </c>
      <c r="C8" s="4">
        <v>60000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>
        <v>43356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467</v>
      </c>
      <c r="G11" s="4">
        <v>110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1124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772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667</v>
      </c>
      <c r="G14" s="4">
        <v>110000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1132</v>
      </c>
      <c r="G15" s="4">
        <v>90000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42581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21000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433737</v>
      </c>
      <c r="D22" s="5"/>
      <c r="E22" s="5"/>
      <c r="F22" s="5"/>
      <c r="G22" s="5">
        <f>SUM(G4:G21)</f>
        <v>343041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90696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29000</v>
      </c>
    </row>
    <row r="37" spans="1:14" ht="17.25">
      <c r="B37" s="30" t="s">
        <v>1097</v>
      </c>
      <c r="C37" s="29">
        <f>SUM(C32:C36)</f>
        <v>79000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235E-FE0C-4347-BAD6-161331896779}">
  <dimension ref="A1:AE41"/>
  <sheetViews>
    <sheetView zoomScale="145" zoomScaleNormal="145" workbookViewId="0">
      <selection activeCell="C20" sqref="C2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1134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452000</v>
      </c>
      <c r="D4" s="4"/>
      <c r="E4" s="15">
        <v>1</v>
      </c>
      <c r="F4" s="4" t="s">
        <v>5</v>
      </c>
      <c r="G4" s="4">
        <v>350000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100000</v>
      </c>
    </row>
    <row r="8" spans="1:31">
      <c r="A8" s="15">
        <v>5</v>
      </c>
      <c r="B8" s="4" t="s">
        <v>8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80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1124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772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1135</v>
      </c>
      <c r="G14" s="4">
        <v>2200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1132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11000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29000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481000</v>
      </c>
      <c r="D22" s="5"/>
      <c r="E22" s="5"/>
      <c r="F22" s="5"/>
      <c r="G22" s="5">
        <f>SUM(G4:G21)</f>
        <v>463530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17470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11000</v>
      </c>
    </row>
    <row r="37" spans="1:14" ht="17.25">
      <c r="B37" s="30" t="s">
        <v>1097</v>
      </c>
      <c r="C37" s="29">
        <f>SUM(C32:C36)</f>
        <v>61000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5A6C-1DDB-46FD-86E3-795CDC989500}">
  <dimension ref="A1:AE41"/>
  <sheetViews>
    <sheetView topLeftCell="A4" zoomScale="145" zoomScaleNormal="145" workbookViewId="0">
      <selection activeCell="G19" sqref="G19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1136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244600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100970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200000</v>
      </c>
    </row>
    <row r="8" spans="1:31">
      <c r="A8" s="15">
        <v>5</v>
      </c>
      <c r="B8" s="4" t="s">
        <v>8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270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100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1124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186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1135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1137</v>
      </c>
      <c r="G15" s="4">
        <v>10335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71053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40000</v>
      </c>
      <c r="D18" s="4"/>
      <c r="E18" s="15">
        <v>15</v>
      </c>
      <c r="F18" s="4" t="s">
        <v>1117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>
        <v>30000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4000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11000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396570</v>
      </c>
      <c r="D22" s="5"/>
      <c r="E22" s="5"/>
      <c r="F22" s="5"/>
      <c r="G22" s="5">
        <f>SUM(G4:G21)</f>
        <v>318758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77812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30000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4000</v>
      </c>
    </row>
    <row r="37" spans="1:14" ht="17.25">
      <c r="B37" s="30" t="s">
        <v>1097</v>
      </c>
      <c r="C37" s="29">
        <f>SUM(C32:C36)</f>
        <v>44000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35CD-B398-43A6-999D-DBB9F52BE0E3}">
  <dimension ref="A1:AE41"/>
  <sheetViews>
    <sheetView topLeftCell="A4" zoomScale="145" zoomScaleNormal="145" workbookViewId="0">
      <selection activeCell="F20" sqref="F2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1138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559000</v>
      </c>
      <c r="D4" s="4"/>
      <c r="E4" s="15">
        <v>1</v>
      </c>
      <c r="F4" s="4" t="s">
        <v>5</v>
      </c>
      <c r="G4" s="4">
        <v>600000</v>
      </c>
    </row>
    <row r="5" spans="1:31">
      <c r="A5" s="15">
        <v>2</v>
      </c>
      <c r="B5" s="4" t="s">
        <v>6</v>
      </c>
      <c r="C5" s="4">
        <v>106374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124500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>
        <v>50000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280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350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1140</v>
      </c>
      <c r="G12" s="4">
        <v>50000</v>
      </c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144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1135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565</v>
      </c>
      <c r="G15" s="4">
        <v>14025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63614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20000</v>
      </c>
      <c r="D18" s="4"/>
      <c r="E18" s="15">
        <v>15</v>
      </c>
      <c r="F18" s="4" t="s">
        <v>1139</v>
      </c>
      <c r="G18" s="4">
        <v>30000</v>
      </c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>
        <v>70000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10000</v>
      </c>
      <c r="D20" s="4"/>
      <c r="E20" s="15">
        <v>17</v>
      </c>
      <c r="F20" s="4" t="s">
        <v>961</v>
      </c>
      <c r="G20" s="4">
        <v>12000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4000</v>
      </c>
      <c r="D21" s="4"/>
      <c r="E21" s="15">
        <v>18</v>
      </c>
      <c r="F21" s="4" t="s">
        <v>1088</v>
      </c>
      <c r="G21" s="4">
        <v>25000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873874</v>
      </c>
      <c r="D22" s="5"/>
      <c r="E22" s="5"/>
      <c r="F22" s="5"/>
      <c r="G22" s="5">
        <f>SUM(G4:G21)</f>
        <v>868269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5605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80000</v>
      </c>
    </row>
    <row r="35" spans="1:14">
      <c r="A35" s="27">
        <v>4</v>
      </c>
      <c r="B35" s="6" t="s">
        <v>1084</v>
      </c>
      <c r="C35" s="4">
        <v>30000</v>
      </c>
      <c r="N35" s="1">
        <f>591*6</f>
        <v>3546</v>
      </c>
    </row>
    <row r="36" spans="1:14">
      <c r="A36" s="27">
        <v>5</v>
      </c>
      <c r="B36" s="6" t="s">
        <v>961</v>
      </c>
      <c r="C36" s="4">
        <v>12000</v>
      </c>
    </row>
    <row r="37" spans="1:14" ht="17.25">
      <c r="B37" s="30" t="s">
        <v>1097</v>
      </c>
      <c r="C37" s="29">
        <f>SUM(C32:C36)</f>
        <v>147000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9EC2-F764-41EF-90C0-5CE7678FAB53}">
  <dimension ref="A1:AE41"/>
  <sheetViews>
    <sheetView topLeftCell="A4" zoomScale="145" zoomScaleNormal="145" workbookViewId="0">
      <selection activeCell="C36" sqref="C3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1141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/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100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10000</v>
      </c>
      <c r="D11" s="4"/>
      <c r="E11" s="15">
        <v>8</v>
      </c>
      <c r="F11" s="4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1140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284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1142</v>
      </c>
      <c r="G14" s="4">
        <v>16500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565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1139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12000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22000</v>
      </c>
      <c r="D22" s="5"/>
      <c r="E22" s="5"/>
      <c r="F22" s="5"/>
      <c r="G22" s="5">
        <f>SUM(G4:G21)</f>
        <v>18600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3400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80000</v>
      </c>
    </row>
    <row r="35" spans="1:14">
      <c r="A35" s="27">
        <v>4</v>
      </c>
      <c r="B35" s="6" t="s">
        <v>1084</v>
      </c>
      <c r="C35" s="4">
        <v>30000</v>
      </c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135000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2EDB-4FB9-48AF-AB83-58C26DEEFB7B}">
  <dimension ref="A1:AE41"/>
  <sheetViews>
    <sheetView zoomScale="145" zoomScaleNormal="145" workbookViewId="0">
      <selection activeCell="C36" sqref="C3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1143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572790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76218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350000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280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1140</v>
      </c>
      <c r="G12" s="4"/>
      <c r="K12" s="1">
        <f>27-33</f>
        <v>-6</v>
      </c>
    </row>
    <row r="13" spans="1:31">
      <c r="A13" s="15">
        <v>10</v>
      </c>
      <c r="B13" s="4" t="s">
        <v>619</v>
      </c>
      <c r="C13" s="4"/>
      <c r="D13" s="4"/>
      <c r="E13" s="15">
        <v>10</v>
      </c>
      <c r="F13" s="6" t="s">
        <v>284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1142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565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62486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364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80000</v>
      </c>
      <c r="D18" s="4"/>
      <c r="E18" s="15">
        <v>15</v>
      </c>
      <c r="F18" s="4" t="s">
        <v>1139</v>
      </c>
      <c r="G18" s="4"/>
    </row>
    <row r="19" spans="1:17">
      <c r="A19" s="15">
        <v>16</v>
      </c>
      <c r="B19" s="4" t="s">
        <v>1111</v>
      </c>
      <c r="C19" s="4">
        <v>30000</v>
      </c>
      <c r="D19" s="4"/>
      <c r="E19" s="15">
        <v>16</v>
      </c>
      <c r="F19" s="6" t="s">
        <v>1083</v>
      </c>
      <c r="G19" s="4">
        <v>40000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10000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759008</v>
      </c>
      <c r="D22" s="5"/>
      <c r="E22" s="5"/>
      <c r="F22" s="5"/>
      <c r="G22" s="5">
        <f>SUM(G4:G21)</f>
        <v>463116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295892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10000</v>
      </c>
    </row>
    <row r="37" spans="1:14" ht="17.25">
      <c r="B37" s="30" t="s">
        <v>1097</v>
      </c>
      <c r="C37" s="29">
        <f>SUM(C32:C36)</f>
        <v>75000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9D90-B235-49CF-8E99-0546E02E73E2}">
  <dimension ref="A1:AE41"/>
  <sheetViews>
    <sheetView zoomScale="145" zoomScaleNormal="145" workbookViewId="0">
      <selection activeCell="F9" sqref="F9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1144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868400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180000</v>
      </c>
    </row>
    <row r="8" spans="1:31">
      <c r="A8" s="15">
        <v>5</v>
      </c>
      <c r="B8" s="4" t="s">
        <v>7</v>
      </c>
      <c r="C8" s="4">
        <v>32400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240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1145</v>
      </c>
      <c r="G11" s="4">
        <v>450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1140</v>
      </c>
      <c r="G12" s="4"/>
      <c r="K12" s="1">
        <f>27-33</f>
        <v>-6</v>
      </c>
    </row>
    <row r="13" spans="1:31">
      <c r="A13" s="15">
        <v>10</v>
      </c>
      <c r="B13" s="4" t="s">
        <v>1147</v>
      </c>
      <c r="C13" s="4">
        <v>500</v>
      </c>
      <c r="D13" s="4"/>
      <c r="E13" s="15">
        <v>10</v>
      </c>
      <c r="F13" s="6" t="s">
        <v>1148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1142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565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1146</v>
      </c>
      <c r="G17" s="4">
        <v>1200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1139</v>
      </c>
      <c r="G18" s="4"/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>
        <v>30000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25000</v>
      </c>
      <c r="D20" s="4"/>
      <c r="E20" s="15">
        <v>17</v>
      </c>
      <c r="F20" s="4" t="s">
        <v>961</v>
      </c>
      <c r="G20" s="4">
        <v>20500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10000</v>
      </c>
      <c r="D21" s="4"/>
      <c r="E21" s="15">
        <v>18</v>
      </c>
      <c r="F21" s="4" t="s">
        <v>1088</v>
      </c>
      <c r="G21" s="4">
        <v>20000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936300</v>
      </c>
      <c r="D22" s="5"/>
      <c r="E22" s="5"/>
      <c r="F22" s="5"/>
      <c r="G22" s="5">
        <f>SUM(G4:G21)</f>
        <v>554640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381660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70000</v>
      </c>
    </row>
    <row r="35" spans="1:14">
      <c r="A35" s="27">
        <v>4</v>
      </c>
      <c r="B35" s="6" t="s">
        <v>1084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20500</v>
      </c>
    </row>
    <row r="37" spans="1:14" ht="17.25">
      <c r="B37" s="30" t="s">
        <v>1097</v>
      </c>
      <c r="C37" s="29">
        <f>SUM(C32:C36)</f>
        <v>110500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610F-AA6F-496E-AD5D-9812D9DD6DF3}">
  <dimension ref="A1:AE41"/>
  <sheetViews>
    <sheetView topLeftCell="A4" zoomScale="145" zoomScaleNormal="145" workbookViewId="0">
      <selection activeCell="G20" sqref="G2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1149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175000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69882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1152</v>
      </c>
      <c r="G11" s="4">
        <v>5000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467</v>
      </c>
      <c r="G12" s="4">
        <v>70</v>
      </c>
      <c r="K12" s="1">
        <f>27-33</f>
        <v>-6</v>
      </c>
    </row>
    <row r="13" spans="1:31">
      <c r="A13" s="15">
        <v>10</v>
      </c>
      <c r="B13" s="4" t="s">
        <v>1147</v>
      </c>
      <c r="C13" s="4"/>
      <c r="D13" s="4"/>
      <c r="E13" s="15">
        <v>10</v>
      </c>
      <c r="F13" s="6" t="s">
        <v>41</v>
      </c>
      <c r="G13" s="4">
        <v>4740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1150</v>
      </c>
      <c r="G14" s="4">
        <v>7320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566</v>
      </c>
      <c r="G15" s="4">
        <v>13980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32818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70000</v>
      </c>
      <c r="D18" s="4"/>
      <c r="E18" s="15">
        <v>15</v>
      </c>
      <c r="F18" s="4" t="s">
        <v>464</v>
      </c>
      <c r="G18" s="4">
        <v>50000</v>
      </c>
    </row>
    <row r="19" spans="1:17">
      <c r="A19" s="15">
        <v>16</v>
      </c>
      <c r="B19" s="4" t="s">
        <v>1111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20000</v>
      </c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20500</v>
      </c>
      <c r="D21" s="4"/>
      <c r="E21" s="15">
        <v>18</v>
      </c>
      <c r="F21" s="4" t="s">
        <v>1088</v>
      </c>
      <c r="G21" s="4">
        <v>2000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355382</v>
      </c>
      <c r="D22" s="5"/>
      <c r="E22" s="5"/>
      <c r="F22" s="5"/>
      <c r="G22" s="5">
        <f>SUM(G4:G21)</f>
        <v>316278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39104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>
        <v>50000</v>
      </c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52000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O34"/>
  <sheetViews>
    <sheetView zoomScale="145" zoomScaleNormal="145" workbookViewId="0">
      <selection activeCell="G11" sqref="G11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155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674600</v>
      </c>
      <c r="D4" s="4"/>
      <c r="E4" s="4">
        <v>1</v>
      </c>
      <c r="F4" s="4" t="s">
        <v>5</v>
      </c>
      <c r="G4" s="4">
        <v>500000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150000</v>
      </c>
    </row>
    <row r="6" spans="1:11">
      <c r="A6" s="4">
        <v>3</v>
      </c>
      <c r="B6" s="4" t="s">
        <v>6</v>
      </c>
      <c r="C6" s="4">
        <v>123832</v>
      </c>
      <c r="D6" s="4"/>
      <c r="E6" s="4">
        <v>3</v>
      </c>
      <c r="F6" s="4" t="s">
        <v>38</v>
      </c>
      <c r="G6" s="4">
        <v>200000</v>
      </c>
      <c r="I6" s="1">
        <v>161284</v>
      </c>
    </row>
    <row r="7" spans="1:11">
      <c r="A7" s="4">
        <v>4</v>
      </c>
      <c r="B7" s="4" t="s">
        <v>124</v>
      </c>
      <c r="C7" s="4">
        <v>106440</v>
      </c>
      <c r="D7" s="4"/>
      <c r="E7" s="4">
        <v>4</v>
      </c>
      <c r="F7" s="4" t="s">
        <v>39</v>
      </c>
      <c r="G7" s="4">
        <v>315</v>
      </c>
    </row>
    <row r="8" spans="1:11">
      <c r="A8" s="4">
        <v>5</v>
      </c>
      <c r="B8" s="4" t="s">
        <v>156</v>
      </c>
      <c r="C8" s="4">
        <v>75000</v>
      </c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/>
    </row>
    <row r="11" spans="1:11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93</v>
      </c>
      <c r="G11" s="4"/>
    </row>
    <row r="12" spans="1:11">
      <c r="A12" s="4">
        <v>9</v>
      </c>
      <c r="B12" s="4" t="s">
        <v>8</v>
      </c>
      <c r="C12" s="4">
        <v>60000</v>
      </c>
      <c r="D12" s="4"/>
      <c r="E12" s="4">
        <v>9</v>
      </c>
      <c r="F12" s="4" t="s">
        <v>151</v>
      </c>
      <c r="G12" s="4"/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112</v>
      </c>
      <c r="G13" s="4">
        <v>20000</v>
      </c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43162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1089872</v>
      </c>
      <c r="D19" s="5"/>
      <c r="E19" s="5"/>
      <c r="F19" s="5"/>
      <c r="G19" s="5">
        <f>SUM(G4:G18)</f>
        <v>913727</v>
      </c>
      <c r="K19" s="1">
        <v>13860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176145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9751-E8F7-466B-969A-D2AAC95F03D0}">
  <dimension ref="A1:AE41"/>
  <sheetViews>
    <sheetView topLeftCell="A2" zoomScale="145" zoomScaleNormal="145" workbookViewId="0">
      <selection activeCell="F23" sqref="F2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1153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300000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>
        <v>40000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1152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467</v>
      </c>
      <c r="G12" s="4"/>
      <c r="K12" s="1">
        <f>27-33</f>
        <v>-6</v>
      </c>
    </row>
    <row r="13" spans="1:31">
      <c r="A13" s="15">
        <v>10</v>
      </c>
      <c r="B13" s="4" t="s">
        <v>980</v>
      </c>
      <c r="C13" s="4">
        <v>50000</v>
      </c>
      <c r="D13" s="4"/>
      <c r="E13" s="15">
        <v>10</v>
      </c>
      <c r="F13" s="6" t="s">
        <v>41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1150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1154</v>
      </c>
      <c r="G15" s="4">
        <v>1500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1146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464</v>
      </c>
      <c r="G18" s="4"/>
    </row>
    <row r="19" spans="1:17">
      <c r="A19" s="15">
        <v>16</v>
      </c>
      <c r="B19" s="4" t="s">
        <v>809</v>
      </c>
      <c r="C19" s="4">
        <v>30000</v>
      </c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420000</v>
      </c>
      <c r="D22" s="5"/>
      <c r="E22" s="5"/>
      <c r="F22" s="5"/>
      <c r="G22" s="5">
        <f>SUM(G4:G21)</f>
        <v>301750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118250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>
        <v>20000</v>
      </c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22000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227D-9002-457C-BF5D-9BCBB61DE9E5}">
  <dimension ref="A1:AE41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1155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f>118250+76316</f>
        <v>194566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100000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161490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>
        <v>50000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12000</v>
      </c>
      <c r="D11" s="4"/>
      <c r="E11" s="15">
        <v>8</v>
      </c>
      <c r="F11" s="4" t="s">
        <v>483</v>
      </c>
      <c r="G11" s="4">
        <v>5000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467</v>
      </c>
      <c r="G12" s="4"/>
      <c r="K12" s="1">
        <f>27-33</f>
        <v>-6</v>
      </c>
    </row>
    <row r="13" spans="1:31">
      <c r="A13" s="15">
        <v>10</v>
      </c>
      <c r="B13" s="4" t="s">
        <v>980</v>
      </c>
      <c r="C13" s="4"/>
      <c r="D13" s="4"/>
      <c r="E13" s="15">
        <v>10</v>
      </c>
      <c r="F13" s="6" t="s">
        <v>41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1150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1157</v>
      </c>
      <c r="G15" s="4">
        <v>8500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1156</v>
      </c>
      <c r="G17" s="4">
        <v>2400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464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418056</v>
      </c>
      <c r="D22" s="5"/>
      <c r="E22" s="5"/>
      <c r="F22" s="5"/>
      <c r="G22" s="5">
        <f>SUM(G4:G21)</f>
        <v>416250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1806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>
        <v>20000</v>
      </c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22000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7186-8447-4990-8FE6-9C33FE65A006}">
  <dimension ref="A1:AE41"/>
  <sheetViews>
    <sheetView zoomScale="145" zoomScaleNormal="145" workbookViewId="0">
      <selection activeCell="G22" sqref="G2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1158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770500</v>
      </c>
      <c r="D4" s="4"/>
      <c r="E4" s="15">
        <v>1</v>
      </c>
      <c r="F4" s="4" t="s">
        <v>5</v>
      </c>
      <c r="G4" s="4">
        <v>600000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190000</v>
      </c>
    </row>
    <row r="8" spans="1:31">
      <c r="A8" s="15">
        <v>5</v>
      </c>
      <c r="B8" s="4" t="s">
        <v>7</v>
      </c>
      <c r="C8" s="4">
        <v>63150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483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233</v>
      </c>
      <c r="C12" s="4"/>
      <c r="D12" s="4"/>
      <c r="E12" s="15">
        <v>9</v>
      </c>
      <c r="F12" s="6" t="s">
        <v>467</v>
      </c>
      <c r="G12" s="4"/>
      <c r="K12" s="1">
        <f>27-33</f>
        <v>-6</v>
      </c>
    </row>
    <row r="13" spans="1:31">
      <c r="A13" s="15">
        <v>10</v>
      </c>
      <c r="B13" s="4" t="s">
        <v>980</v>
      </c>
      <c r="C13" s="4"/>
      <c r="D13" s="4"/>
      <c r="E13" s="15">
        <v>10</v>
      </c>
      <c r="F13" s="6" t="s">
        <v>41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1150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1160</v>
      </c>
      <c r="G15" s="4">
        <v>2270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>
        <v>2800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464</v>
      </c>
      <c r="G18" s="4"/>
    </row>
    <row r="19" spans="1:17">
      <c r="A19" s="15">
        <v>16</v>
      </c>
      <c r="B19" s="4" t="s">
        <v>809</v>
      </c>
      <c r="C19" s="4">
        <v>20000</v>
      </c>
      <c r="D19" s="4"/>
      <c r="E19" s="15">
        <v>16</v>
      </c>
      <c r="F19" s="6" t="s">
        <v>1083</v>
      </c>
      <c r="G19" s="4">
        <v>35000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>
        <v>21000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853650</v>
      </c>
      <c r="D22" s="5"/>
      <c r="E22" s="5"/>
      <c r="F22" s="5"/>
      <c r="G22" s="5">
        <f>SUM(G4:G21)</f>
        <v>851320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2330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23000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35000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58000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9F90-37D7-46A3-B3E1-9CC0B114DBA8}">
  <dimension ref="A1:AE41"/>
  <sheetViews>
    <sheetView topLeftCell="A7" zoomScale="145" zoomScaleNormal="145" workbookViewId="0">
      <selection activeCell="F20" sqref="F2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1161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80000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140000</v>
      </c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150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53000</v>
      </c>
      <c r="D11" s="4"/>
      <c r="E11" s="15">
        <v>8</v>
      </c>
      <c r="F11" s="4" t="s">
        <v>483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>
        <v>11000</v>
      </c>
      <c r="D12" s="4"/>
      <c r="E12" s="15">
        <v>9</v>
      </c>
      <c r="F12" s="6" t="s">
        <v>467</v>
      </c>
      <c r="G12" s="4"/>
      <c r="K12" s="1">
        <f>27-33</f>
        <v>-6</v>
      </c>
    </row>
    <row r="13" spans="1:31">
      <c r="A13" s="15">
        <v>10</v>
      </c>
      <c r="B13" s="4" t="s">
        <v>13</v>
      </c>
      <c r="C13" s="4">
        <v>19000</v>
      </c>
      <c r="D13" s="4"/>
      <c r="E13" s="15">
        <v>10</v>
      </c>
      <c r="F13" s="6" t="s">
        <v>41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1150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998</v>
      </c>
      <c r="C15" s="4"/>
      <c r="D15" s="4"/>
      <c r="E15" s="15">
        <v>12</v>
      </c>
      <c r="F15" s="12" t="s">
        <v>1160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464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163000</v>
      </c>
      <c r="D22" s="5"/>
      <c r="E22" s="5"/>
      <c r="F22" s="5"/>
      <c r="G22" s="5">
        <f>SUM(G4:G21)</f>
        <v>140150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22850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23000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35000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58000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FDEB-D8F6-4262-B39A-99F091761F25}">
  <dimension ref="A1:AE41"/>
  <sheetViews>
    <sheetView topLeftCell="A7" zoomScale="145" zoomScaleNormal="145" workbookViewId="0">
      <selection activeCell="C37" sqref="C3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1162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460500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>
        <v>28135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100000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20000</v>
      </c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>
        <v>100000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530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483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1165</v>
      </c>
      <c r="G12" s="4">
        <v>69200</v>
      </c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41</v>
      </c>
      <c r="G13" s="4">
        <v>3390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1164</v>
      </c>
      <c r="G14" s="4">
        <v>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50</v>
      </c>
      <c r="C15" s="4">
        <v>20150</v>
      </c>
      <c r="D15" s="4"/>
      <c r="E15" s="15">
        <v>12</v>
      </c>
      <c r="F15" s="12" t="s">
        <v>1163</v>
      </c>
      <c r="G15" s="4">
        <v>7000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3113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1166</v>
      </c>
      <c r="G18" s="4">
        <v>14500</v>
      </c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>
        <v>15000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15000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608785</v>
      </c>
      <c r="D22" s="5"/>
      <c r="E22" s="5"/>
      <c r="F22" s="5"/>
      <c r="G22" s="5">
        <f>SUM(G4:G21)</f>
        <v>548633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60152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23000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15000</v>
      </c>
    </row>
    <row r="37" spans="1:14" ht="17.25">
      <c r="B37" s="30" t="s">
        <v>1097</v>
      </c>
      <c r="C37" s="29">
        <f>SUM(C32:C36)</f>
        <v>88000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969B-8DA6-4D88-A1AE-4B688D384D79}">
  <dimension ref="A1:AE41"/>
  <sheetViews>
    <sheetView zoomScale="145" zoomScaleNormal="145" workbookViewId="0">
      <selection activeCell="F8" sqref="F8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1167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/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>
        <v>40000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130000</v>
      </c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200</v>
      </c>
      <c r="K9" s="1">
        <v>80</v>
      </c>
    </row>
    <row r="10" spans="1:31">
      <c r="A10" s="15">
        <v>7</v>
      </c>
      <c r="B10" s="4" t="s">
        <v>8</v>
      </c>
      <c r="C10" s="4">
        <v>123000</v>
      </c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483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1165</v>
      </c>
      <c r="G12" s="4"/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41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1164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50</v>
      </c>
      <c r="C15" s="4"/>
      <c r="D15" s="4"/>
      <c r="E15" s="15">
        <v>12</v>
      </c>
      <c r="F15" s="12" t="s">
        <v>1163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50000</v>
      </c>
      <c r="D18" s="4"/>
      <c r="E18" s="15">
        <v>15</v>
      </c>
      <c r="F18" s="4" t="s">
        <v>93</v>
      </c>
      <c r="G18" s="4">
        <v>1500</v>
      </c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23000</v>
      </c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236000</v>
      </c>
      <c r="D22" s="5"/>
      <c r="E22" s="5"/>
      <c r="F22" s="5"/>
      <c r="G22" s="5">
        <f>SUM(G4:G21)</f>
        <v>131700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104300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15000</v>
      </c>
    </row>
    <row r="37" spans="1:14" ht="17.25">
      <c r="B37" s="30" t="s">
        <v>1097</v>
      </c>
      <c r="C37" s="29">
        <f>SUM(C32:C36)</f>
        <v>15000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9935-0D57-4E14-9064-3D74C959269A}">
  <dimension ref="A1:AE41"/>
  <sheetViews>
    <sheetView topLeftCell="A7"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1168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730600</v>
      </c>
      <c r="D4" s="4"/>
      <c r="E4" s="15">
        <v>1</v>
      </c>
      <c r="F4" s="4" t="s">
        <v>5</v>
      </c>
      <c r="G4" s="4">
        <v>400000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260000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165830</v>
      </c>
      <c r="D7" s="4"/>
      <c r="E7" s="15">
        <v>4</v>
      </c>
      <c r="F7" s="4" t="s">
        <v>336</v>
      </c>
      <c r="G7" s="4">
        <v>240000</v>
      </c>
    </row>
    <row r="8" spans="1:31">
      <c r="A8" s="15">
        <v>5</v>
      </c>
      <c r="B8" s="4" t="s">
        <v>7</v>
      </c>
      <c r="C8" s="4">
        <v>50000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483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1165</v>
      </c>
      <c r="G12" s="4"/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41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1052</v>
      </c>
      <c r="C14" s="4"/>
      <c r="D14" s="4"/>
      <c r="E14" s="15">
        <v>11</v>
      </c>
      <c r="F14" s="12" t="s">
        <v>71</v>
      </c>
      <c r="G14" s="4">
        <v>7000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50</v>
      </c>
      <c r="C15" s="4"/>
      <c r="D15" s="4"/>
      <c r="E15" s="15">
        <v>12</v>
      </c>
      <c r="F15" s="12" t="s">
        <v>1169</v>
      </c>
      <c r="G15" s="4">
        <v>750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93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>
        <v>28000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15000</v>
      </c>
      <c r="D21" s="4"/>
      <c r="E21" s="15">
        <v>18</v>
      </c>
      <c r="F21" s="4" t="s">
        <v>1088</v>
      </c>
      <c r="G21" s="4">
        <v>15000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961430</v>
      </c>
      <c r="D22" s="5"/>
      <c r="E22" s="5"/>
      <c r="F22" s="5"/>
      <c r="G22" s="5">
        <f>SUM(G4:G21)</f>
        <v>951100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10330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28000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43000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13CA-A96B-4F6D-B602-AA387FB08A66}">
  <dimension ref="A1:AE41"/>
  <sheetViews>
    <sheetView topLeftCell="A7" zoomScale="145" zoomScaleNormal="145" workbookViewId="0">
      <selection activeCell="G13" sqref="G1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1171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f>576000</f>
        <v>576000</v>
      </c>
      <c r="D4" s="4"/>
      <c r="E4" s="15">
        <v>1</v>
      </c>
      <c r="F4" s="4" t="s">
        <v>5</v>
      </c>
      <c r="G4" s="4">
        <v>880000</v>
      </c>
    </row>
    <row r="5" spans="1:31">
      <c r="A5" s="15">
        <v>2</v>
      </c>
      <c r="B5" s="4" t="s">
        <v>4</v>
      </c>
      <c r="C5" s="4">
        <v>303000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130000</v>
      </c>
    </row>
    <row r="8" spans="1:31">
      <c r="A8" s="15">
        <v>5</v>
      </c>
      <c r="B8" s="4" t="s">
        <v>7</v>
      </c>
      <c r="C8" s="4">
        <v>48400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>
        <v>590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28000</v>
      </c>
      <c r="D11" s="4"/>
      <c r="E11" s="15">
        <v>8</v>
      </c>
      <c r="F11" s="4" t="s">
        <v>483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>
        <v>25500</v>
      </c>
      <c r="D12" s="4"/>
      <c r="E12" s="15">
        <v>9</v>
      </c>
      <c r="F12" s="6" t="s">
        <v>928</v>
      </c>
      <c r="G12" s="4">
        <v>500</v>
      </c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1172</v>
      </c>
      <c r="G13" s="4">
        <v>8000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233</v>
      </c>
      <c r="C14" s="4">
        <v>53000</v>
      </c>
      <c r="D14" s="4"/>
      <c r="E14" s="15">
        <v>11</v>
      </c>
      <c r="F14" s="12" t="s">
        <v>1170</v>
      </c>
      <c r="G14" s="4">
        <v>8500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547</v>
      </c>
      <c r="C15" s="4">
        <v>29000</v>
      </c>
      <c r="D15" s="4"/>
      <c r="E15" s="15">
        <v>12</v>
      </c>
      <c r="F15" s="12" t="s">
        <v>1166</v>
      </c>
      <c r="G15" s="4">
        <v>960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28000</v>
      </c>
      <c r="D18" s="4"/>
      <c r="E18" s="15">
        <v>15</v>
      </c>
      <c r="F18" s="4" t="s">
        <v>93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>
        <v>50000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2000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1090900</v>
      </c>
      <c r="D22" s="5"/>
      <c r="E22" s="5"/>
      <c r="F22" s="5"/>
      <c r="G22" s="5">
        <f>SUM(G4:G21)</f>
        <v>1080850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10050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2000</v>
      </c>
    </row>
    <row r="37" spans="1:14" ht="17.25">
      <c r="B37" s="30" t="s">
        <v>1097</v>
      </c>
      <c r="C37" s="29">
        <f>SUM(C32:C36)</f>
        <v>67000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13C4-5A96-40E0-96E0-64869B741F8F}">
  <dimension ref="A1:AE41"/>
  <sheetViews>
    <sheetView topLeftCell="A19" zoomScale="145" zoomScaleNormal="145" workbookViewId="0">
      <selection activeCell="G17" sqref="G1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1173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453400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4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200000</v>
      </c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>
        <v>610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64500</v>
      </c>
      <c r="D11" s="4"/>
      <c r="E11" s="15">
        <v>8</v>
      </c>
      <c r="F11" s="4" t="s">
        <v>483</v>
      </c>
      <c r="G11" s="4">
        <v>1000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27</v>
      </c>
      <c r="G12" s="4">
        <v>15000</v>
      </c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1172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233</v>
      </c>
      <c r="C14" s="4"/>
      <c r="D14" s="4"/>
      <c r="E14" s="15">
        <v>11</v>
      </c>
      <c r="F14" s="12" t="s">
        <v>1170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547</v>
      </c>
      <c r="C15" s="4"/>
      <c r="D15" s="4"/>
      <c r="E15" s="15">
        <v>12</v>
      </c>
      <c r="F15" s="12" t="s">
        <v>1166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50000</v>
      </c>
      <c r="D18" s="4"/>
      <c r="E18" s="15">
        <v>15</v>
      </c>
      <c r="F18" s="4" t="s">
        <v>93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53000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569900</v>
      </c>
      <c r="D22" s="5"/>
      <c r="E22" s="5"/>
      <c r="F22" s="5"/>
      <c r="G22" s="5">
        <f>SUM(G4:G21)</f>
        <v>569910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-10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53000</v>
      </c>
    </row>
    <row r="37" spans="1:14" ht="17.25">
      <c r="B37" s="30" t="s">
        <v>1097</v>
      </c>
      <c r="C37" s="29">
        <f>SUM(C32:C36)</f>
        <v>68000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89E2-43F3-4A1E-B927-828410113A4C}">
  <dimension ref="A1:AE41"/>
  <sheetViews>
    <sheetView topLeftCell="A19" zoomScale="145" zoomScaleNormal="145" workbookViewId="0">
      <selection activeCell="G19" sqref="G19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1174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233500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4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220000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>
        <v>180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15000</v>
      </c>
      <c r="D11" s="4"/>
      <c r="E11" s="15">
        <v>8</v>
      </c>
      <c r="F11" s="4" t="s">
        <v>772</v>
      </c>
      <c r="G11" s="4">
        <v>20000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27</v>
      </c>
      <c r="G12" s="4"/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1172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233</v>
      </c>
      <c r="C14" s="4"/>
      <c r="D14" s="4"/>
      <c r="E14" s="15">
        <v>11</v>
      </c>
      <c r="F14" s="12" t="s">
        <v>1170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547</v>
      </c>
      <c r="C15" s="4"/>
      <c r="D15" s="4"/>
      <c r="E15" s="15">
        <v>12</v>
      </c>
      <c r="F15" s="12" t="s">
        <v>204</v>
      </c>
      <c r="G15" s="4">
        <v>230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93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>
        <v>30000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15000</v>
      </c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10000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273500</v>
      </c>
      <c r="D22" s="5"/>
      <c r="E22" s="5"/>
      <c r="F22" s="5"/>
      <c r="G22" s="5">
        <f>SUM(G4:G21)</f>
        <v>270760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2740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30000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43000</v>
      </c>
    </row>
    <row r="37" spans="1:14" ht="17.25">
      <c r="B37" s="30" t="s">
        <v>1097</v>
      </c>
      <c r="C37" s="29">
        <f>SUM(C32:C36)</f>
        <v>73000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O34"/>
  <sheetViews>
    <sheetView zoomScale="145" zoomScaleNormal="145" workbookViewId="0">
      <selection activeCell="F21" sqref="F21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157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580200</v>
      </c>
      <c r="D4" s="4"/>
      <c r="E4" s="4">
        <v>1</v>
      </c>
      <c r="F4" s="4" t="s">
        <v>5</v>
      </c>
      <c r="G4" s="4">
        <v>500000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201728</v>
      </c>
      <c r="D6" s="4"/>
      <c r="E6" s="4">
        <v>3</v>
      </c>
      <c r="F6" s="4" t="s">
        <v>38</v>
      </c>
      <c r="G6" s="4">
        <v>300000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</row>
    <row r="9" spans="1:11">
      <c r="A9" s="4">
        <v>6</v>
      </c>
      <c r="B9" s="4" t="s">
        <v>19</v>
      </c>
      <c r="C9" s="4">
        <v>100000</v>
      </c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/>
    </row>
    <row r="11" spans="1:11">
      <c r="A11" s="4">
        <v>8</v>
      </c>
      <c r="B11" s="4" t="s">
        <v>7</v>
      </c>
      <c r="C11" s="4">
        <v>20000</v>
      </c>
      <c r="D11" s="4"/>
      <c r="E11" s="4">
        <v>8</v>
      </c>
      <c r="F11" s="4" t="s">
        <v>93</v>
      </c>
      <c r="G11" s="4"/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151</v>
      </c>
      <c r="G12" s="4"/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112</v>
      </c>
      <c r="G13" s="4"/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95623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901928</v>
      </c>
      <c r="D19" s="5"/>
      <c r="E19" s="5"/>
      <c r="F19" s="5"/>
      <c r="G19" s="5">
        <f>SUM(G4:G18)</f>
        <v>896043</v>
      </c>
      <c r="K19" s="1">
        <v>13860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5885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8397-6FF5-4DF5-93E5-3C405578BAC2}">
  <dimension ref="A1:AE41"/>
  <sheetViews>
    <sheetView topLeftCell="A8" zoomScale="145" zoomScaleNormal="145" workbookViewId="0">
      <selection activeCell="C37" sqref="C3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1175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674010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>
        <v>91822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210000</v>
      </c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4" t="s">
        <v>1176</v>
      </c>
      <c r="G11" s="4">
        <v>500000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27</v>
      </c>
      <c r="G12" s="4"/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1172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233</v>
      </c>
      <c r="C14" s="4"/>
      <c r="D14" s="4"/>
      <c r="E14" s="15">
        <v>11</v>
      </c>
      <c r="F14" s="12" t="s">
        <v>140</v>
      </c>
      <c r="G14" s="4">
        <v>23000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547</v>
      </c>
      <c r="C15" s="4"/>
      <c r="D15" s="4"/>
      <c r="E15" s="15">
        <v>12</v>
      </c>
      <c r="F15" s="12" t="s">
        <v>204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31489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30000</v>
      </c>
      <c r="D18" s="4"/>
      <c r="E18" s="15">
        <v>15</v>
      </c>
      <c r="F18" s="4" t="s">
        <v>93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23000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818832</v>
      </c>
      <c r="D22" s="5"/>
      <c r="E22" s="5"/>
      <c r="F22" s="5"/>
      <c r="G22" s="5">
        <f>SUM(G4:G21)</f>
        <v>764739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54093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20000</v>
      </c>
    </row>
    <row r="37" spans="1:14" ht="17.25">
      <c r="B37" s="30" t="s">
        <v>1097</v>
      </c>
      <c r="C37" s="29">
        <f>SUM(C32:C36)</f>
        <v>20000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84EC-0CE9-4977-9952-77DEF0F26A58}">
  <dimension ref="A1:AE41"/>
  <sheetViews>
    <sheetView topLeftCell="A16" zoomScale="145" zoomScaleNormal="145" workbookViewId="0">
      <selection activeCell="F11" sqref="F11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1177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450775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>
        <v>31489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200000</v>
      </c>
    </row>
    <row r="8" spans="1:31">
      <c r="A8" s="15">
        <v>5</v>
      </c>
      <c r="B8" s="4" t="s">
        <v>7</v>
      </c>
      <c r="C8" s="4">
        <v>50000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>
        <v>650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>
        <v>70000</v>
      </c>
      <c r="D11" s="4"/>
      <c r="E11" s="15">
        <v>8</v>
      </c>
      <c r="F11" s="4" t="s">
        <v>1176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27</v>
      </c>
      <c r="G12" s="4"/>
      <c r="K12" s="1">
        <f>27-33</f>
        <v>-6</v>
      </c>
    </row>
    <row r="13" spans="1:31">
      <c r="A13" s="15">
        <v>10</v>
      </c>
      <c r="B13" s="4" t="s">
        <v>13</v>
      </c>
      <c r="C13" s="4">
        <v>15000</v>
      </c>
      <c r="D13" s="4"/>
      <c r="E13" s="15">
        <v>10</v>
      </c>
      <c r="F13" s="6" t="s">
        <v>1178</v>
      </c>
      <c r="G13" s="4">
        <v>16500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287</v>
      </c>
      <c r="C14" s="4">
        <v>17460</v>
      </c>
      <c r="D14" s="4"/>
      <c r="E14" s="15">
        <v>11</v>
      </c>
      <c r="F14" s="12" t="s">
        <v>140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836</v>
      </c>
      <c r="C15" s="4">
        <v>30000</v>
      </c>
      <c r="D15" s="4"/>
      <c r="E15" s="15">
        <v>12</v>
      </c>
      <c r="F15" s="12" t="s">
        <v>928</v>
      </c>
      <c r="G15" s="4">
        <v>6000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919</v>
      </c>
      <c r="G16" s="4">
        <v>31489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93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>
        <v>50000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59000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20000</v>
      </c>
      <c r="D21" s="4"/>
      <c r="E21" s="15">
        <v>18</v>
      </c>
      <c r="F21" s="4" t="s">
        <v>1088</v>
      </c>
      <c r="G21" s="4">
        <v>20000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684724</v>
      </c>
      <c r="D22" s="5"/>
      <c r="E22" s="5"/>
      <c r="F22" s="5"/>
      <c r="G22" s="5">
        <f>SUM(G4:G21)</f>
        <v>683889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835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59000</v>
      </c>
    </row>
    <row r="37" spans="1:14" ht="17.25">
      <c r="B37" s="30" t="s">
        <v>1097</v>
      </c>
      <c r="C37" s="29">
        <f>SUM(C32:C36)</f>
        <v>129000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9FFF-090D-4192-9595-678BA8A54F0A}">
  <dimension ref="A1:AE41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1180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594050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>
        <v>96855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340000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>
        <v>69870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>
        <v>640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6" t="s">
        <v>1184</v>
      </c>
      <c r="G11" s="4">
        <v>7575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1182</v>
      </c>
      <c r="G12" s="4">
        <v>4020</v>
      </c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1183</v>
      </c>
      <c r="G13" s="4">
        <v>4830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>
        <v>16500</v>
      </c>
      <c r="D14" s="4"/>
      <c r="E14" s="15">
        <v>11</v>
      </c>
      <c r="F14" s="12" t="s">
        <v>1179</v>
      </c>
      <c r="G14" s="4">
        <v>5000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836</v>
      </c>
      <c r="C15" s="4"/>
      <c r="D15" s="4"/>
      <c r="E15" s="15">
        <v>12</v>
      </c>
      <c r="F15" s="12" t="s">
        <v>1178</v>
      </c>
      <c r="G15" s="4">
        <v>16500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434</v>
      </c>
      <c r="G16" s="4">
        <v>11000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50000</v>
      </c>
      <c r="D18" s="4"/>
      <c r="E18" s="15">
        <v>15</v>
      </c>
      <c r="F18" s="4" t="s">
        <v>1181</v>
      </c>
      <c r="G18" s="4">
        <v>50325</v>
      </c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>
        <v>60000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67000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59000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886275</v>
      </c>
      <c r="D22" s="5"/>
      <c r="E22" s="5"/>
      <c r="F22" s="5"/>
      <c r="G22" s="5">
        <f>SUM(G4:G21)</f>
        <v>867240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19035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60000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67000</v>
      </c>
    </row>
    <row r="37" spans="1:14" ht="17.25">
      <c r="B37" s="30" t="s">
        <v>1097</v>
      </c>
      <c r="C37" s="29">
        <f>SUM(C32:C36)</f>
        <v>147000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3A5-7100-40C0-B8C5-68A650B949DF}">
  <dimension ref="A1:AE41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1185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374300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>
        <v>50325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100000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6" t="s">
        <v>1184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1182</v>
      </c>
      <c r="G12" s="4"/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1183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1179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836</v>
      </c>
      <c r="C15" s="4"/>
      <c r="D15" s="4"/>
      <c r="E15" s="15">
        <v>12</v>
      </c>
      <c r="F15" s="12" t="s">
        <v>1186</v>
      </c>
      <c r="G15" s="4">
        <v>295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60000</v>
      </c>
      <c r="D18" s="4"/>
      <c r="E18" s="15">
        <v>15</v>
      </c>
      <c r="F18" s="4" t="s">
        <v>1181</v>
      </c>
      <c r="G18" s="4">
        <v>6269</v>
      </c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>
        <v>20000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20000</v>
      </c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67000</v>
      </c>
      <c r="D21" s="4"/>
      <c r="E21" s="15">
        <v>18</v>
      </c>
      <c r="F21" s="4" t="s">
        <v>1088</v>
      </c>
      <c r="G21" s="4">
        <v>15000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671625</v>
      </c>
      <c r="D22" s="5"/>
      <c r="E22" s="5"/>
      <c r="F22" s="5"/>
      <c r="G22" s="5">
        <f>SUM(G4:G21)</f>
        <v>541914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129711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20000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35000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3B76-D58E-453A-87AB-6389F2D4DDF5}">
  <dimension ref="A1:AE41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1188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225530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230000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124</v>
      </c>
      <c r="C9" s="4">
        <v>70000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>
        <v>400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24</v>
      </c>
      <c r="C11" s="4"/>
      <c r="D11" s="4"/>
      <c r="E11" s="15">
        <v>8</v>
      </c>
      <c r="F11" s="6" t="s">
        <v>1184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561</v>
      </c>
      <c r="C12" s="4"/>
      <c r="D12" s="4"/>
      <c r="E12" s="15">
        <v>9</v>
      </c>
      <c r="F12" s="6" t="s">
        <v>1182</v>
      </c>
      <c r="G12" s="4"/>
      <c r="K12" s="1">
        <f>27-33</f>
        <v>-6</v>
      </c>
    </row>
    <row r="13" spans="1:31">
      <c r="A13" s="15">
        <v>10</v>
      </c>
      <c r="B13" s="4" t="s">
        <v>13</v>
      </c>
      <c r="C13" s="4"/>
      <c r="D13" s="4"/>
      <c r="E13" s="15">
        <v>10</v>
      </c>
      <c r="F13" s="6" t="s">
        <v>1183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1179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836</v>
      </c>
      <c r="C15" s="4"/>
      <c r="D15" s="4"/>
      <c r="E15" s="15">
        <v>12</v>
      </c>
      <c r="F15" s="12" t="s">
        <v>1187</v>
      </c>
      <c r="G15" s="4">
        <v>5000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30000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295530</v>
      </c>
      <c r="D22" s="5"/>
      <c r="E22" s="5"/>
      <c r="F22" s="5"/>
      <c r="G22" s="5">
        <f>SUM(G4:G21)</f>
        <v>265750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29780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20000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30000</v>
      </c>
    </row>
    <row r="37" spans="1:14" ht="17.25">
      <c r="B37" s="30" t="s">
        <v>1097</v>
      </c>
      <c r="C37" s="29">
        <f>SUM(C32:C36)</f>
        <v>65000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3B20-F0ED-4E07-9960-83D04908B3FE}">
  <dimension ref="A1:AE41"/>
  <sheetViews>
    <sheetView zoomScale="145" zoomScaleNormal="145" workbookViewId="0">
      <selection activeCell="C13" sqref="C1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1194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f>474784+9000+212000</f>
        <v>695784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100000</v>
      </c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>
        <v>300</v>
      </c>
      <c r="K8" s="1">
        <f>310+200</f>
        <v>510</v>
      </c>
    </row>
    <row r="9" spans="1:31">
      <c r="A9" s="15">
        <v>6</v>
      </c>
      <c r="B9" s="4" t="s">
        <v>124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1192</v>
      </c>
      <c r="C10" s="4">
        <v>10000</v>
      </c>
      <c r="D10" s="4"/>
      <c r="E10" s="15">
        <v>7</v>
      </c>
      <c r="F10" s="6" t="s">
        <v>44</v>
      </c>
      <c r="G10" s="4">
        <v>240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1190</v>
      </c>
      <c r="C11" s="4">
        <v>25370</v>
      </c>
      <c r="D11" s="4"/>
      <c r="E11" s="15">
        <v>8</v>
      </c>
      <c r="F11" s="6" t="s">
        <v>1189</v>
      </c>
      <c r="G11" s="4">
        <v>500000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1191</v>
      </c>
      <c r="C12" s="4">
        <v>49850</v>
      </c>
      <c r="D12" s="4"/>
      <c r="E12" s="15">
        <v>9</v>
      </c>
      <c r="F12" s="6" t="s">
        <v>117</v>
      </c>
      <c r="G12" s="4">
        <v>430</v>
      </c>
      <c r="K12" s="1">
        <f>27-33</f>
        <v>-6</v>
      </c>
    </row>
    <row r="13" spans="1:31">
      <c r="A13" s="15">
        <v>10</v>
      </c>
      <c r="B13" s="4" t="s">
        <v>1193</v>
      </c>
      <c r="C13" s="4">
        <v>10000</v>
      </c>
      <c r="D13" s="4"/>
      <c r="E13" s="15">
        <v>10</v>
      </c>
      <c r="F13" s="6" t="s">
        <v>1183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>
        <v>26000</v>
      </c>
      <c r="D14" s="4"/>
      <c r="E14" s="15">
        <v>11</v>
      </c>
      <c r="F14" s="12" t="s">
        <v>1179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>
        <v>8500</v>
      </c>
      <c r="D15" s="4"/>
      <c r="E15" s="15">
        <v>12</v>
      </c>
      <c r="F15" s="12" t="s">
        <v>1187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>
        <v>20000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15000</v>
      </c>
      <c r="D20" s="4"/>
      <c r="E20" s="15">
        <v>17</v>
      </c>
      <c r="F20" s="4" t="s">
        <v>961</v>
      </c>
      <c r="G20" s="4">
        <v>23000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30000</v>
      </c>
      <c r="D21" s="4"/>
      <c r="E21" s="15">
        <v>18</v>
      </c>
      <c r="F21" s="4" t="s">
        <v>1088</v>
      </c>
      <c r="G21" s="4">
        <v>20000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870504</v>
      </c>
      <c r="D22" s="5"/>
      <c r="E22" s="5"/>
      <c r="F22" s="5"/>
      <c r="G22" s="5">
        <f>SUM(G4:G21)</f>
        <v>864270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6234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23000</v>
      </c>
    </row>
    <row r="37" spans="1:14" ht="17.25">
      <c r="B37" s="30" t="s">
        <v>1097</v>
      </c>
      <c r="C37" s="29">
        <f>SUM(C32:C36)</f>
        <v>83000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5D20-8FC9-4022-BC9A-18F4FDAD089B}">
  <dimension ref="A1:AE41"/>
  <sheetViews>
    <sheetView zoomScale="145" zoomScaleNormal="145" workbookViewId="0">
      <selection activeCell="C13" sqref="C1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1195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456600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200000</v>
      </c>
    </row>
    <row r="8" spans="1:31">
      <c r="A8" s="15">
        <v>5</v>
      </c>
      <c r="B8" s="4" t="s">
        <v>7</v>
      </c>
      <c r="C8" s="4">
        <v>50000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1198</v>
      </c>
      <c r="C9" s="4">
        <v>17370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1192</v>
      </c>
      <c r="C10" s="4">
        <v>10000</v>
      </c>
      <c r="D10" s="4"/>
      <c r="E10" s="15">
        <v>7</v>
      </c>
      <c r="F10" s="6" t="s">
        <v>44</v>
      </c>
      <c r="G10" s="4">
        <v>650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1197</v>
      </c>
      <c r="C11" s="4">
        <v>15550</v>
      </c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1196</v>
      </c>
      <c r="C12" s="4">
        <v>35000</v>
      </c>
      <c r="D12" s="4"/>
      <c r="E12" s="15">
        <v>9</v>
      </c>
      <c r="F12" s="6" t="s">
        <v>117</v>
      </c>
      <c r="G12" s="4"/>
      <c r="K12" s="1">
        <f>27-33</f>
        <v>-6</v>
      </c>
    </row>
    <row r="13" spans="1:31">
      <c r="A13" s="15">
        <v>10</v>
      </c>
      <c r="B13" s="4" t="s">
        <v>1193</v>
      </c>
      <c r="C13" s="4">
        <v>7410</v>
      </c>
      <c r="D13" s="4"/>
      <c r="E13" s="15">
        <v>10</v>
      </c>
      <c r="F13" s="6" t="s">
        <v>1142</v>
      </c>
      <c r="G13" s="4">
        <v>16500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1179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422</v>
      </c>
      <c r="G15" s="4">
        <v>14000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20000</v>
      </c>
      <c r="D20" s="4"/>
      <c r="E20" s="15">
        <v>17</v>
      </c>
      <c r="F20" s="4" t="s">
        <v>961</v>
      </c>
      <c r="G20" s="4">
        <v>42000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23000</v>
      </c>
      <c r="D21" s="4"/>
      <c r="E21" s="15">
        <v>18</v>
      </c>
      <c r="F21" s="4" t="s">
        <v>1088</v>
      </c>
      <c r="G21" s="4">
        <v>25000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634930</v>
      </c>
      <c r="D22" s="5"/>
      <c r="E22" s="5"/>
      <c r="F22" s="5"/>
      <c r="G22" s="5">
        <f>SUM(G4:G21)</f>
        <v>598450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36480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42000</v>
      </c>
    </row>
    <row r="37" spans="1:14" ht="17.25">
      <c r="B37" s="30" t="s">
        <v>1097</v>
      </c>
      <c r="C37" s="29">
        <f>SUM(C32:C36)</f>
        <v>107000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5B8-23FF-4103-A9FA-73E3CAF6D70D}">
  <dimension ref="A1:AE41"/>
  <sheetViews>
    <sheetView zoomScale="145" zoomScaleNormal="145" workbookViewId="0">
      <selection activeCell="C11" sqref="C11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1199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1233555</v>
      </c>
      <c r="D4" s="4"/>
      <c r="E4" s="15">
        <v>1</v>
      </c>
      <c r="F4" s="4" t="s">
        <v>5</v>
      </c>
      <c r="G4" s="4">
        <v>850000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>
        <v>60000</v>
      </c>
      <c r="D6" s="4"/>
      <c r="E6" s="15">
        <v>3</v>
      </c>
      <c r="F6" s="4" t="s">
        <v>813</v>
      </c>
      <c r="G6" s="4">
        <v>250000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93660</v>
      </c>
      <c r="D7" s="4"/>
      <c r="E7" s="15">
        <v>4</v>
      </c>
      <c r="F7" s="4" t="s">
        <v>336</v>
      </c>
      <c r="G7" s="4">
        <v>150000</v>
      </c>
    </row>
    <row r="8" spans="1:31">
      <c r="A8" s="15">
        <v>5</v>
      </c>
      <c r="B8" s="4" t="s">
        <v>7</v>
      </c>
      <c r="C8" s="4">
        <v>48380</v>
      </c>
      <c r="D8" s="4"/>
      <c r="E8" s="15">
        <v>5</v>
      </c>
      <c r="F8" s="4" t="s">
        <v>10</v>
      </c>
      <c r="G8" s="4">
        <v>200</v>
      </c>
      <c r="K8" s="1">
        <f>310+200</f>
        <v>510</v>
      </c>
    </row>
    <row r="9" spans="1:31">
      <c r="A9" s="15">
        <v>6</v>
      </c>
      <c r="B9" s="4" t="s">
        <v>8</v>
      </c>
      <c r="C9" s="4">
        <v>83000</v>
      </c>
      <c r="D9" s="4"/>
      <c r="E9" s="15">
        <v>6</v>
      </c>
      <c r="F9" s="4" t="s">
        <v>941</v>
      </c>
      <c r="G9" s="4">
        <v>350</v>
      </c>
      <c r="K9" s="1">
        <v>80</v>
      </c>
    </row>
    <row r="10" spans="1:31">
      <c r="A10" s="15">
        <v>7</v>
      </c>
      <c r="B10" s="4" t="s">
        <v>1192</v>
      </c>
      <c r="C10" s="4"/>
      <c r="D10" s="4"/>
      <c r="E10" s="15">
        <v>7</v>
      </c>
      <c r="F10" s="6" t="s">
        <v>44</v>
      </c>
      <c r="G10" s="4">
        <v>1070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1197</v>
      </c>
      <c r="C11" s="4"/>
      <c r="D11" s="4"/>
      <c r="E11" s="15">
        <v>8</v>
      </c>
      <c r="F11" s="6" t="s">
        <v>1189</v>
      </c>
      <c r="G11" s="4">
        <v>200000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1196</v>
      </c>
      <c r="C12" s="4"/>
      <c r="D12" s="4"/>
      <c r="E12" s="15">
        <v>9</v>
      </c>
      <c r="F12" s="6" t="s">
        <v>117</v>
      </c>
      <c r="G12" s="4"/>
      <c r="K12" s="1">
        <f>27-33</f>
        <v>-6</v>
      </c>
    </row>
    <row r="13" spans="1:31">
      <c r="A13" s="15">
        <v>10</v>
      </c>
      <c r="B13" s="4" t="s">
        <v>1193</v>
      </c>
      <c r="C13" s="4">
        <v>10000</v>
      </c>
      <c r="D13" s="4"/>
      <c r="E13" s="15">
        <v>10</v>
      </c>
      <c r="F13" s="6" t="s">
        <v>1142</v>
      </c>
      <c r="G13" s="4">
        <v>16500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1179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422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40000</v>
      </c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>
        <v>50000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25000</v>
      </c>
      <c r="D20" s="4"/>
      <c r="E20" s="15">
        <v>17</v>
      </c>
      <c r="F20" s="4" t="s">
        <v>961</v>
      </c>
      <c r="G20" s="4">
        <v>67000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42000</v>
      </c>
      <c r="D21" s="4"/>
      <c r="E21" s="15">
        <v>18</v>
      </c>
      <c r="F21" s="4" t="s">
        <v>1088</v>
      </c>
      <c r="G21" s="4">
        <v>25000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1635595</v>
      </c>
      <c r="D22" s="5"/>
      <c r="E22" s="5"/>
      <c r="F22" s="5"/>
      <c r="G22" s="5">
        <f>SUM(G4:G21)</f>
        <v>1610120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25475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67000</v>
      </c>
    </row>
    <row r="37" spans="1:14" ht="17.25">
      <c r="B37" s="30" t="s">
        <v>1097</v>
      </c>
      <c r="C37" s="29">
        <f>SUM(C32:C36)</f>
        <v>142000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D9F8-82A6-4A4E-968E-AFE7ED413F1A}">
  <dimension ref="A1:AE41"/>
  <sheetViews>
    <sheetView zoomScale="145" zoomScaleNormal="145" workbookViewId="0">
      <selection activeCell="C38" sqref="C38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1201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664536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350000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>
        <v>200</v>
      </c>
      <c r="K8" s="1">
        <f>310+200</f>
        <v>510</v>
      </c>
    </row>
    <row r="9" spans="1:31">
      <c r="A9" s="15">
        <v>6</v>
      </c>
      <c r="B9" s="4" t="s">
        <v>8</v>
      </c>
      <c r="C9" s="4"/>
      <c r="D9" s="4"/>
      <c r="E9" s="15">
        <v>6</v>
      </c>
      <c r="F9" s="4" t="s">
        <v>941</v>
      </c>
      <c r="G9" s="4">
        <v>260</v>
      </c>
      <c r="K9" s="1">
        <v>80</v>
      </c>
    </row>
    <row r="10" spans="1:31">
      <c r="A10" s="15">
        <v>7</v>
      </c>
      <c r="B10" s="4" t="s">
        <v>1192</v>
      </c>
      <c r="C10" s="4"/>
      <c r="D10" s="4"/>
      <c r="E10" s="15">
        <v>7</v>
      </c>
      <c r="F10" s="6" t="s">
        <v>44</v>
      </c>
      <c r="G10" s="4">
        <v>550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1197</v>
      </c>
      <c r="C11" s="4"/>
      <c r="D11" s="4"/>
      <c r="E11" s="15">
        <v>8</v>
      </c>
      <c r="F11" s="6" t="s">
        <v>1189</v>
      </c>
      <c r="G11" s="4">
        <v>200000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1196</v>
      </c>
      <c r="C12" s="4"/>
      <c r="D12" s="4"/>
      <c r="E12" s="15">
        <v>9</v>
      </c>
      <c r="F12" s="6" t="s">
        <v>262</v>
      </c>
      <c r="G12" s="4">
        <v>30000</v>
      </c>
      <c r="K12" s="1">
        <f>27-33</f>
        <v>-6</v>
      </c>
    </row>
    <row r="13" spans="1:31">
      <c r="A13" s="15">
        <v>10</v>
      </c>
      <c r="B13" s="4" t="s">
        <v>1193</v>
      </c>
      <c r="C13" s="4"/>
      <c r="D13" s="4"/>
      <c r="E13" s="15">
        <v>10</v>
      </c>
      <c r="F13" s="6" t="s">
        <v>1142</v>
      </c>
      <c r="G13" s="4">
        <v>16500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1179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1200</v>
      </c>
      <c r="G15" s="4">
        <v>70000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15000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67000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731536</v>
      </c>
      <c r="D22" s="5"/>
      <c r="E22" s="5"/>
      <c r="F22" s="5"/>
      <c r="G22" s="5">
        <f>SUM(G4:G21)</f>
        <v>682510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49026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15000</v>
      </c>
    </row>
    <row r="37" spans="1:14" ht="17.25">
      <c r="B37" s="30" t="s">
        <v>1097</v>
      </c>
      <c r="C37" s="29">
        <f>SUM(C32:C36)</f>
        <v>90000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0733-49ED-45B9-863C-25047E260509}">
  <dimension ref="A1:AE41"/>
  <sheetViews>
    <sheetView zoomScale="145" zoomScaleNormal="145" workbookViewId="0">
      <selection activeCell="C32" sqref="C3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1203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416700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156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8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1192</v>
      </c>
      <c r="C10" s="4"/>
      <c r="D10" s="4"/>
      <c r="E10" s="15">
        <v>7</v>
      </c>
      <c r="F10" s="6" t="s">
        <v>44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1197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1196</v>
      </c>
      <c r="C12" s="4"/>
      <c r="D12" s="4"/>
      <c r="E12" s="15">
        <v>9</v>
      </c>
      <c r="F12" s="6" t="s">
        <v>262</v>
      </c>
      <c r="G12" s="4"/>
      <c r="K12" s="1">
        <f>27-33</f>
        <v>-6</v>
      </c>
    </row>
    <row r="13" spans="1:31">
      <c r="A13" s="15">
        <v>10</v>
      </c>
      <c r="B13" s="4" t="s">
        <v>1193</v>
      </c>
      <c r="C13" s="4"/>
      <c r="D13" s="4"/>
      <c r="E13" s="15">
        <v>10</v>
      </c>
      <c r="F13" s="6" t="s">
        <v>467</v>
      </c>
      <c r="G13" s="4">
        <v>70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1202</v>
      </c>
      <c r="G14" s="4">
        <v>250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526</v>
      </c>
      <c r="G15" s="4">
        <v>4000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981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127</v>
      </c>
      <c r="C17" s="4"/>
      <c r="D17" s="4"/>
      <c r="E17" s="15">
        <v>14</v>
      </c>
      <c r="F17" s="4" t="s">
        <v>1159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1092</v>
      </c>
      <c r="C18" s="4">
        <v>10000</v>
      </c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4" t="s">
        <v>809</v>
      </c>
      <c r="C19" s="4"/>
      <c r="D19" s="4"/>
      <c r="E19" s="15">
        <v>16</v>
      </c>
      <c r="F19" s="6" t="s">
        <v>1083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9000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15000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441700</v>
      </c>
      <c r="D22" s="5"/>
      <c r="E22" s="5"/>
      <c r="F22" s="5"/>
      <c r="G22" s="5">
        <f>SUM(G4:G21)</f>
        <v>413920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27780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9000</v>
      </c>
    </row>
    <row r="37" spans="1:14" ht="17.25">
      <c r="B37" s="30" t="s">
        <v>1097</v>
      </c>
      <c r="C37" s="29">
        <f>SUM(C32:C36)</f>
        <v>74000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O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158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306230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150000</v>
      </c>
    </row>
    <row r="6" spans="1:11">
      <c r="A6" s="4">
        <v>3</v>
      </c>
      <c r="B6" s="4" t="s">
        <v>6</v>
      </c>
      <c r="C6" s="4">
        <v>99323</v>
      </c>
      <c r="D6" s="4"/>
      <c r="E6" s="4">
        <v>3</v>
      </c>
      <c r="F6" s="4" t="s">
        <v>38</v>
      </c>
      <c r="G6" s="4">
        <v>170000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200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265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>
        <v>255</v>
      </c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159</v>
      </c>
      <c r="G11" s="4">
        <v>90</v>
      </c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151</v>
      </c>
      <c r="G12" s="4"/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112</v>
      </c>
      <c r="G13" s="4"/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76623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405553</v>
      </c>
      <c r="D19" s="5"/>
      <c r="E19" s="5"/>
      <c r="F19" s="5"/>
      <c r="G19" s="5">
        <f>SUM(G4:G18)</f>
        <v>397433</v>
      </c>
      <c r="K19" s="1">
        <v>13860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8120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0E0E-A56A-4FBA-8E88-8A1C52264347}">
  <dimension ref="A1:AE41"/>
  <sheetViews>
    <sheetView zoomScale="145" zoomScaleNormal="145" workbookViewId="0">
      <selection activeCell="C9" sqref="C9:D9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1204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310500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19</v>
      </c>
      <c r="C6" s="4">
        <v>209100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7</v>
      </c>
      <c r="C7" s="4">
        <v>50000</v>
      </c>
      <c r="D7" s="4"/>
      <c r="E7" s="15">
        <v>4</v>
      </c>
      <c r="F7" s="4" t="s">
        <v>336</v>
      </c>
      <c r="G7" s="4">
        <v>140000</v>
      </c>
    </row>
    <row r="8" spans="1:31">
      <c r="A8" s="15">
        <v>5</v>
      </c>
      <c r="B8" s="4" t="s">
        <v>1205</v>
      </c>
      <c r="C8" s="4">
        <v>21550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50</v>
      </c>
      <c r="C9" s="4">
        <v>6000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1207</v>
      </c>
      <c r="C10" s="4">
        <v>5000</v>
      </c>
      <c r="D10" s="4"/>
      <c r="E10" s="15">
        <v>7</v>
      </c>
      <c r="F10" s="6" t="s">
        <v>44</v>
      </c>
      <c r="G10" s="4">
        <v>450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1206</v>
      </c>
      <c r="C11" s="4">
        <v>11000</v>
      </c>
      <c r="D11" s="4"/>
      <c r="E11" s="15">
        <v>8</v>
      </c>
      <c r="F11" s="6" t="s">
        <v>1189</v>
      </c>
      <c r="G11" s="4">
        <v>400000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127</v>
      </c>
      <c r="C12" s="4">
        <v>24000</v>
      </c>
      <c r="D12" s="4"/>
      <c r="E12" s="15">
        <v>9</v>
      </c>
      <c r="F12" s="6" t="s">
        <v>262</v>
      </c>
      <c r="G12" s="4"/>
      <c r="K12" s="1">
        <f>27-33</f>
        <v>-6</v>
      </c>
    </row>
    <row r="13" spans="1:31">
      <c r="A13" s="15">
        <v>10</v>
      </c>
      <c r="B13" s="4" t="s">
        <v>262</v>
      </c>
      <c r="C13" s="4">
        <v>60000</v>
      </c>
      <c r="D13" s="4"/>
      <c r="E13" s="15">
        <v>10</v>
      </c>
      <c r="F13" s="6" t="s">
        <v>27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>
        <v>33500</v>
      </c>
      <c r="D14" s="4"/>
      <c r="E14" s="15">
        <v>11</v>
      </c>
      <c r="F14" s="12" t="s">
        <v>144</v>
      </c>
      <c r="G14" s="4">
        <v>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>
        <v>19000</v>
      </c>
      <c r="D15" s="4"/>
      <c r="E15" s="15">
        <v>12</v>
      </c>
      <c r="F15" s="12" t="s">
        <v>526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13</v>
      </c>
      <c r="C16" s="4">
        <v>7470</v>
      </c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547</v>
      </c>
      <c r="C17" s="4">
        <v>32000</v>
      </c>
      <c r="D17" s="4"/>
      <c r="E17" s="15">
        <v>14</v>
      </c>
      <c r="F17" s="4" t="s">
        <v>1159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299</v>
      </c>
      <c r="C18" s="4">
        <v>34000</v>
      </c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>
        <v>40000</v>
      </c>
      <c r="D19" s="4"/>
      <c r="E19" s="15">
        <v>16</v>
      </c>
      <c r="F19" s="6" t="s">
        <v>1208</v>
      </c>
      <c r="G19" s="4">
        <v>20000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15000</v>
      </c>
      <c r="D20" s="4"/>
      <c r="E20" s="15">
        <v>17</v>
      </c>
      <c r="F20" s="4" t="s">
        <v>961</v>
      </c>
      <c r="G20" s="4">
        <v>10000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9000</v>
      </c>
      <c r="D21" s="4"/>
      <c r="E21" s="15">
        <v>18</v>
      </c>
      <c r="F21" s="4" t="s">
        <v>1088</v>
      </c>
      <c r="G21" s="4">
        <v>10000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887120</v>
      </c>
      <c r="D22" s="5"/>
      <c r="E22" s="5"/>
      <c r="F22" s="5"/>
      <c r="G22" s="5">
        <f>SUM(G4:G21)</f>
        <v>886300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820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20000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10000</v>
      </c>
    </row>
    <row r="37" spans="1:14" ht="17.25">
      <c r="B37" s="30" t="s">
        <v>1097</v>
      </c>
      <c r="C37" s="29">
        <f>SUM(C32:C36)</f>
        <v>50000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5014-E013-4906-A4A1-8AA2DEC37BE2}">
  <dimension ref="A1:AE41"/>
  <sheetViews>
    <sheetView zoomScale="145" zoomScaleNormal="145" workbookViewId="0">
      <selection activeCell="E34" sqref="E34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1209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554600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19</v>
      </c>
      <c r="C6" s="4"/>
      <c r="D6" s="4"/>
      <c r="E6" s="15">
        <v>3</v>
      </c>
      <c r="F6" s="4" t="s">
        <v>813</v>
      </c>
      <c r="G6" s="4">
        <v>430000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7</v>
      </c>
      <c r="C7" s="4">
        <v>74650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1205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50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1207</v>
      </c>
      <c r="C10" s="4"/>
      <c r="D10" s="4"/>
      <c r="E10" s="15">
        <v>7</v>
      </c>
      <c r="F10" s="6" t="s">
        <v>44</v>
      </c>
      <c r="G10" s="4">
        <v>550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1206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127</v>
      </c>
      <c r="C12" s="4"/>
      <c r="D12" s="4"/>
      <c r="E12" s="15">
        <v>9</v>
      </c>
      <c r="F12" s="6" t="s">
        <v>262</v>
      </c>
      <c r="G12" s="4"/>
      <c r="K12" s="1">
        <f>27-33</f>
        <v>-6</v>
      </c>
    </row>
    <row r="13" spans="1:31">
      <c r="A13" s="15">
        <v>10</v>
      </c>
      <c r="B13" s="4" t="s">
        <v>262</v>
      </c>
      <c r="C13" s="4">
        <v>60000</v>
      </c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104</v>
      </c>
      <c r="G14" s="4">
        <v>4195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526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13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547</v>
      </c>
      <c r="C17" s="4"/>
      <c r="D17" s="4"/>
      <c r="E17" s="15">
        <v>14</v>
      </c>
      <c r="F17" s="4" t="s">
        <v>1159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299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>
        <v>20000</v>
      </c>
      <c r="D19" s="4"/>
      <c r="E19" s="15">
        <v>16</v>
      </c>
      <c r="F19" s="6" t="s">
        <v>1085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20000</v>
      </c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10000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739250</v>
      </c>
      <c r="D22" s="5"/>
      <c r="E22" s="5"/>
      <c r="F22" s="5"/>
      <c r="G22" s="5">
        <f>SUM(G4:G21)</f>
        <v>735095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4155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F4A2-340C-46C1-A2FC-DEBDE212D339}">
  <dimension ref="A1:AE41"/>
  <sheetViews>
    <sheetView zoomScale="145" zoomScaleNormal="145" workbookViewId="0">
      <selection activeCell="C12" sqref="C1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1210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355800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6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124</v>
      </c>
      <c r="C6" s="4">
        <v>50000</v>
      </c>
      <c r="D6" s="4"/>
      <c r="E6" s="15">
        <v>3</v>
      </c>
      <c r="F6" s="4" t="s">
        <v>813</v>
      </c>
      <c r="G6" s="4">
        <v>300000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959</v>
      </c>
      <c r="C7" s="4">
        <v>33950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1211</v>
      </c>
      <c r="C8" s="4">
        <v>18000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50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1207</v>
      </c>
      <c r="C10" s="4"/>
      <c r="D10" s="4"/>
      <c r="E10" s="15">
        <v>7</v>
      </c>
      <c r="F10" s="6" t="s">
        <v>44</v>
      </c>
      <c r="G10" s="4">
        <v>560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1206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127</v>
      </c>
      <c r="C12" s="4"/>
      <c r="D12" s="4"/>
      <c r="E12" s="15">
        <v>9</v>
      </c>
      <c r="F12" s="6" t="s">
        <v>93</v>
      </c>
      <c r="G12" s="4">
        <v>1500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104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526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13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547</v>
      </c>
      <c r="C17" s="4"/>
      <c r="D17" s="4"/>
      <c r="E17" s="15">
        <v>14</v>
      </c>
      <c r="F17" s="4" t="s">
        <v>1159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299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>
        <v>50000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14000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>
        <v>30000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457750</v>
      </c>
      <c r="D22" s="5"/>
      <c r="E22" s="5"/>
      <c r="F22" s="5"/>
      <c r="G22" s="5">
        <f>SUM(G4:G21)</f>
        <v>396410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61340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30000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14000</v>
      </c>
    </row>
    <row r="37" spans="1:14" ht="17.25">
      <c r="B37" s="30" t="s">
        <v>1097</v>
      </c>
      <c r="C37" s="29">
        <f>SUM(C32:C36)</f>
        <v>94000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984D-8F4E-4BBC-BAF5-B3F52B5E0328}">
  <dimension ref="A1:AE41"/>
  <sheetViews>
    <sheetView zoomScale="145" zoomScaleNormal="145" workbookViewId="0">
      <selection activeCell="G1" sqref="G1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1216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233000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1213</v>
      </c>
      <c r="C5" s="4">
        <v>61340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124</v>
      </c>
      <c r="C6" s="4"/>
      <c r="D6" s="4"/>
      <c r="E6" s="15">
        <v>3</v>
      </c>
      <c r="F6" s="4" t="s">
        <v>813</v>
      </c>
      <c r="G6" s="4">
        <v>400000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959</v>
      </c>
      <c r="C7" s="4"/>
      <c r="D7" s="4"/>
      <c r="E7" s="15">
        <v>4</v>
      </c>
      <c r="F7" s="4" t="s">
        <v>336</v>
      </c>
      <c r="G7" s="4">
        <v>100000</v>
      </c>
    </row>
    <row r="8" spans="1:31">
      <c r="A8" s="15">
        <v>5</v>
      </c>
      <c r="B8" s="4" t="s">
        <v>1211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50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1207</v>
      </c>
      <c r="C10" s="4"/>
      <c r="D10" s="4"/>
      <c r="E10" s="15">
        <v>7</v>
      </c>
      <c r="F10" s="6" t="s">
        <v>44</v>
      </c>
      <c r="G10" s="4">
        <v>150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1206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127</v>
      </c>
      <c r="C12" s="4"/>
      <c r="D12" s="4"/>
      <c r="E12" s="15">
        <v>9</v>
      </c>
      <c r="F12" s="6" t="s">
        <v>70</v>
      </c>
      <c r="G12" s="4">
        <v>200</v>
      </c>
      <c r="K12" s="1">
        <f>27-33</f>
        <v>-6</v>
      </c>
    </row>
    <row r="13" spans="1:31">
      <c r="A13" s="15">
        <v>10</v>
      </c>
      <c r="B13" s="4" t="s">
        <v>262</v>
      </c>
      <c r="C13" s="4">
        <v>133000</v>
      </c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104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526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13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547</v>
      </c>
      <c r="C17" s="4"/>
      <c r="D17" s="4"/>
      <c r="E17" s="15">
        <v>14</v>
      </c>
      <c r="F17" s="4" t="s">
        <v>1159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299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>
        <v>50000</v>
      </c>
      <c r="D19" s="4"/>
      <c r="E19" s="15">
        <v>16</v>
      </c>
      <c r="F19" s="6" t="s">
        <v>1085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20000</v>
      </c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4000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501340</v>
      </c>
      <c r="D22" s="5"/>
      <c r="E22" s="5"/>
      <c r="F22" s="5"/>
      <c r="G22" s="5">
        <f>SUM(G4:G21)</f>
        <v>500700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640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10000</v>
      </c>
    </row>
    <row r="37" spans="1:14" ht="17.25">
      <c r="B37" s="30" t="s">
        <v>1097</v>
      </c>
      <c r="C37" s="29">
        <f>SUM(C32:C36)</f>
        <v>20000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B153-4E2D-4768-98EC-4899677EB47F}">
  <dimension ref="A1:AE41"/>
  <sheetViews>
    <sheetView zoomScale="145" zoomScaleNormal="145" workbookViewId="0">
      <selection activeCell="C14" sqref="C14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1212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129000</v>
      </c>
      <c r="D4" s="4"/>
      <c r="E4" s="15">
        <v>1</v>
      </c>
      <c r="F4" s="4" t="s">
        <v>5</v>
      </c>
      <c r="G4" s="4">
        <v>400000</v>
      </c>
    </row>
    <row r="5" spans="1:31">
      <c r="A5" s="15">
        <v>2</v>
      </c>
      <c r="B5" s="4"/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6" t="s">
        <v>1214</v>
      </c>
      <c r="C6" s="4">
        <v>264660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156</v>
      </c>
      <c r="C7" s="4">
        <v>89000</v>
      </c>
      <c r="D7" s="4"/>
      <c r="E7" s="15">
        <v>4</v>
      </c>
      <c r="F7" s="4" t="s">
        <v>336</v>
      </c>
      <c r="G7" s="4">
        <v>363000</v>
      </c>
    </row>
    <row r="8" spans="1:31">
      <c r="A8" s="15">
        <v>5</v>
      </c>
      <c r="B8" s="4" t="s">
        <v>1211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50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1207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1215</v>
      </c>
      <c r="C11" s="4">
        <v>202600</v>
      </c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127</v>
      </c>
      <c r="C12" s="4"/>
      <c r="D12" s="4"/>
      <c r="E12" s="15">
        <v>9</v>
      </c>
      <c r="F12" s="6" t="s">
        <v>70</v>
      </c>
      <c r="G12" s="4"/>
      <c r="K12" s="1">
        <f>27-33</f>
        <v>-6</v>
      </c>
    </row>
    <row r="13" spans="1:31">
      <c r="A13" s="15">
        <v>10</v>
      </c>
      <c r="B13" s="4" t="s">
        <v>262</v>
      </c>
      <c r="C13" s="4">
        <v>92000</v>
      </c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>
        <v>21000</v>
      </c>
      <c r="D14" s="4"/>
      <c r="E14" s="15">
        <v>11</v>
      </c>
      <c r="F14" s="12" t="s">
        <v>104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526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13</v>
      </c>
      <c r="C16" s="4"/>
      <c r="D16" s="4"/>
      <c r="E16" s="15">
        <v>13</v>
      </c>
      <c r="F16" s="4" t="s">
        <v>434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547</v>
      </c>
      <c r="C17" s="4"/>
      <c r="D17" s="4"/>
      <c r="E17" s="15">
        <v>14</v>
      </c>
      <c r="F17" s="4" t="s">
        <v>1159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299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>
        <v>35000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10000</v>
      </c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10000</v>
      </c>
      <c r="D21" s="4"/>
      <c r="E21" s="15">
        <v>18</v>
      </c>
      <c r="F21" s="4" t="s">
        <v>1088</v>
      </c>
      <c r="G21" s="4">
        <v>20000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818260</v>
      </c>
      <c r="D22" s="5"/>
      <c r="E22" s="5"/>
      <c r="F22" s="5"/>
      <c r="G22" s="5">
        <f>SUM(G4:G21)</f>
        <v>818250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35000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A64A-BF54-48DD-8EA2-DC62B4EDE4E3}">
  <dimension ref="A1:AE41"/>
  <sheetViews>
    <sheetView zoomScale="145" zoomScaleNormal="145" workbookViewId="0">
      <selection activeCell="C32" sqref="C3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1218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454500</v>
      </c>
      <c r="D4" s="4"/>
      <c r="E4" s="15">
        <v>1</v>
      </c>
      <c r="F4" s="4" t="s">
        <v>5</v>
      </c>
      <c r="G4" s="4">
        <v>250000</v>
      </c>
    </row>
    <row r="5" spans="1:31">
      <c r="A5" s="15">
        <v>2</v>
      </c>
      <c r="B5" s="4" t="s">
        <v>774</v>
      </c>
      <c r="C5" s="4">
        <v>200000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6" t="s">
        <v>7</v>
      </c>
      <c r="C6" s="4">
        <v>50000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8</v>
      </c>
      <c r="C7" s="4">
        <v>60000</v>
      </c>
      <c r="D7" s="4"/>
      <c r="E7" s="15">
        <v>4</v>
      </c>
      <c r="F7" s="4" t="s">
        <v>336</v>
      </c>
      <c r="G7" s="4">
        <v>105000</v>
      </c>
    </row>
    <row r="8" spans="1:31">
      <c r="A8" s="15">
        <v>5</v>
      </c>
      <c r="B8" s="4" t="s">
        <v>1211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50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1207</v>
      </c>
      <c r="C10" s="4"/>
      <c r="D10" s="4"/>
      <c r="E10" s="15">
        <v>7</v>
      </c>
      <c r="F10" s="6" t="s">
        <v>44</v>
      </c>
      <c r="G10" s="4">
        <v>700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1217</v>
      </c>
      <c r="C11" s="4">
        <v>59400</v>
      </c>
      <c r="D11" s="4"/>
      <c r="E11" s="15">
        <v>8</v>
      </c>
      <c r="F11" s="6" t="s">
        <v>1189</v>
      </c>
      <c r="G11" s="4">
        <v>400000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127</v>
      </c>
      <c r="C12" s="4"/>
      <c r="D12" s="4"/>
      <c r="E12" s="15">
        <v>9</v>
      </c>
      <c r="F12" s="6" t="s">
        <v>1221</v>
      </c>
      <c r="G12" s="4">
        <v>7000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1220</v>
      </c>
      <c r="G13" s="4">
        <v>7000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104</v>
      </c>
      <c r="G14" s="4">
        <v>2876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526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13</v>
      </c>
      <c r="C16" s="4"/>
      <c r="D16" s="4"/>
      <c r="E16" s="15">
        <v>13</v>
      </c>
      <c r="F16" s="4" t="s">
        <v>434</v>
      </c>
      <c r="G16" s="4" t="s">
        <v>1219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547</v>
      </c>
      <c r="C17" s="4"/>
      <c r="D17" s="4"/>
      <c r="E17" s="15">
        <v>14</v>
      </c>
      <c r="F17" s="4" t="s">
        <v>1222</v>
      </c>
      <c r="G17" s="4">
        <v>800</v>
      </c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299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20000</v>
      </c>
      <c r="D20" s="4"/>
      <c r="E20" s="15">
        <v>17</v>
      </c>
      <c r="F20" s="4" t="s">
        <v>961</v>
      </c>
      <c r="G20" s="4">
        <v>25000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>
        <v>10000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843900</v>
      </c>
      <c r="D22" s="5"/>
      <c r="E22" s="5"/>
      <c r="F22" s="5"/>
      <c r="G22" s="5">
        <f>SUM(G4:G21)</f>
        <v>808776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35124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35000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25000</v>
      </c>
    </row>
    <row r="37" spans="1:14" ht="17.25">
      <c r="B37" s="30" t="s">
        <v>1097</v>
      </c>
      <c r="C37" s="29">
        <f>SUM(C32:C36)</f>
        <v>70000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C4A5-860F-4954-940F-5AE32E4CE92E}">
  <dimension ref="A1:AE41"/>
  <sheetViews>
    <sheetView zoomScale="145" zoomScaleNormal="145" workbookViewId="0">
      <selection activeCell="F24" sqref="F24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1224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/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774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6" t="s">
        <v>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8</v>
      </c>
      <c r="C7" s="4"/>
      <c r="D7" s="4"/>
      <c r="E7" s="15">
        <v>4</v>
      </c>
      <c r="F7" s="4" t="s">
        <v>336</v>
      </c>
      <c r="G7" s="4">
        <v>120000</v>
      </c>
    </row>
    <row r="8" spans="1:31">
      <c r="A8" s="15">
        <v>5</v>
      </c>
      <c r="B8" s="4" t="s">
        <v>1211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50</v>
      </c>
      <c r="C9" s="4"/>
      <c r="D9" s="4"/>
      <c r="E9" s="15">
        <v>6</v>
      </c>
      <c r="F9" s="4" t="s">
        <v>941</v>
      </c>
      <c r="G9" s="4">
        <v>280</v>
      </c>
      <c r="K9" s="1">
        <v>80</v>
      </c>
    </row>
    <row r="10" spans="1:31">
      <c r="A10" s="15">
        <v>7</v>
      </c>
      <c r="B10" s="4" t="s">
        <v>1207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1217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127</v>
      </c>
      <c r="C12" s="4"/>
      <c r="D12" s="4"/>
      <c r="E12" s="15">
        <v>9</v>
      </c>
      <c r="F12" s="6" t="s">
        <v>27</v>
      </c>
      <c r="G12" s="4">
        <v>7000</v>
      </c>
      <c r="K12" s="1">
        <f>27-33</f>
        <v>-6</v>
      </c>
    </row>
    <row r="13" spans="1:31">
      <c r="A13" s="15">
        <v>10</v>
      </c>
      <c r="B13" s="4" t="s">
        <v>262</v>
      </c>
      <c r="C13" s="4">
        <v>30000</v>
      </c>
      <c r="D13" s="4"/>
      <c r="E13" s="15">
        <v>10</v>
      </c>
      <c r="F13" s="6" t="s">
        <v>1220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>
        <v>46000</v>
      </c>
      <c r="D14" s="4"/>
      <c r="E14" s="15">
        <v>11</v>
      </c>
      <c r="F14" s="12" t="s">
        <v>1225</v>
      </c>
      <c r="G14" s="4">
        <v>2200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60</v>
      </c>
      <c r="G15" s="4">
        <v>5500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13</v>
      </c>
      <c r="C16" s="4"/>
      <c r="D16" s="4"/>
      <c r="E16" s="15">
        <v>13</v>
      </c>
      <c r="F16" s="4" t="s">
        <v>1223</v>
      </c>
      <c r="G16" s="4">
        <v>3000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547</v>
      </c>
      <c r="C17" s="4"/>
      <c r="D17" s="4"/>
      <c r="E17" s="15">
        <v>14</v>
      </c>
      <c r="F17" s="4" t="s">
        <v>1222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299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>
        <v>35000</v>
      </c>
      <c r="D19" s="4"/>
      <c r="E19" s="15">
        <v>16</v>
      </c>
      <c r="F19" s="6" t="s">
        <v>1085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5000</v>
      </c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25000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141000</v>
      </c>
      <c r="D22" s="5"/>
      <c r="E22" s="5"/>
      <c r="F22" s="5"/>
      <c r="G22" s="5">
        <f>SUM(G4:G21)</f>
        <v>137980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3020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F068-DAB0-4FE9-ACD4-D45E50A83E77}">
  <dimension ref="A1:AE41"/>
  <sheetViews>
    <sheetView zoomScale="145" zoomScaleNormal="145" workbookViewId="0">
      <selection activeCell="C15" sqref="C1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1227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817000</v>
      </c>
      <c r="D4" s="4"/>
      <c r="E4" s="15">
        <v>1</v>
      </c>
      <c r="F4" s="4" t="s">
        <v>5</v>
      </c>
      <c r="G4" s="4">
        <v>500000</v>
      </c>
    </row>
    <row r="5" spans="1:31">
      <c r="A5" s="15">
        <v>2</v>
      </c>
      <c r="B5" s="4" t="s">
        <v>19</v>
      </c>
      <c r="C5" s="4">
        <v>139970</v>
      </c>
      <c r="D5" s="4"/>
      <c r="E5" s="15">
        <v>2</v>
      </c>
      <c r="F5" s="4" t="s">
        <v>5</v>
      </c>
      <c r="G5" s="4">
        <v>662000</v>
      </c>
      <c r="K5" s="1">
        <f>103+85+160</f>
        <v>348</v>
      </c>
    </row>
    <row r="6" spans="1:31">
      <c r="A6" s="15">
        <v>3</v>
      </c>
      <c r="B6" s="6" t="s">
        <v>7</v>
      </c>
      <c r="C6" s="4">
        <v>44650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1228</v>
      </c>
      <c r="C7" s="4">
        <v>30940</v>
      </c>
      <c r="D7" s="4"/>
      <c r="E7" s="15">
        <v>4</v>
      </c>
      <c r="F7" s="4" t="s">
        <v>336</v>
      </c>
      <c r="G7" s="4">
        <v>100000</v>
      </c>
    </row>
    <row r="8" spans="1:31">
      <c r="A8" s="15">
        <v>5</v>
      </c>
      <c r="B8" s="4" t="s">
        <v>8</v>
      </c>
      <c r="C8" s="4">
        <v>16700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1229</v>
      </c>
      <c r="C9" s="4">
        <v>65000</v>
      </c>
      <c r="D9" s="4"/>
      <c r="E9" s="15">
        <v>6</v>
      </c>
      <c r="F9" s="4" t="s">
        <v>941</v>
      </c>
      <c r="G9" s="4">
        <v>260</v>
      </c>
      <c r="K9" s="1">
        <v>80</v>
      </c>
    </row>
    <row r="10" spans="1:31">
      <c r="A10" s="15">
        <v>7</v>
      </c>
      <c r="B10" s="4" t="s">
        <v>1207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1217</v>
      </c>
      <c r="C11" s="4">
        <v>31000</v>
      </c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>
        <v>23000</v>
      </c>
      <c r="D12" s="4"/>
      <c r="E12" s="15">
        <v>9</v>
      </c>
      <c r="F12" s="6" t="s">
        <v>27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>
        <v>70000</v>
      </c>
      <c r="D13" s="4"/>
      <c r="E13" s="15">
        <v>10</v>
      </c>
      <c r="F13" s="6" t="s">
        <v>1226</v>
      </c>
      <c r="G13" s="4">
        <v>1200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>
        <v>30000</v>
      </c>
      <c r="D14" s="4"/>
      <c r="E14" s="15">
        <v>11</v>
      </c>
      <c r="F14" s="12" t="s">
        <v>1225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13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547</v>
      </c>
      <c r="C17" s="4"/>
      <c r="D17" s="4"/>
      <c r="E17" s="15">
        <v>14</v>
      </c>
      <c r="F17" s="4" t="s">
        <v>1222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299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1268260</v>
      </c>
      <c r="D22" s="5"/>
      <c r="E22" s="5"/>
      <c r="F22" s="5"/>
      <c r="G22" s="5">
        <f>SUM(G4:G21)</f>
        <v>1263460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4800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5000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F19A-946D-4A19-8C68-3C595D8D9DC4}">
  <dimension ref="A1:AE41"/>
  <sheetViews>
    <sheetView zoomScale="145" zoomScaleNormal="145" workbookViewId="0">
      <selection activeCell="E22" sqref="E2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1231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216720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19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6" t="s">
        <v>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1228</v>
      </c>
      <c r="C7" s="4"/>
      <c r="D7" s="4"/>
      <c r="E7" s="15">
        <v>4</v>
      </c>
      <c r="F7" s="4" t="s">
        <v>336</v>
      </c>
      <c r="G7" s="4">
        <v>220000</v>
      </c>
    </row>
    <row r="8" spans="1:31">
      <c r="A8" s="15">
        <v>5</v>
      </c>
      <c r="B8" s="4" t="s">
        <v>8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1229</v>
      </c>
      <c r="C9" s="4"/>
      <c r="D9" s="4"/>
      <c r="E9" s="15">
        <v>6</v>
      </c>
      <c r="F9" s="4" t="s">
        <v>941</v>
      </c>
      <c r="G9" s="4">
        <v>220</v>
      </c>
      <c r="K9" s="1">
        <v>80</v>
      </c>
    </row>
    <row r="10" spans="1:31">
      <c r="A10" s="15">
        <v>7</v>
      </c>
      <c r="B10" s="4" t="s">
        <v>1207</v>
      </c>
      <c r="C10" s="4"/>
      <c r="D10" s="4"/>
      <c r="E10" s="15">
        <v>7</v>
      </c>
      <c r="F10" s="6" t="s">
        <v>44</v>
      </c>
      <c r="G10" s="4">
        <v>600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1217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189</v>
      </c>
      <c r="G12" s="4">
        <v>14000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>
        <v>38500</v>
      </c>
      <c r="D13" s="4"/>
      <c r="E13" s="15">
        <v>10</v>
      </c>
      <c r="F13" s="6" t="s">
        <v>435</v>
      </c>
      <c r="G13" s="4">
        <v>100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>
        <v>15000</v>
      </c>
      <c r="D14" s="4"/>
      <c r="E14" s="15">
        <v>11</v>
      </c>
      <c r="F14" s="12" t="s">
        <v>1225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561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13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6" t="s">
        <v>547</v>
      </c>
      <c r="C17" s="4"/>
      <c r="D17" s="4"/>
      <c r="E17" s="15">
        <v>14</v>
      </c>
      <c r="F17" s="4" t="s">
        <v>1222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299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5000</v>
      </c>
      <c r="D20" s="4"/>
      <c r="E20" s="15">
        <v>17</v>
      </c>
      <c r="F20" s="4" t="s">
        <v>961</v>
      </c>
      <c r="G20" s="4">
        <v>36000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275220</v>
      </c>
      <c r="D22" s="5"/>
      <c r="E22" s="5"/>
      <c r="F22" s="5"/>
      <c r="G22" s="5">
        <f>SUM(G4:G21)</f>
        <v>270920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4300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36000</v>
      </c>
    </row>
    <row r="37" spans="1:14" ht="17.25">
      <c r="B37" s="30" t="s">
        <v>1097</v>
      </c>
      <c r="C37" s="29">
        <f>SUM(C32:C36)</f>
        <v>36000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99E0-417C-4FC0-89EA-9B54F096FF39}">
  <dimension ref="A1:AE41"/>
  <sheetViews>
    <sheetView topLeftCell="A25" zoomScale="145" zoomScaleNormal="145" workbookViewId="0">
      <selection activeCell="I15" sqref="I1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1232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597630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19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6" t="s">
        <v>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1228</v>
      </c>
      <c r="C7" s="4"/>
      <c r="D7" s="4"/>
      <c r="E7" s="15">
        <v>4</v>
      </c>
      <c r="F7" s="4" t="s">
        <v>336</v>
      </c>
      <c r="G7" s="4">
        <v>150000</v>
      </c>
    </row>
    <row r="8" spans="1:31">
      <c r="A8" s="15">
        <v>5</v>
      </c>
      <c r="B8" s="4" t="s">
        <v>8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1229</v>
      </c>
      <c r="C9" s="4"/>
      <c r="D9" s="4"/>
      <c r="E9" s="15">
        <v>6</v>
      </c>
      <c r="F9" s="4" t="s">
        <v>941</v>
      </c>
      <c r="G9" s="4">
        <v>350</v>
      </c>
      <c r="K9" s="1">
        <v>80</v>
      </c>
    </row>
    <row r="10" spans="1:31">
      <c r="A10" s="15">
        <v>7</v>
      </c>
      <c r="B10" s="4" t="s">
        <v>1076</v>
      </c>
      <c r="C10" s="4">
        <v>14500</v>
      </c>
      <c r="D10" s="4"/>
      <c r="E10" s="15">
        <v>7</v>
      </c>
      <c r="F10" s="6" t="s">
        <v>44</v>
      </c>
      <c r="G10" s="4">
        <v>850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1217</v>
      </c>
      <c r="C11" s="4">
        <v>35000</v>
      </c>
      <c r="D11" s="4"/>
      <c r="E11" s="15">
        <v>8</v>
      </c>
      <c r="F11" s="6" t="s">
        <v>1189</v>
      </c>
      <c r="G11" s="4">
        <v>600000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>
        <v>25000</v>
      </c>
      <c r="D12" s="4"/>
      <c r="E12" s="15">
        <v>9</v>
      </c>
      <c r="F12" s="6" t="s">
        <v>1234</v>
      </c>
      <c r="G12" s="4">
        <v>1450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>
        <v>53000</v>
      </c>
      <c r="D13" s="4"/>
      <c r="E13" s="15">
        <v>10</v>
      </c>
      <c r="F13" s="6" t="s">
        <v>937</v>
      </c>
      <c r="G13" s="4">
        <v>18000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>
        <v>31500</v>
      </c>
      <c r="D14" s="4"/>
      <c r="E14" s="15">
        <v>11</v>
      </c>
      <c r="F14" s="12" t="s">
        <v>1235</v>
      </c>
      <c r="G14" s="4">
        <v>520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>
        <v>17000</v>
      </c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127</v>
      </c>
      <c r="C16" s="4">
        <v>17000</v>
      </c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>
        <v>20000</v>
      </c>
      <c r="D17" s="4"/>
      <c r="E17" s="15">
        <v>14</v>
      </c>
      <c r="F17" s="4" t="s">
        <v>1222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>
        <v>19900</v>
      </c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>
        <v>50000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15000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36000</v>
      </c>
      <c r="D21" s="4"/>
      <c r="E21" s="15">
        <v>18</v>
      </c>
      <c r="F21" s="4" t="s">
        <v>1088</v>
      </c>
      <c r="G21" s="4">
        <v>30000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866530</v>
      </c>
      <c r="D22" s="5"/>
      <c r="E22" s="5"/>
      <c r="F22" s="5"/>
      <c r="G22" s="5">
        <f>SUM(G4:G21)</f>
        <v>866270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260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30000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15000</v>
      </c>
    </row>
    <row r="37" spans="1:14" ht="17.25">
      <c r="B37" s="30" t="s">
        <v>1097</v>
      </c>
      <c r="C37" s="29">
        <f>SUM(C32:C36)</f>
        <v>95000</v>
      </c>
      <c r="N37" s="1">
        <f>SUM(N32:N35)</f>
        <v>3546</v>
      </c>
    </row>
    <row r="38" spans="1:14">
      <c r="B38" s="10"/>
    </row>
    <row r="39" spans="1:14">
      <c r="B39" s="10"/>
      <c r="C39" s="1" t="s">
        <v>78</v>
      </c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O34"/>
  <sheetViews>
    <sheetView zoomScale="145" zoomScaleNormal="145" workbookViewId="0">
      <selection activeCell="G21" sqref="G21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160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311100</v>
      </c>
      <c r="D4" s="4"/>
      <c r="E4" s="4">
        <v>1</v>
      </c>
      <c r="F4" s="4" t="s">
        <v>5</v>
      </c>
      <c r="G4" s="4">
        <v>200000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101283</v>
      </c>
      <c r="D6" s="4"/>
      <c r="E6" s="4">
        <v>3</v>
      </c>
      <c r="F6" s="4" t="s">
        <v>38</v>
      </c>
      <c r="G6" s="4">
        <v>125000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>
        <v>205</v>
      </c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159</v>
      </c>
      <c r="G11" s="4"/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151</v>
      </c>
      <c r="G12" s="4"/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112</v>
      </c>
      <c r="G13" s="4"/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70501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412383</v>
      </c>
      <c r="D19" s="5"/>
      <c r="E19" s="5"/>
      <c r="F19" s="5"/>
      <c r="G19" s="5">
        <f>SUM(G4:G18)</f>
        <v>396176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16207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92FF-C4B6-4DFB-ACD4-865447D3E7CE}">
  <dimension ref="A1:AE41"/>
  <sheetViews>
    <sheetView topLeftCell="A22" zoomScale="145" zoomScaleNormal="145" workbookViewId="0">
      <selection activeCell="F16" sqref="F1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1236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>
        <v>72000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19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6" t="s">
        <v>7</v>
      </c>
      <c r="C6" s="4">
        <v>50000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1228</v>
      </c>
      <c r="C7" s="4"/>
      <c r="D7" s="4"/>
      <c r="E7" s="15">
        <v>4</v>
      </c>
      <c r="F7" s="4" t="s">
        <v>336</v>
      </c>
      <c r="G7" s="4">
        <v>175000</v>
      </c>
    </row>
    <row r="8" spans="1:31">
      <c r="A8" s="15">
        <v>5</v>
      </c>
      <c r="B8" s="4" t="s">
        <v>8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1229</v>
      </c>
      <c r="C9" s="4"/>
      <c r="D9" s="4"/>
      <c r="E9" s="15">
        <v>6</v>
      </c>
      <c r="F9" s="4" t="s">
        <v>941</v>
      </c>
      <c r="G9" s="4">
        <v>350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375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1217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>
        <v>21500</v>
      </c>
      <c r="D12" s="4"/>
      <c r="E12" s="15">
        <v>9</v>
      </c>
      <c r="F12" s="6" t="s">
        <v>82</v>
      </c>
      <c r="G12" s="4">
        <v>430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>
        <v>62000</v>
      </c>
      <c r="D13" s="4"/>
      <c r="E13" s="15">
        <v>10</v>
      </c>
      <c r="F13" s="6" t="s">
        <v>1237</v>
      </c>
      <c r="G13" s="4">
        <v>2600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>
        <v>41500</v>
      </c>
      <c r="D14" s="4"/>
      <c r="E14" s="15">
        <v>11</v>
      </c>
      <c r="F14" s="12" t="s">
        <v>1238</v>
      </c>
      <c r="G14" s="4">
        <v>190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>
        <v>38000</v>
      </c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>
        <v>41000</v>
      </c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>
        <v>15000</v>
      </c>
      <c r="D17" s="4"/>
      <c r="E17" s="15">
        <v>14</v>
      </c>
      <c r="F17" s="4" t="s">
        <v>1222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1181</v>
      </c>
      <c r="G18" s="4"/>
    </row>
    <row r="19" spans="1:17">
      <c r="A19" s="15">
        <v>16</v>
      </c>
      <c r="B19" s="6" t="s">
        <v>1092</v>
      </c>
      <c r="C19" s="4">
        <v>50000</v>
      </c>
      <c r="D19" s="4"/>
      <c r="E19" s="15">
        <v>16</v>
      </c>
      <c r="F19" s="6" t="s">
        <v>1085</v>
      </c>
      <c r="G19" s="4">
        <v>20000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20000</v>
      </c>
      <c r="D20" s="4"/>
      <c r="E20" s="15">
        <v>17</v>
      </c>
      <c r="F20" s="4" t="s">
        <v>961</v>
      </c>
      <c r="G20" s="4">
        <v>25000</v>
      </c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15000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426000</v>
      </c>
      <c r="D22" s="5"/>
      <c r="E22" s="5"/>
      <c r="F22" s="5"/>
      <c r="G22" s="5">
        <f>SUM(G4:G21)</f>
        <v>423945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2055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20000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>
        <v>25000</v>
      </c>
    </row>
    <row r="37" spans="1:14" ht="17.25">
      <c r="B37" s="30" t="s">
        <v>1097</v>
      </c>
      <c r="C37" s="29">
        <f>SUM(C32:C36)</f>
        <v>55000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38A9-DE59-416B-8737-88EDFF24CAED}">
  <dimension ref="A1:AE41"/>
  <sheetViews>
    <sheetView topLeftCell="A13" zoomScale="145" zoomScaleNormal="145" workbookViewId="0">
      <selection activeCell="C24" sqref="C24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1239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4</v>
      </c>
      <c r="C4" s="4"/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707279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6" t="s">
        <v>1241</v>
      </c>
      <c r="C6" s="4">
        <v>101549</v>
      </c>
      <c r="D6" s="4"/>
      <c r="E6" s="15">
        <v>3</v>
      </c>
      <c r="F6" s="4" t="s">
        <v>813</v>
      </c>
      <c r="G6" s="4">
        <v>350000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1242</v>
      </c>
      <c r="C7" s="4">
        <v>68900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1244</v>
      </c>
      <c r="C8" s="4">
        <v>177500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1229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1217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1243</v>
      </c>
      <c r="G12" s="4">
        <v>622990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1237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27</v>
      </c>
      <c r="G14" s="4">
        <v>10000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>
        <v>15810</v>
      </c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55922</v>
      </c>
    </row>
    <row r="19" spans="1:17">
      <c r="A19" s="15">
        <v>16</v>
      </c>
      <c r="B19" s="6" t="s">
        <v>1092</v>
      </c>
      <c r="C19" s="4">
        <v>20000</v>
      </c>
      <c r="D19" s="4"/>
      <c r="E19" s="15">
        <v>16</v>
      </c>
      <c r="F19" s="6" t="s">
        <v>1085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25000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1100228</v>
      </c>
      <c r="D22" s="5"/>
      <c r="E22" s="5"/>
      <c r="F22" s="5"/>
      <c r="G22" s="5">
        <f>SUM(G4:G21)</f>
        <v>1055072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45156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10000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EFB9-45B9-4BFC-9928-B0060E180B42}">
  <dimension ref="A1:AE41"/>
  <sheetViews>
    <sheetView zoomScale="145" zoomScaleNormal="145" workbookViewId="0">
      <selection activeCell="B12" sqref="B1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1246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1249</v>
      </c>
      <c r="C4" s="4">
        <v>270650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1240</v>
      </c>
      <c r="C5" s="4">
        <v>55922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1250</v>
      </c>
      <c r="C6" s="4">
        <v>15810</v>
      </c>
      <c r="D6" s="4"/>
      <c r="E6" s="15">
        <v>3</v>
      </c>
      <c r="F6" s="4" t="s">
        <v>813</v>
      </c>
      <c r="G6" s="4">
        <v>100000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1251</v>
      </c>
      <c r="C7" s="4">
        <v>45156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1252</v>
      </c>
      <c r="C8" s="4">
        <v>100000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>
        <v>31800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1076</v>
      </c>
      <c r="C10" s="4"/>
      <c r="D10" s="4"/>
      <c r="E10" s="15">
        <v>7</v>
      </c>
      <c r="F10" s="6" t="s">
        <v>44</v>
      </c>
      <c r="G10" s="4">
        <v>300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1217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/>
      <c r="C12" s="4"/>
      <c r="D12" s="4"/>
      <c r="E12" s="15">
        <v>9</v>
      </c>
      <c r="F12" s="6" t="s">
        <v>374</v>
      </c>
      <c r="G12" s="4">
        <v>5000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>
        <v>30500</v>
      </c>
      <c r="D13" s="4"/>
      <c r="E13" s="15">
        <v>10</v>
      </c>
      <c r="F13" s="6" t="s">
        <v>1247</v>
      </c>
      <c r="G13" s="4">
        <v>17000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1248</v>
      </c>
      <c r="G14" s="4">
        <v>108400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28030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10000</v>
      </c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559838</v>
      </c>
      <c r="D22" s="5"/>
      <c r="E22" s="5"/>
      <c r="F22" s="5"/>
      <c r="G22" s="5">
        <f>SUM(G4:G21)</f>
        <v>559080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758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FA9F-CA01-4DA3-AF32-70EB46578824}">
  <dimension ref="A1:AE41"/>
  <sheetViews>
    <sheetView topLeftCell="A4" zoomScale="145" zoomScaleNormal="145" workbookViewId="0">
      <selection activeCell="C35" sqref="C3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1254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748100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1240</v>
      </c>
      <c r="C5" s="4">
        <v>136768</v>
      </c>
      <c r="D5" s="4"/>
      <c r="E5" s="15">
        <v>2</v>
      </c>
      <c r="F5" s="4" t="s">
        <v>5</v>
      </c>
      <c r="G5" s="4">
        <v>600000</v>
      </c>
      <c r="K5" s="1">
        <f>103+85+160</f>
        <v>348</v>
      </c>
    </row>
    <row r="6" spans="1:31">
      <c r="A6" s="15">
        <v>3</v>
      </c>
      <c r="B6" s="4" t="s">
        <v>1257</v>
      </c>
      <c r="C6" s="4">
        <v>132000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1251</v>
      </c>
      <c r="C7" s="4"/>
      <c r="D7" s="4"/>
      <c r="E7" s="15">
        <v>4</v>
      </c>
      <c r="F7" s="4" t="s">
        <v>336</v>
      </c>
      <c r="G7" s="4">
        <v>170000</v>
      </c>
    </row>
    <row r="8" spans="1:31">
      <c r="A8" s="15">
        <v>5</v>
      </c>
      <c r="B8" s="4" t="s">
        <v>124</v>
      </c>
      <c r="C8" s="4">
        <v>87160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>
        <v>80700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8</v>
      </c>
      <c r="C10" s="4">
        <v>35500</v>
      </c>
      <c r="D10" s="4"/>
      <c r="E10" s="15">
        <v>7</v>
      </c>
      <c r="F10" s="6" t="s">
        <v>44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>
        <v>50000</v>
      </c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/>
      <c r="C12" s="4"/>
      <c r="D12" s="4"/>
      <c r="E12" s="15">
        <v>9</v>
      </c>
      <c r="F12" s="6" t="s">
        <v>374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1256</v>
      </c>
      <c r="G13" s="4">
        <v>30000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363</v>
      </c>
      <c r="G14" s="4">
        <v>50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88239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>
        <v>132000</v>
      </c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>
        <v>20000</v>
      </c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1270228</v>
      </c>
      <c r="D22" s="5"/>
      <c r="E22" s="5"/>
      <c r="F22" s="5"/>
      <c r="G22" s="5">
        <f>SUM(G4:G21)</f>
        <v>1240789</v>
      </c>
      <c r="J22" s="1">
        <f>44-21</f>
        <v>23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29439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20000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132000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152000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9A86-57CC-42EF-A849-7C4196995892}">
  <dimension ref="A1:AE41"/>
  <sheetViews>
    <sheetView zoomScale="145" zoomScaleNormal="145" workbookViewId="0">
      <selection activeCell="J23" sqref="J2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1258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530000</v>
      </c>
      <c r="D4" s="4"/>
      <c r="E4" s="15">
        <v>1</v>
      </c>
      <c r="F4" s="4" t="s">
        <v>5</v>
      </c>
      <c r="G4" s="4">
        <v>506000</v>
      </c>
    </row>
    <row r="5" spans="1:31">
      <c r="A5" s="15">
        <v>2</v>
      </c>
      <c r="B5" s="4" t="s">
        <v>1240</v>
      </c>
      <c r="C5" s="4">
        <v>88239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81300</v>
      </c>
      <c r="D7" s="4"/>
      <c r="E7" s="15">
        <v>4</v>
      </c>
      <c r="F7" s="4" t="s">
        <v>336</v>
      </c>
      <c r="G7" s="4">
        <v>175000</v>
      </c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526</v>
      </c>
      <c r="C10" s="4">
        <v>40000</v>
      </c>
      <c r="D10" s="4"/>
      <c r="E10" s="15">
        <v>7</v>
      </c>
      <c r="F10" s="6" t="s">
        <v>44</v>
      </c>
      <c r="G10" s="4">
        <v>260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>
        <v>13800</v>
      </c>
      <c r="D12" s="4"/>
      <c r="E12" s="15">
        <v>9</v>
      </c>
      <c r="F12" s="6" t="s">
        <v>374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>
        <v>78500</v>
      </c>
      <c r="D13" s="4"/>
      <c r="E13" s="15">
        <v>10</v>
      </c>
      <c r="F13" s="6" t="s">
        <v>311</v>
      </c>
      <c r="G13" s="4">
        <v>206000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1259</v>
      </c>
      <c r="G14" s="4">
        <v>12870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70827</v>
      </c>
    </row>
    <row r="19" spans="1:17">
      <c r="A19" s="15">
        <v>16</v>
      </c>
      <c r="B19" s="6" t="s">
        <v>1092</v>
      </c>
      <c r="C19" s="4">
        <v>132000</v>
      </c>
      <c r="D19" s="4"/>
      <c r="E19" s="15">
        <v>16</v>
      </c>
      <c r="F19" s="6" t="s">
        <v>1085</v>
      </c>
      <c r="G19" s="4"/>
      <c r="J19" s="1">
        <f>6280+25000+30000+20860+9632+10000</f>
        <v>101772</v>
      </c>
    </row>
    <row r="20" spans="1:17">
      <c r="A20" s="15">
        <v>17</v>
      </c>
      <c r="B20" s="4" t="s">
        <v>1094</v>
      </c>
      <c r="C20" s="4">
        <v>10000</v>
      </c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175+30</f>
        <v>205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973839</v>
      </c>
      <c r="D22" s="5"/>
      <c r="E22" s="5"/>
      <c r="F22" s="5"/>
      <c r="G22" s="5">
        <f>SUM(G4:G21)</f>
        <v>971207</v>
      </c>
      <c r="J22" s="1">
        <f>40+175</f>
        <v>215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2632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10000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75AE-1FC7-4DAB-AA12-DDD699FC3C25}">
  <dimension ref="A1:AE41"/>
  <sheetViews>
    <sheetView zoomScale="145" zoomScaleNormal="145" workbookViewId="0">
      <selection activeCell="G7" sqref="G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1261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121800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70827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110000</v>
      </c>
      <c r="I7" s="1">
        <f>110+30</f>
        <v>140</v>
      </c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/>
      <c r="I8" s="1">
        <f>110+20</f>
        <v>130</v>
      </c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190</v>
      </c>
      <c r="I9" s="1">
        <f>130+180+489</f>
        <v>799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>
        <v>240</v>
      </c>
      <c r="I10" s="1">
        <f>799-543-142</f>
        <v>114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27</v>
      </c>
      <c r="G12" s="4">
        <v>5000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1260</v>
      </c>
      <c r="G13" s="4">
        <v>20000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204</v>
      </c>
      <c r="G14" s="4">
        <v>120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46827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J19" s="1">
        <f>6280+25000+30000+20860+9632+10000</f>
        <v>101772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192627</v>
      </c>
      <c r="D22" s="5"/>
      <c r="E22" s="5"/>
      <c r="F22" s="5"/>
      <c r="G22" s="5">
        <f>SUM(G4:G21)</f>
        <v>182377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10250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>
        <v>10000</v>
      </c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10000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43BF-DC42-4A30-BE47-79F87ABBDF23}">
  <dimension ref="A1:AE41"/>
  <sheetViews>
    <sheetView zoomScale="145" zoomScaleNormal="145" workbookViewId="0">
      <selection activeCell="H23" sqref="H2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1262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273700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1240</v>
      </c>
      <c r="C5" s="4">
        <v>65709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60000</v>
      </c>
      <c r="D7" s="4"/>
      <c r="E7" s="15">
        <v>4</v>
      </c>
      <c r="F7" s="4" t="s">
        <v>336</v>
      </c>
      <c r="G7" s="4">
        <v>180000</v>
      </c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>
        <v>50000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>
        <v>120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27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41</v>
      </c>
      <c r="G13" s="4">
        <v>5010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133</v>
      </c>
      <c r="G14" s="4">
        <v>18000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46179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M19" s="1">
        <f>480/17</f>
        <v>28.235294117647058</v>
      </c>
    </row>
    <row r="20" spans="1:17">
      <c r="A20" s="15">
        <v>17</v>
      </c>
      <c r="B20" s="4" t="s">
        <v>1094</v>
      </c>
      <c r="C20" s="4">
        <v>10000</v>
      </c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459409</v>
      </c>
      <c r="D22" s="5"/>
      <c r="E22" s="5"/>
      <c r="F22" s="5"/>
      <c r="G22" s="5">
        <f>SUM(G4:G21)</f>
        <v>449559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9850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8C29-DBF4-45A9-B71C-E546F88C45AA}">
  <dimension ref="A1:AE41"/>
  <sheetViews>
    <sheetView zoomScale="145" zoomScaleNormal="145" workbookViewId="0">
      <selection activeCell="F28" sqref="F28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1263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520500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1240</v>
      </c>
      <c r="C5" s="4">
        <v>153855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>
        <v>280000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>
        <v>16980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>
        <v>630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1264</v>
      </c>
      <c r="G12" s="4">
        <v>65000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483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71</v>
      </c>
      <c r="G14" s="4">
        <v>7000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123161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691335</v>
      </c>
      <c r="D22" s="5"/>
      <c r="E22" s="5"/>
      <c r="F22" s="5"/>
      <c r="G22" s="5">
        <f>SUM(G4:G21)</f>
        <v>678191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13144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F5B7-BC8B-4F0F-BD65-3C2A96A90293}">
  <dimension ref="A1:AE41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1265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83500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154846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120000</v>
      </c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280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>
        <v>630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1189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1264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1142</v>
      </c>
      <c r="G13" s="4">
        <v>16500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435</v>
      </c>
      <c r="G14" s="4">
        <v>70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>
        <v>22000</v>
      </c>
      <c r="D18" s="4"/>
      <c r="E18" s="15">
        <v>15</v>
      </c>
      <c r="F18" s="4" t="s">
        <v>1245</v>
      </c>
      <c r="G18" s="4">
        <v>120513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260346</v>
      </c>
      <c r="D22" s="5"/>
      <c r="E22" s="5"/>
      <c r="F22" s="5"/>
      <c r="G22" s="5">
        <f>SUM(G4:G21)</f>
        <v>257993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2353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59F5-0B9C-491B-8153-B341218A176F}">
  <dimension ref="A1:AE41"/>
  <sheetViews>
    <sheetView zoomScale="145" zoomScaleNormal="145" workbookViewId="0">
      <selection activeCell="C8" sqref="C8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1266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302500</v>
      </c>
      <c r="D4" s="4"/>
      <c r="E4" s="15">
        <v>1</v>
      </c>
      <c r="F4" s="4" t="s">
        <v>5</v>
      </c>
      <c r="G4" s="4">
        <v>400000</v>
      </c>
    </row>
    <row r="5" spans="1:31">
      <c r="A5" s="15">
        <v>2</v>
      </c>
      <c r="B5" s="4" t="s">
        <v>1240</v>
      </c>
      <c r="C5" s="4">
        <v>156131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>
        <v>130000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176000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269</v>
      </c>
      <c r="G11" s="4">
        <v>500</v>
      </c>
      <c r="I11" s="1">
        <v>183160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1264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1142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435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72814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634631</v>
      </c>
      <c r="D22" s="5"/>
      <c r="E22" s="5"/>
      <c r="F22" s="5"/>
      <c r="G22" s="5">
        <f>SUM(G4:G21)</f>
        <v>603664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30967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O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161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187500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89838</v>
      </c>
      <c r="D6" s="4"/>
      <c r="E6" s="4">
        <v>3</v>
      </c>
      <c r="F6" s="4" t="s">
        <v>38</v>
      </c>
      <c r="G6" s="4">
        <v>175000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>
        <v>200</v>
      </c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162</v>
      </c>
      <c r="G11" s="4">
        <v>100</v>
      </c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163</v>
      </c>
      <c r="G12" s="4">
        <v>4800</v>
      </c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112</v>
      </c>
      <c r="G13" s="4"/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80778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277338</v>
      </c>
      <c r="D19" s="5"/>
      <c r="E19" s="5"/>
      <c r="F19" s="5"/>
      <c r="G19" s="5">
        <f>SUM(G4:G18)</f>
        <v>261228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K21" s="1">
        <v>2000</v>
      </c>
    </row>
    <row r="22" spans="1:15">
      <c r="A22" s="5"/>
      <c r="B22" s="5" t="s">
        <v>12</v>
      </c>
      <c r="C22" s="5">
        <f>C19-G19</f>
        <v>16110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74B7-4403-4ECE-8796-3FF12C9A2A7A}">
  <dimension ref="A1:AE41"/>
  <sheetViews>
    <sheetView topLeftCell="A4" zoomScale="145" zoomScaleNormal="145" workbookViewId="0">
      <selection activeCell="G20" sqref="G2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1266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107000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86931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130000</v>
      </c>
    </row>
    <row r="8" spans="1:31">
      <c r="A8" s="15">
        <v>5</v>
      </c>
      <c r="B8" s="4" t="s">
        <v>392</v>
      </c>
      <c r="C8" s="4">
        <v>400000</v>
      </c>
      <c r="D8" s="4"/>
      <c r="E8" s="15">
        <v>5</v>
      </c>
      <c r="F8" s="4" t="s">
        <v>10</v>
      </c>
      <c r="G8" s="4">
        <v>200</v>
      </c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>
        <v>700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1267</v>
      </c>
      <c r="G11" s="4">
        <v>300000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1268</v>
      </c>
      <c r="G12" s="4">
        <v>900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1142</v>
      </c>
      <c r="G13" s="4">
        <v>16500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435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65195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593931</v>
      </c>
      <c r="D22" s="5"/>
      <c r="E22" s="5"/>
      <c r="F22" s="5"/>
      <c r="G22" s="5">
        <f>SUM(G4:G21)</f>
        <v>513745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80186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0468-05A6-48A8-AC5D-8F42C3D152BE}">
  <dimension ref="A1:AE41"/>
  <sheetViews>
    <sheetView topLeftCell="A16" zoomScale="145" zoomScaleNormal="145" workbookViewId="0">
      <selection activeCell="C35" sqref="C3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1269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412000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1240</v>
      </c>
      <c r="C5" s="4">
        <v>65195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100000</v>
      </c>
    </row>
    <row r="8" spans="1:31">
      <c r="A8" s="15">
        <v>5</v>
      </c>
      <c r="B8" s="4" t="s">
        <v>392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>
        <v>50000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>
        <v>170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1267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1268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186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435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>
        <v>5500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>
        <v>3000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35577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>
        <v>42000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527195</v>
      </c>
      <c r="D22" s="5"/>
      <c r="E22" s="5"/>
      <c r="F22" s="5"/>
      <c r="G22" s="5">
        <f>SUM(G4:G21)</f>
        <v>488497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38698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42000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42000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F6B4-6DE8-46F0-9073-0191A64DB5CD}">
  <dimension ref="A1:AE41"/>
  <sheetViews>
    <sheetView topLeftCell="A19" zoomScale="145" zoomScaleNormal="145" workbookViewId="0">
      <selection activeCell="G1" sqref="G1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1270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44000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392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150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>
        <v>350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1267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1268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186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435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44000</v>
      </c>
      <c r="D22" s="5"/>
      <c r="E22" s="5"/>
      <c r="F22" s="5"/>
      <c r="G22" s="5">
        <f>SUM(G4:G21)</f>
        <v>500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43500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978C-19F8-4055-8C9C-C928B506B5CB}">
  <dimension ref="A1:AE41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1271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836550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77577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>
        <v>260000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392</v>
      </c>
      <c r="C8" s="4"/>
      <c r="D8" s="4"/>
      <c r="E8" s="15">
        <v>5</v>
      </c>
      <c r="F8" s="4" t="s">
        <v>10</v>
      </c>
      <c r="G8" s="4">
        <v>200</v>
      </c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1272</v>
      </c>
      <c r="G11" s="4">
        <v>500000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93</v>
      </c>
      <c r="G12" s="4">
        <v>1500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1187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133</v>
      </c>
      <c r="G14" s="4">
        <v>700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360</v>
      </c>
      <c r="G15" s="4">
        <v>9000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35577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>
        <v>50000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914127</v>
      </c>
      <c r="D22" s="5"/>
      <c r="E22" s="5"/>
      <c r="F22" s="5"/>
      <c r="G22" s="5">
        <f>SUM(G4:G21)</f>
        <v>862277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51850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7709-68C9-4FB2-9AC5-C3764E3DCB76}">
  <dimension ref="A1:AE41"/>
  <sheetViews>
    <sheetView zoomScale="145" zoomScaleNormal="145" workbookViewId="0">
      <selection activeCell="G1" sqref="G1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1273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488700</v>
      </c>
      <c r="D4" s="4"/>
      <c r="E4" s="15">
        <v>1</v>
      </c>
      <c r="F4" s="4" t="s">
        <v>5</v>
      </c>
      <c r="G4" s="4">
        <v>500000</v>
      </c>
    </row>
    <row r="5" spans="1:31">
      <c r="A5" s="15">
        <v>2</v>
      </c>
      <c r="B5" s="4" t="s">
        <v>1240</v>
      </c>
      <c r="C5" s="4">
        <v>85577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>
        <v>150000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8</v>
      </c>
      <c r="C8" s="4">
        <v>150000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>
        <v>51800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1272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41</v>
      </c>
      <c r="G12" s="4">
        <v>3350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117</v>
      </c>
      <c r="G13" s="4">
        <v>440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133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360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f>50000+9000+14117</f>
        <v>73117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776077</v>
      </c>
      <c r="D22" s="5"/>
      <c r="E22" s="5"/>
      <c r="F22" s="5"/>
      <c r="G22" s="5">
        <f>SUM(G4:G21)</f>
        <v>727557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48520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50000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50000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83F4-4F31-4C04-9A8C-4B4539856809}">
  <dimension ref="A1:AE41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1274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455600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1240</v>
      </c>
      <c r="C5" s="4">
        <v>166337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>
        <v>150000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8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1272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41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1275</v>
      </c>
      <c r="G13" s="4">
        <v>2500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133</v>
      </c>
      <c r="G14" s="4">
        <v>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238</v>
      </c>
      <c r="G15" s="4">
        <v>1000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1242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109537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>
        <v>30000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621937</v>
      </c>
      <c r="D22" s="5"/>
      <c r="E22" s="5"/>
      <c r="F22" s="5"/>
      <c r="G22" s="5">
        <f>SUM(G4:G21)</f>
        <v>593887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28050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30000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30000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1D88-3462-4AA2-8B8F-DF933C883F5E}">
  <dimension ref="A1:AE41"/>
  <sheetViews>
    <sheetView zoomScale="145" zoomScaleNormal="145" workbookViewId="0">
      <selection activeCell="C11" sqref="C11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1276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57400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f>78141+156633</f>
        <v>234774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1257</v>
      </c>
      <c r="C6" s="4"/>
      <c r="D6" s="4"/>
      <c r="E6" s="15">
        <v>3</v>
      </c>
      <c r="F6" s="4" t="s">
        <v>813</v>
      </c>
      <c r="G6" s="4">
        <v>130000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50240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8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340</v>
      </c>
      <c r="K9" s="1">
        <v>80</v>
      </c>
    </row>
    <row r="10" spans="1:31">
      <c r="A10" s="15">
        <v>7</v>
      </c>
      <c r="B10" s="4" t="s">
        <v>526</v>
      </c>
      <c r="C10" s="4"/>
      <c r="D10" s="4"/>
      <c r="E10" s="15">
        <v>7</v>
      </c>
      <c r="F10" s="6" t="s">
        <v>44</v>
      </c>
      <c r="G10" s="4">
        <v>390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1277</v>
      </c>
      <c r="G11" s="4">
        <v>400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1278</v>
      </c>
      <c r="G12" s="4">
        <v>700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1275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133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238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64457</v>
      </c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f>133225-25500</f>
        <v>107725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 t="s">
        <v>78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342414</v>
      </c>
      <c r="D22" s="5"/>
      <c r="E22" s="5"/>
      <c r="F22" s="5"/>
      <c r="G22" s="5">
        <f>SUM(G4:G21)</f>
        <v>304112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38302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>
        <v>30000</v>
      </c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30000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631B-9FBD-4425-A9B5-89E48EB60FD7}">
  <dimension ref="A1:AE41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1280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f>705000+178150</f>
        <v>883150</v>
      </c>
      <c r="D4" s="4"/>
      <c r="E4" s="15">
        <v>1</v>
      </c>
      <c r="F4" s="4" t="s">
        <v>5</v>
      </c>
      <c r="G4" s="4">
        <v>972000</v>
      </c>
    </row>
    <row r="5" spans="1:31">
      <c r="A5" s="15">
        <v>2</v>
      </c>
      <c r="B5" s="4" t="s">
        <v>1240</v>
      </c>
      <c r="C5" s="4">
        <f>107725+31973</f>
        <v>139698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>
        <v>64275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125000</v>
      </c>
    </row>
    <row r="8" spans="1:31">
      <c r="A8" s="15">
        <v>5</v>
      </c>
      <c r="B8" s="4" t="s">
        <v>156</v>
      </c>
      <c r="C8" s="4">
        <v>35000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>
        <v>50000</v>
      </c>
      <c r="D9" s="4"/>
      <c r="E9" s="15">
        <v>6</v>
      </c>
      <c r="F9" s="4" t="s">
        <v>941</v>
      </c>
      <c r="G9" s="4">
        <v>350</v>
      </c>
      <c r="K9" s="1">
        <v>80</v>
      </c>
    </row>
    <row r="10" spans="1:31">
      <c r="A10" s="15">
        <v>7</v>
      </c>
      <c r="B10" s="4" t="s">
        <v>1284</v>
      </c>
      <c r="C10" s="4">
        <v>100000</v>
      </c>
      <c r="D10" s="4"/>
      <c r="E10" s="15">
        <v>7</v>
      </c>
      <c r="F10" s="6" t="s">
        <v>44</v>
      </c>
      <c r="G10" s="4">
        <v>390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1283</v>
      </c>
      <c r="G11" s="4">
        <v>540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422</v>
      </c>
      <c r="G12" s="4">
        <v>24000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1275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1282</v>
      </c>
      <c r="G14" s="4">
        <v>50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238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39635</v>
      </c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51490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 t="s">
        <v>78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1272123</v>
      </c>
      <c r="D22" s="5"/>
      <c r="E22" s="5"/>
      <c r="F22" s="5"/>
      <c r="G22" s="5">
        <f>SUM(G4:G21)</f>
        <v>1213455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58668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3432-835C-4409-A646-0766009398A2}">
  <dimension ref="A1:AE41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1285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263699</v>
      </c>
      <c r="D4" s="4"/>
      <c r="E4" s="15">
        <v>1</v>
      </c>
      <c r="F4" s="4" t="s">
        <v>5</v>
      </c>
      <c r="G4" s="4">
        <v>3000</v>
      </c>
    </row>
    <row r="5" spans="1:31">
      <c r="A5" s="15">
        <v>2</v>
      </c>
      <c r="B5" s="4" t="s">
        <v>1240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250000</v>
      </c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350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>
        <v>240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1283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422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1282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364</v>
      </c>
      <c r="G15" s="4">
        <v>10000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1223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/>
      <c r="I17" s="1">
        <f>1+1+2+2</f>
        <v>6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 t="s">
        <v>78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I20" s="1">
        <v>35000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263699</v>
      </c>
      <c r="D22" s="5"/>
      <c r="E22" s="5"/>
      <c r="F22" s="5"/>
      <c r="G22" s="5">
        <f>SUM(G4:G21)</f>
        <v>263590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109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E434-7B1A-4BDB-9AD8-71AC5945AC08}">
  <dimension ref="A1:AE41"/>
  <sheetViews>
    <sheetView topLeftCell="A5" zoomScale="145" zoomScaleNormal="145" workbookViewId="0">
      <selection activeCell="G16" sqref="G1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1286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316400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1240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>
        <v>140842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150000</v>
      </c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>
        <v>28000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>
        <v>310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1288</v>
      </c>
      <c r="C11" s="4">
        <v>20000</v>
      </c>
      <c r="D11" s="4"/>
      <c r="E11" s="15">
        <v>8</v>
      </c>
      <c r="F11" s="6" t="s">
        <v>467</v>
      </c>
      <c r="G11" s="4">
        <v>100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238</v>
      </c>
      <c r="G12" s="4">
        <v>29000</v>
      </c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 t="s">
        <v>78</v>
      </c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>
        <v>400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364</v>
      </c>
      <c r="G15" s="4">
        <v>20000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>
        <v>18000</v>
      </c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f>89628-19540</f>
        <v>70088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505242</v>
      </c>
      <c r="D22" s="5"/>
      <c r="E22" s="5"/>
      <c r="F22" s="5"/>
      <c r="G22" s="5">
        <f>SUM(G4:G21)</f>
        <v>488198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17044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O34"/>
  <sheetViews>
    <sheetView zoomScale="145" zoomScaleNormal="145" workbookViewId="0">
      <selection activeCell="I8" sqref="I8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3" ht="17.25">
      <c r="B1" s="1" t="s">
        <v>21</v>
      </c>
      <c r="F1" s="2" t="s">
        <v>14</v>
      </c>
      <c r="G1" s="3" t="s">
        <v>164</v>
      </c>
    </row>
    <row r="3" spans="1:13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3">
      <c r="A4" s="4">
        <v>1</v>
      </c>
      <c r="B4" s="4" t="s">
        <v>4</v>
      </c>
      <c r="C4" s="4">
        <v>474100</v>
      </c>
      <c r="D4" s="4"/>
      <c r="E4" s="4">
        <v>1</v>
      </c>
      <c r="F4" s="4" t="s">
        <v>5</v>
      </c>
      <c r="G4" s="4">
        <v>250000</v>
      </c>
    </row>
    <row r="5" spans="1:13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130000</v>
      </c>
    </row>
    <row r="6" spans="1:13">
      <c r="A6" s="4">
        <v>3</v>
      </c>
      <c r="B6" s="4" t="s">
        <v>6</v>
      </c>
      <c r="C6" s="4">
        <f>15240+80778</f>
        <v>96018</v>
      </c>
      <c r="D6" s="4"/>
      <c r="E6" s="4">
        <v>3</v>
      </c>
      <c r="F6" s="4" t="s">
        <v>38</v>
      </c>
      <c r="G6" s="4">
        <v>240000</v>
      </c>
      <c r="I6" s="1">
        <v>161284</v>
      </c>
    </row>
    <row r="7" spans="1:13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315</v>
      </c>
    </row>
    <row r="8" spans="1:13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3">
      <c r="A9" s="4">
        <v>6</v>
      </c>
      <c r="B9" s="4" t="s">
        <v>19</v>
      </c>
      <c r="C9" s="4">
        <v>112000</v>
      </c>
      <c r="D9" s="4"/>
      <c r="E9" s="4">
        <v>6</v>
      </c>
      <c r="F9" s="4" t="s">
        <v>40</v>
      </c>
      <c r="G9" s="4">
        <v>67166</v>
      </c>
    </row>
    <row r="10" spans="1:13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>
        <v>265</v>
      </c>
    </row>
    <row r="11" spans="1:13">
      <c r="A11" s="4">
        <v>8</v>
      </c>
      <c r="B11" s="4" t="s">
        <v>7</v>
      </c>
      <c r="C11" s="4">
        <v>70000</v>
      </c>
      <c r="D11" s="4"/>
      <c r="E11" s="4">
        <v>8</v>
      </c>
      <c r="F11" s="4" t="s">
        <v>162</v>
      </c>
      <c r="G11" s="4"/>
    </row>
    <row r="12" spans="1:13">
      <c r="A12" s="4">
        <v>9</v>
      </c>
      <c r="B12" s="4" t="s">
        <v>8</v>
      </c>
      <c r="C12" s="4"/>
      <c r="D12" s="4"/>
      <c r="E12" s="4">
        <v>9</v>
      </c>
      <c r="F12" s="4" t="s">
        <v>163</v>
      </c>
      <c r="G12" s="4"/>
      <c r="K12" s="1">
        <f>27-33</f>
        <v>-6</v>
      </c>
    </row>
    <row r="13" spans="1:13">
      <c r="A13" s="4">
        <v>10</v>
      </c>
      <c r="B13" s="4" t="s">
        <v>131</v>
      </c>
      <c r="C13" s="4"/>
      <c r="D13" s="4"/>
      <c r="E13" s="4">
        <v>10</v>
      </c>
      <c r="F13" s="4" t="s">
        <v>112</v>
      </c>
      <c r="G13" s="4"/>
      <c r="K13" s="1">
        <f>591*13</f>
        <v>7683</v>
      </c>
    </row>
    <row r="14" spans="1:13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  <c r="M14" s="1">
        <f>152904+1864</f>
        <v>154768</v>
      </c>
    </row>
    <row r="15" spans="1:13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3">
      <c r="A16" s="4">
        <v>13</v>
      </c>
      <c r="B16" s="4"/>
      <c r="C16" s="4"/>
      <c r="D16" s="4"/>
      <c r="E16" s="4">
        <v>13</v>
      </c>
      <c r="F16" s="4" t="s">
        <v>135</v>
      </c>
      <c r="G16" s="4">
        <f>6240+4160+5952+6385+2000+17871</f>
        <v>42608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</row>
    <row r="19" spans="1:15">
      <c r="A19" s="5"/>
      <c r="B19" s="5"/>
      <c r="C19" s="5">
        <f>SUM(C4:C18)</f>
        <v>752118</v>
      </c>
      <c r="D19" s="5"/>
      <c r="E19" s="5"/>
      <c r="F19" s="5"/>
      <c r="G19" s="5">
        <f>SUM(G4:G18)</f>
        <v>730604</v>
      </c>
      <c r="K19" s="1">
        <v>13860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21514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0C59-2BB5-4314-A211-753178F081F5}">
  <dimension ref="A1:AE41"/>
  <sheetViews>
    <sheetView zoomScale="145" zoomScaleNormal="145" workbookViewId="0">
      <selection activeCell="B10" sqref="B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1289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80000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132304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110000</v>
      </c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200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1288</v>
      </c>
      <c r="C11" s="4"/>
      <c r="D11" s="4"/>
      <c r="E11" s="15">
        <v>8</v>
      </c>
      <c r="F11" s="6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238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364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100104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212304</v>
      </c>
      <c r="D22" s="5"/>
      <c r="E22" s="5"/>
      <c r="F22" s="5"/>
      <c r="G22" s="5">
        <f>SUM(G4:G21)</f>
        <v>210304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2000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DD28-5451-49E0-98EF-8AE455FEC441}">
  <dimension ref="A1:AE41"/>
  <sheetViews>
    <sheetView zoomScale="145" zoomScaleNormal="145" workbookViewId="0">
      <selection activeCell="G19" sqref="G19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1290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365000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1240</v>
      </c>
      <c r="C5" s="4">
        <v>139914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120000</v>
      </c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>
        <v>630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1288</v>
      </c>
      <c r="C11" s="4"/>
      <c r="D11" s="4"/>
      <c r="E11" s="15">
        <v>8</v>
      </c>
      <c r="F11" s="6" t="s">
        <v>467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238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364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42793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f>55522-13000</f>
        <v>42522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>
        <v>29000</v>
      </c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504914</v>
      </c>
      <c r="D22" s="5"/>
      <c r="E22" s="5"/>
      <c r="F22" s="5"/>
      <c r="G22" s="5">
        <f>SUM(G4:G21)</f>
        <v>435245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69669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FD52-1326-4318-8EF2-182D93C2774D}">
  <dimension ref="A1:AE41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1291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296000</v>
      </c>
      <c r="D4" s="4"/>
      <c r="E4" s="15">
        <v>1</v>
      </c>
      <c r="F4" s="4" t="s">
        <v>5</v>
      </c>
      <c r="G4" s="4">
        <v>250000</v>
      </c>
    </row>
    <row r="5" spans="1:31">
      <c r="A5" s="15">
        <v>2</v>
      </c>
      <c r="B5" s="4" t="s">
        <v>1240</v>
      </c>
      <c r="C5" s="4">
        <v>56370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>
        <v>42793</v>
      </c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120000</v>
      </c>
    </row>
    <row r="8" spans="1:31">
      <c r="A8" s="15">
        <v>5</v>
      </c>
      <c r="B8" s="4" t="s">
        <v>124</v>
      </c>
      <c r="C8" s="4">
        <v>37780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>
        <v>50000</v>
      </c>
      <c r="D9" s="4"/>
      <c r="E9" s="15">
        <v>6</v>
      </c>
      <c r="F9" s="4" t="s">
        <v>941</v>
      </c>
      <c r="G9" s="4">
        <v>350</v>
      </c>
      <c r="K9" s="1">
        <v>80</v>
      </c>
    </row>
    <row r="10" spans="1:31">
      <c r="A10" s="15">
        <v>7</v>
      </c>
      <c r="B10" s="4" t="s">
        <v>1292</v>
      </c>
      <c r="C10" s="4">
        <v>700000</v>
      </c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1288</v>
      </c>
      <c r="C11" s="4"/>
      <c r="D11" s="4"/>
      <c r="E11" s="15">
        <v>8</v>
      </c>
      <c r="F11" s="6" t="s">
        <v>1294</v>
      </c>
      <c r="G11" s="4">
        <v>100000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238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1293</v>
      </c>
      <c r="G15" s="4">
        <v>600000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29933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29914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>
        <v>29000</v>
      </c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1211943</v>
      </c>
      <c r="D22" s="5"/>
      <c r="E22" s="5"/>
      <c r="F22" s="5"/>
      <c r="G22" s="5">
        <f>SUM(G4:G21)</f>
        <v>1130297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81646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C7EA-2D59-4D9C-97F7-976B3DBA6443}">
  <dimension ref="A1:AE41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1295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54500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59847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170</v>
      </c>
      <c r="K9" s="1">
        <v>80</v>
      </c>
    </row>
    <row r="10" spans="1:31">
      <c r="A10" s="15">
        <v>7</v>
      </c>
      <c r="B10" s="4" t="s">
        <v>1292</v>
      </c>
      <c r="C10" s="4"/>
      <c r="D10" s="4"/>
      <c r="E10" s="15">
        <v>7</v>
      </c>
      <c r="F10" s="6" t="s">
        <v>44</v>
      </c>
      <c r="G10" s="4">
        <v>270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1288</v>
      </c>
      <c r="C11" s="4"/>
      <c r="D11" s="4"/>
      <c r="E11" s="15">
        <v>8</v>
      </c>
      <c r="F11" s="6" t="s">
        <v>1294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238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1127</v>
      </c>
      <c r="G15" s="4">
        <v>8000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41850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114347</v>
      </c>
      <c r="D22" s="5"/>
      <c r="E22" s="5"/>
      <c r="F22" s="5"/>
      <c r="G22" s="5">
        <f>SUM(G4:G21)</f>
        <v>50290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64057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9CCF-93BD-4008-9704-91CC83AE5D33}">
  <dimension ref="A1:AE41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1296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457400</v>
      </c>
      <c r="D4" s="4"/>
      <c r="E4" s="15">
        <v>1</v>
      </c>
      <c r="F4" s="4" t="s">
        <v>5</v>
      </c>
      <c r="G4" s="4">
        <v>350000</v>
      </c>
    </row>
    <row r="5" spans="1:31">
      <c r="A5" s="15">
        <v>2</v>
      </c>
      <c r="B5" s="4" t="s">
        <v>1240</v>
      </c>
      <c r="C5" s="4"/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>
        <v>250000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100000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>
        <v>42800</v>
      </c>
      <c r="D9" s="4"/>
      <c r="E9" s="15">
        <v>6</v>
      </c>
      <c r="F9" s="4" t="s">
        <v>941</v>
      </c>
      <c r="G9" s="4">
        <v>100</v>
      </c>
      <c r="K9" s="1">
        <v>80</v>
      </c>
    </row>
    <row r="10" spans="1:31">
      <c r="A10" s="15">
        <v>7</v>
      </c>
      <c r="B10" s="4" t="s">
        <v>1292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1288</v>
      </c>
      <c r="C11" s="4"/>
      <c r="D11" s="4"/>
      <c r="E11" s="15">
        <v>8</v>
      </c>
      <c r="F11" s="6" t="s">
        <v>1294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238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1127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600200</v>
      </c>
      <c r="D22" s="5"/>
      <c r="E22" s="5"/>
      <c r="F22" s="5"/>
      <c r="G22" s="5">
        <f>SUM(G4:G21)</f>
        <v>600200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F31A-44AF-4902-A181-BE1A2CE2D121}">
  <dimension ref="A1:AE41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1297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385750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1240</v>
      </c>
      <c r="C5" s="4">
        <v>74430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100000</v>
      </c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280</v>
      </c>
      <c r="K9" s="1">
        <v>80</v>
      </c>
    </row>
    <row r="10" spans="1:31">
      <c r="A10" s="15">
        <v>7</v>
      </c>
      <c r="B10" s="4" t="s">
        <v>1292</v>
      </c>
      <c r="C10" s="4"/>
      <c r="D10" s="4"/>
      <c r="E10" s="15">
        <v>7</v>
      </c>
      <c r="F10" s="6" t="s">
        <v>44</v>
      </c>
      <c r="G10" s="4">
        <v>400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1288</v>
      </c>
      <c r="C11" s="4"/>
      <c r="D11" s="4"/>
      <c r="E11" s="15">
        <v>8</v>
      </c>
      <c r="F11" s="6" t="s">
        <v>1294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238</v>
      </c>
      <c r="G12" s="4"/>
      <c r="J12" s="1">
        <f>66127-1500</f>
        <v>64627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1127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16302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33617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460180</v>
      </c>
      <c r="D22" s="5"/>
      <c r="E22" s="5"/>
      <c r="F22" s="5"/>
      <c r="G22" s="5">
        <f>SUM(G4:G21)</f>
        <v>450599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9581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8C40-B014-461A-8D32-676C3538BD7F}">
  <dimension ref="A1:AE41"/>
  <sheetViews>
    <sheetView zoomScale="145" zoomScaleNormal="145" workbookViewId="0">
      <selection activeCell="F20" sqref="F2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1298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52000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96840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50000</v>
      </c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180</v>
      </c>
      <c r="K9" s="1">
        <v>80</v>
      </c>
    </row>
    <row r="10" spans="1:31">
      <c r="A10" s="15">
        <v>7</v>
      </c>
      <c r="B10" s="4" t="s">
        <v>1292</v>
      </c>
      <c r="C10" s="4"/>
      <c r="D10" s="4"/>
      <c r="E10" s="15">
        <v>7</v>
      </c>
      <c r="F10" s="6" t="s">
        <v>44</v>
      </c>
      <c r="G10" s="4">
        <v>290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1288</v>
      </c>
      <c r="C11" s="4"/>
      <c r="D11" s="4"/>
      <c r="E11" s="15">
        <v>8</v>
      </c>
      <c r="F11" s="6" t="s">
        <v>1294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1299</v>
      </c>
      <c r="G12" s="4">
        <v>5000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1127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74140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148840</v>
      </c>
      <c r="D22" s="5"/>
      <c r="E22" s="5"/>
      <c r="F22" s="5"/>
      <c r="G22" s="5">
        <f>SUM(G4:G21)</f>
        <v>129610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19230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EDD4-F4F9-4196-AE35-B3DC67A4D8AF}">
  <dimension ref="A1:AE41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1300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195000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126211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124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1292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1288</v>
      </c>
      <c r="C11" s="4"/>
      <c r="D11" s="4"/>
      <c r="E11" s="15">
        <v>8</v>
      </c>
      <c r="F11" s="6" t="s">
        <v>1294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1299</v>
      </c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27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133</v>
      </c>
      <c r="G15" s="4">
        <v>10000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50213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45611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321211</v>
      </c>
      <c r="D22" s="5"/>
      <c r="E22" s="5"/>
      <c r="F22" s="5"/>
      <c r="G22" s="5">
        <f>SUM(G4:G21)</f>
        <v>306174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15037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A79-7849-4ADE-B9C5-74FFFCE94A32}">
  <dimension ref="A1:AE41"/>
  <sheetViews>
    <sheetView zoomScale="145" zoomScaleNormal="145" workbookViewId="0">
      <selection activeCell="F16" sqref="F1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1301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545300</v>
      </c>
      <c r="D4" s="4"/>
      <c r="E4" s="15">
        <v>1</v>
      </c>
      <c r="F4" s="4" t="s">
        <v>5</v>
      </c>
      <c r="G4" s="4">
        <v>710000</v>
      </c>
    </row>
    <row r="5" spans="1:31">
      <c r="A5" s="15">
        <v>2</v>
      </c>
      <c r="B5" s="4" t="s">
        <v>1240</v>
      </c>
      <c r="C5" s="4">
        <v>113819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206700</v>
      </c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1302</v>
      </c>
      <c r="C8" s="4">
        <v>50000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>
        <v>50000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>
        <v>200000</v>
      </c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>
        <v>60000</v>
      </c>
      <c r="D11" s="4"/>
      <c r="E11" s="15">
        <v>8</v>
      </c>
      <c r="F11" s="6" t="s">
        <v>1294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1176</v>
      </c>
      <c r="G12" s="4">
        <v>400000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1303</v>
      </c>
      <c r="G13" s="4">
        <v>300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1287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133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32874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63606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1225819</v>
      </c>
      <c r="D22" s="5"/>
      <c r="E22" s="5"/>
      <c r="F22" s="5"/>
      <c r="G22" s="5">
        <f>SUM(G4:G21)</f>
        <v>1207130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18689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AB60-9E8F-4695-A470-5253E303571D}">
  <dimension ref="A1:AE41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1305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/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129345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1302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150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1306</v>
      </c>
      <c r="G11" s="4">
        <v>1200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1307</v>
      </c>
      <c r="G12" s="4">
        <v>550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1304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423</v>
      </c>
      <c r="G14" s="4">
        <v>1000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133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6232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74851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129345</v>
      </c>
      <c r="D22" s="5"/>
      <c r="E22" s="5"/>
      <c r="F22" s="5"/>
      <c r="G22" s="5">
        <f>SUM(G4:G21)</f>
        <v>85983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43362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O34"/>
  <sheetViews>
    <sheetView zoomScale="145" zoomScaleNormal="145" workbookViewId="0">
      <selection activeCell="I25" sqref="I25:I2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165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624700</v>
      </c>
      <c r="D4" s="4"/>
      <c r="E4" s="4">
        <v>1</v>
      </c>
      <c r="F4" s="4" t="s">
        <v>5</v>
      </c>
      <c r="G4" s="4">
        <v>400000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155879</v>
      </c>
      <c r="D6" s="4"/>
      <c r="E6" s="4">
        <v>3</v>
      </c>
      <c r="F6" s="4" t="s">
        <v>38</v>
      </c>
      <c r="G6" s="4">
        <v>200000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>
        <v>75000</v>
      </c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>
        <v>230</v>
      </c>
    </row>
    <row r="11" spans="1:11">
      <c r="A11" s="4">
        <v>8</v>
      </c>
      <c r="B11" s="4" t="s">
        <v>7</v>
      </c>
      <c r="C11" s="4">
        <v>20000</v>
      </c>
      <c r="D11" s="4"/>
      <c r="E11" s="4">
        <v>8</v>
      </c>
      <c r="F11" s="4" t="s">
        <v>162</v>
      </c>
      <c r="G11" s="4"/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163</v>
      </c>
      <c r="G12" s="4"/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112</v>
      </c>
      <c r="G13" s="4"/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114819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800579</v>
      </c>
      <c r="D19" s="5"/>
      <c r="E19" s="5"/>
      <c r="F19" s="5"/>
      <c r="G19" s="5">
        <f>SUM(G4:G18)</f>
        <v>790514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10065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8C88-9F77-4383-B407-7EBC840D2B89}">
  <dimension ref="A1:AE41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1308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200200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81083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1302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1306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1307</v>
      </c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1304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423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133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62698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281283</v>
      </c>
      <c r="D22" s="5"/>
      <c r="E22" s="5"/>
      <c r="F22" s="5"/>
      <c r="G22" s="5">
        <f>SUM(G4:G21)</f>
        <v>263048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18235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64DB-4FC3-40C3-8273-E093E29016BA}">
  <dimension ref="A1:AE41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1309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283000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1240</v>
      </c>
      <c r="C5" s="4">
        <v>110928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1302</v>
      </c>
      <c r="C8" s="4">
        <v>62234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1253</v>
      </c>
      <c r="C9" s="4">
        <v>37860</v>
      </c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1310</v>
      </c>
      <c r="G11" s="4">
        <v>530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1127</v>
      </c>
      <c r="G12" s="4">
        <v>1000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1304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423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133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64068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494022</v>
      </c>
      <c r="D22" s="5"/>
      <c r="E22" s="5"/>
      <c r="F22" s="5"/>
      <c r="G22" s="5">
        <f>SUM(G4:G21)</f>
        <v>365848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128174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EC2F-E1B8-420D-AB76-5B6BA8725B24}">
  <dimension ref="A1:AE41"/>
  <sheetViews>
    <sheetView zoomScale="145" zoomScaleNormal="145" workbookViewId="0">
      <selection activeCell="G11" sqref="G11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1311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408950</v>
      </c>
      <c r="D4" s="4"/>
      <c r="E4" s="15">
        <v>1</v>
      </c>
      <c r="F4" s="4" t="s">
        <v>5</v>
      </c>
      <c r="G4" s="4">
        <v>200000</v>
      </c>
    </row>
    <row r="5" spans="1:31">
      <c r="A5" s="15">
        <v>2</v>
      </c>
      <c r="B5" s="4" t="s">
        <v>1240</v>
      </c>
      <c r="C5" s="4">
        <v>108264</v>
      </c>
      <c r="D5" s="4"/>
      <c r="E5" s="15">
        <v>2</v>
      </c>
      <c r="F5" s="4" t="s">
        <v>5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>
        <v>200000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1302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1253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8</v>
      </c>
      <c r="C10" s="4"/>
      <c r="D10" s="4"/>
      <c r="E10" s="15">
        <v>7</v>
      </c>
      <c r="F10" s="6" t="s">
        <v>44</v>
      </c>
      <c r="G10" s="4">
        <v>250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1310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1127</v>
      </c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1312</v>
      </c>
      <c r="G13" s="4">
        <v>8000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423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133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485</v>
      </c>
      <c r="G16" s="4"/>
      <c r="J16" s="1" t="s">
        <v>970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84030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517214</v>
      </c>
      <c r="D22" s="5"/>
      <c r="E22" s="5"/>
      <c r="F22" s="5"/>
      <c r="G22" s="5">
        <f>SUM(G4:G21)</f>
        <v>492630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24584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2339-B7DC-4C11-B9BD-E85C3B93246B}">
  <dimension ref="A1:AE41"/>
  <sheetViews>
    <sheetView zoomScale="145" zoomScaleNormal="145" workbookViewId="0">
      <selection activeCell="F7" sqref="F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1319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535500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136647</v>
      </c>
      <c r="D5" s="4"/>
      <c r="E5" s="15">
        <v>2</v>
      </c>
      <c r="F5" s="4" t="s">
        <v>1316</v>
      </c>
      <c r="G5" s="4">
        <v>500000</v>
      </c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1302</v>
      </c>
      <c r="C8" s="4"/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27</v>
      </c>
      <c r="C9" s="4">
        <v>200000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1284</v>
      </c>
      <c r="C10" s="4">
        <v>100000</v>
      </c>
      <c r="D10" s="4"/>
      <c r="E10" s="15">
        <v>7</v>
      </c>
      <c r="F10" s="6" t="s">
        <v>44</v>
      </c>
      <c r="G10" s="4">
        <v>1090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1310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1315</v>
      </c>
      <c r="G12" s="4">
        <v>30000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1313</v>
      </c>
      <c r="G13" s="4">
        <v>5440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1314</v>
      </c>
      <c r="G14" s="4">
        <v>4060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>
        <v>5000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>
        <v>4400</v>
      </c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89911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972147</v>
      </c>
      <c r="D22" s="5"/>
      <c r="E22" s="5"/>
      <c r="F22" s="5"/>
      <c r="G22" s="5">
        <f>SUM(G4:G21)</f>
        <v>640301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331846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4E04-EA2D-4C23-AB1B-5D739B5AF6DC}">
  <dimension ref="A1:AE41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1320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112020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1240</v>
      </c>
      <c r="C5" s="4">
        <v>117448</v>
      </c>
      <c r="D5" s="4"/>
      <c r="E5" s="15">
        <v>2</v>
      </c>
      <c r="F5" s="4" t="s">
        <v>1316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>
        <v>130000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>
        <v>50000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27</v>
      </c>
      <c r="C9" s="4">
        <v>300000</v>
      </c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>
        <v>230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1321</v>
      </c>
      <c r="G11" s="4">
        <v>550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1315</v>
      </c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1313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12" t="s">
        <v>71</v>
      </c>
      <c r="G14" s="4">
        <v>7000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86095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579468</v>
      </c>
      <c r="D22" s="5"/>
      <c r="E22" s="5"/>
      <c r="F22" s="5"/>
      <c r="G22" s="5">
        <f>SUM(G4:G21)</f>
        <v>524275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55193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E2DB-5FB1-4BAB-99DB-B66E455A8D1F}">
  <dimension ref="A1:AE41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1322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/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124101</v>
      </c>
      <c r="D5" s="4"/>
      <c r="E5" s="15">
        <v>2</v>
      </c>
      <c r="F5" s="4" t="s">
        <v>1316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7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27</v>
      </c>
      <c r="C9" s="4"/>
      <c r="D9" s="4"/>
      <c r="E9" s="15">
        <v>6</v>
      </c>
      <c r="F9" s="4" t="s">
        <v>941</v>
      </c>
      <c r="G9" s="4">
        <v>150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1324</v>
      </c>
      <c r="G11" s="4">
        <v>5000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1323</v>
      </c>
      <c r="G12" s="4">
        <v>14400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206</v>
      </c>
      <c r="G13" s="4">
        <v>3000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114</v>
      </c>
      <c r="G14" s="4">
        <v>5500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45004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124101</v>
      </c>
      <c r="D22" s="5"/>
      <c r="E22" s="5"/>
      <c r="F22" s="5"/>
      <c r="G22" s="5">
        <f>SUM(G4:G21)</f>
        <v>73054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51047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479D-B0A8-4897-BEB1-CD514DB62526}">
  <dimension ref="A1:AE41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1325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586200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1240</v>
      </c>
      <c r="C5" s="4">
        <v>175350</v>
      </c>
      <c r="D5" s="4"/>
      <c r="E5" s="15">
        <v>2</v>
      </c>
      <c r="F5" s="4" t="s">
        <v>1316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100000</v>
      </c>
      <c r="D7" s="4"/>
      <c r="E7" s="15">
        <v>4</v>
      </c>
      <c r="F7" s="4" t="s">
        <v>336</v>
      </c>
      <c r="G7" s="4">
        <v>150000</v>
      </c>
    </row>
    <row r="8" spans="1:31">
      <c r="A8" s="15">
        <v>5</v>
      </c>
      <c r="B8" s="4" t="s">
        <v>7</v>
      </c>
      <c r="C8" s="4">
        <v>54930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27</v>
      </c>
      <c r="C9" s="4"/>
      <c r="D9" s="4"/>
      <c r="E9" s="15">
        <v>6</v>
      </c>
      <c r="F9" s="4" t="s">
        <v>941</v>
      </c>
      <c r="G9" s="4">
        <v>340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>
        <v>370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1324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41</v>
      </c>
      <c r="G12" s="4">
        <v>4416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1326</v>
      </c>
      <c r="G13" s="4">
        <v>500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114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112474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52222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916480</v>
      </c>
      <c r="D22" s="5"/>
      <c r="E22" s="5"/>
      <c r="F22" s="5"/>
      <c r="G22" s="5">
        <f>SUM(G4:G21)</f>
        <v>620322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296158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592B-E38B-424D-BE93-52C8836D0DE7}">
  <dimension ref="A1:AE41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1328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334500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185526</v>
      </c>
      <c r="D5" s="4"/>
      <c r="E5" s="15">
        <v>2</v>
      </c>
      <c r="F5" s="4" t="s">
        <v>1330</v>
      </c>
      <c r="G5" s="4">
        <v>400895</v>
      </c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1329</v>
      </c>
      <c r="C8" s="4">
        <v>100000</v>
      </c>
      <c r="D8" s="4"/>
      <c r="E8" s="15">
        <v>5</v>
      </c>
      <c r="F8" s="4" t="s">
        <v>10</v>
      </c>
      <c r="G8" s="4">
        <v>100</v>
      </c>
      <c r="K8" s="1">
        <f>310+200</f>
        <v>510</v>
      </c>
    </row>
    <row r="9" spans="1:31">
      <c r="A9" s="15">
        <v>6</v>
      </c>
      <c r="B9" s="4" t="s">
        <v>27</v>
      </c>
      <c r="C9" s="4"/>
      <c r="D9" s="4"/>
      <c r="E9" s="15">
        <v>6</v>
      </c>
      <c r="F9" s="4" t="s">
        <v>941</v>
      </c>
      <c r="G9" s="4">
        <v>300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>
        <v>310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1324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405</v>
      </c>
      <c r="G12" s="4">
        <v>500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1338</v>
      </c>
      <c r="G13" s="4">
        <v>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1327</v>
      </c>
      <c r="G14" s="4">
        <v>3000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96649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73052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620026</v>
      </c>
      <c r="D22" s="5"/>
      <c r="E22" s="5"/>
      <c r="F22" s="5"/>
      <c r="G22" s="5">
        <f>SUM(G4:G21)</f>
        <v>576806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43220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7073-76E7-454E-B4F3-5AC68DA43B84}">
  <dimension ref="A1:AE41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1339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103000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169701</v>
      </c>
      <c r="D5" s="4"/>
      <c r="E5" s="15">
        <v>2</v>
      </c>
      <c r="F5" s="4" t="s">
        <v>1330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100000</v>
      </c>
    </row>
    <row r="8" spans="1:31">
      <c r="A8" s="15">
        <v>5</v>
      </c>
      <c r="B8" s="4" t="s">
        <v>1340</v>
      </c>
      <c r="C8" s="4">
        <v>67200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27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>
        <v>400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1324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405</v>
      </c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133</v>
      </c>
      <c r="G13" s="4">
        <v>5000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1327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91054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57233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339901</v>
      </c>
      <c r="D22" s="5"/>
      <c r="E22" s="5"/>
      <c r="F22" s="5"/>
      <c r="G22" s="5">
        <f>SUM(G4:G21)</f>
        <v>253937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85964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903E-23E3-4FBA-AC75-DFD393BD8209}">
  <dimension ref="A1:AE41"/>
  <sheetViews>
    <sheetView zoomScale="145" zoomScaleNormal="145" workbookViewId="0">
      <selection activeCell="G2" sqref="G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1343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328850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1240</v>
      </c>
      <c r="C5" s="4">
        <v>168763</v>
      </c>
      <c r="D5" s="4"/>
      <c r="E5" s="15">
        <v>2</v>
      </c>
      <c r="F5" s="4" t="s">
        <v>1330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1340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27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1342</v>
      </c>
      <c r="G11" s="4">
        <v>150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434</v>
      </c>
      <c r="G12" s="4">
        <v>11000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41</v>
      </c>
      <c r="G13" s="4">
        <v>4550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1341</v>
      </c>
      <c r="G14" s="4">
        <v>40000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93797</v>
      </c>
      <c r="I17" s="1">
        <f>6755-2500</f>
        <v>4255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497613</v>
      </c>
      <c r="D22" s="5"/>
      <c r="E22" s="5"/>
      <c r="F22" s="5"/>
      <c r="G22" s="5">
        <f>SUM(G4:G21)</f>
        <v>449747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47866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O34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166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345000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100000</v>
      </c>
    </row>
    <row r="6" spans="1:11">
      <c r="A6" s="4">
        <v>3</v>
      </c>
      <c r="B6" s="4" t="s">
        <v>6</v>
      </c>
      <c r="C6" s="4">
        <v>114819</v>
      </c>
      <c r="D6" s="4"/>
      <c r="E6" s="4">
        <v>3</v>
      </c>
      <c r="F6" s="4" t="s">
        <v>38</v>
      </c>
      <c r="G6" s="4">
        <v>225000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200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>
        <v>280</v>
      </c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162</v>
      </c>
      <c r="G11" s="4"/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163</v>
      </c>
      <c r="G12" s="4"/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112</v>
      </c>
      <c r="G13" s="4"/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 t="s">
        <v>78</v>
      </c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101948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459819</v>
      </c>
      <c r="D19" s="5"/>
      <c r="E19" s="5"/>
      <c r="F19" s="5"/>
      <c r="G19" s="5">
        <f>SUM(G4:G18)</f>
        <v>427678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32141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3BAC-1A75-403E-8867-48DBD9195521}">
  <dimension ref="A1:AE41"/>
  <sheetViews>
    <sheetView zoomScale="145" zoomScaleNormal="145" workbookViewId="0">
      <selection activeCell="C17" sqref="C17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1344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455900</v>
      </c>
      <c r="D4" s="4"/>
      <c r="E4" s="15">
        <v>1</v>
      </c>
      <c r="F4" s="4" t="s">
        <v>5</v>
      </c>
      <c r="G4" s="4">
        <v>700000</v>
      </c>
    </row>
    <row r="5" spans="1:31">
      <c r="A5" s="15">
        <v>2</v>
      </c>
      <c r="B5" s="4" t="s">
        <v>1240</v>
      </c>
      <c r="C5" s="4">
        <v>99360</v>
      </c>
      <c r="D5" s="4"/>
      <c r="E5" s="15">
        <v>2</v>
      </c>
      <c r="F5" s="4" t="s">
        <v>1330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>
        <v>100000</v>
      </c>
      <c r="D7" s="4"/>
      <c r="E7" s="15">
        <v>4</v>
      </c>
      <c r="F7" s="4" t="s">
        <v>336</v>
      </c>
      <c r="G7" s="4">
        <v>100000</v>
      </c>
    </row>
    <row r="8" spans="1:31">
      <c r="A8" s="15">
        <v>5</v>
      </c>
      <c r="B8" s="4" t="s">
        <v>156</v>
      </c>
      <c r="C8" s="4">
        <v>70000</v>
      </c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98</v>
      </c>
      <c r="C9" s="4">
        <v>126340</v>
      </c>
      <c r="D9" s="4"/>
      <c r="E9" s="15">
        <v>6</v>
      </c>
      <c r="F9" s="4" t="s">
        <v>941</v>
      </c>
      <c r="G9" s="4">
        <v>310</v>
      </c>
      <c r="K9" s="1">
        <v>80</v>
      </c>
    </row>
    <row r="10" spans="1:31">
      <c r="A10" s="15">
        <v>7</v>
      </c>
      <c r="B10" s="4" t="s">
        <v>7</v>
      </c>
      <c r="C10" s="4">
        <v>50000</v>
      </c>
      <c r="D10" s="4"/>
      <c r="E10" s="15">
        <v>7</v>
      </c>
      <c r="F10" s="6" t="s">
        <v>44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247</v>
      </c>
      <c r="G11" s="4">
        <v>340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1347</v>
      </c>
      <c r="G12" s="4">
        <v>1550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1346</v>
      </c>
      <c r="G13" s="4">
        <v>6000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1345</v>
      </c>
      <c r="G14" s="4">
        <v>14400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75062</v>
      </c>
      <c r="I17" s="1">
        <f>6755-2500</f>
        <v>4255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901600</v>
      </c>
      <c r="D22" s="5"/>
      <c r="E22" s="5"/>
      <c r="F22" s="5"/>
      <c r="G22" s="5">
        <f>SUM(G4:G21)</f>
        <v>897862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3738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83EC-0AD1-47F4-89F6-938959B1332F}">
  <dimension ref="A1:AE41"/>
  <sheetViews>
    <sheetView zoomScale="145" zoomScaleNormal="145" workbookViewId="0">
      <selection activeCell="I13" sqref="I13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1348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160000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75062</v>
      </c>
      <c r="D5" s="4"/>
      <c r="E5" s="15">
        <v>2</v>
      </c>
      <c r="F5" s="4" t="s">
        <v>1330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160000</v>
      </c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98</v>
      </c>
      <c r="C9" s="4"/>
      <c r="D9" s="4"/>
      <c r="E9" s="15">
        <v>6</v>
      </c>
      <c r="F9" s="4" t="s">
        <v>941</v>
      </c>
      <c r="G9" s="4">
        <v>150</v>
      </c>
      <c r="K9" s="1">
        <v>80</v>
      </c>
    </row>
    <row r="10" spans="1:31">
      <c r="A10" s="15">
        <v>7</v>
      </c>
      <c r="B10" s="4" t="s">
        <v>7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 t="s">
        <v>247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1347</v>
      </c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204</v>
      </c>
      <c r="G13" s="4">
        <v>120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1345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/>
      <c r="I17" s="1">
        <f>6755-2500</f>
        <v>4255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>
        <v>58912</v>
      </c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235062</v>
      </c>
      <c r="D22" s="5"/>
      <c r="E22" s="5"/>
      <c r="F22" s="5"/>
      <c r="G22" s="5">
        <f>SUM(G4:G21)</f>
        <v>219182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15880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A22D-E68D-473F-8344-C570F4BC124A}">
  <dimension ref="A1:AE41"/>
  <sheetViews>
    <sheetView zoomScale="145" zoomScaleNormal="145" workbookViewId="0">
      <selection activeCell="C4" sqref="C4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1350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226840</v>
      </c>
      <c r="D4" s="4"/>
      <c r="E4" s="15">
        <v>1</v>
      </c>
      <c r="F4" s="4" t="s">
        <v>5</v>
      </c>
      <c r="G4" s="4">
        <v>300000</v>
      </c>
    </row>
    <row r="5" spans="1:31">
      <c r="A5" s="15">
        <v>2</v>
      </c>
      <c r="B5" s="4" t="s">
        <v>1240</v>
      </c>
      <c r="C5" s="4"/>
      <c r="D5" s="4"/>
      <c r="E5" s="15">
        <v>2</v>
      </c>
      <c r="F5" s="4" t="s">
        <v>1330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98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7</v>
      </c>
      <c r="C10" s="4">
        <v>51040</v>
      </c>
      <c r="D10" s="4"/>
      <c r="E10" s="15">
        <v>7</v>
      </c>
      <c r="F10" s="6" t="s">
        <v>44</v>
      </c>
      <c r="G10" s="4">
        <v>430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1351</v>
      </c>
      <c r="C11" s="4">
        <v>40000</v>
      </c>
      <c r="D11" s="4"/>
      <c r="E11" s="15">
        <v>8</v>
      </c>
      <c r="F11" s="6" t="s">
        <v>247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1349</v>
      </c>
      <c r="G12" s="4">
        <v>1200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204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1345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1317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/>
      <c r="I17" s="1">
        <f>6755-2500</f>
        <v>4255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317880</v>
      </c>
      <c r="D22" s="5"/>
      <c r="E22" s="5"/>
      <c r="F22" s="5"/>
      <c r="G22" s="5">
        <f>SUM(G4:G21)</f>
        <v>301880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16000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4EEB-012C-4A35-AC38-D4D9695DEBC5}">
  <dimension ref="A1:AE41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1352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27500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150106</v>
      </c>
      <c r="D5" s="4"/>
      <c r="E5" s="15">
        <v>2</v>
      </c>
      <c r="F5" s="4" t="s">
        <v>1330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98</v>
      </c>
      <c r="C9" s="4"/>
      <c r="D9" s="4"/>
      <c r="E9" s="15">
        <v>6</v>
      </c>
      <c r="F9" s="4" t="s">
        <v>941</v>
      </c>
      <c r="G9" s="4">
        <v>160</v>
      </c>
      <c r="K9" s="1">
        <v>80</v>
      </c>
    </row>
    <row r="10" spans="1:31">
      <c r="A10" s="15">
        <v>7</v>
      </c>
      <c r="B10" s="4" t="s">
        <v>7</v>
      </c>
      <c r="C10" s="4"/>
      <c r="D10" s="4"/>
      <c r="E10" s="15">
        <v>7</v>
      </c>
      <c r="F10" s="6" t="s">
        <v>44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1351</v>
      </c>
      <c r="C11" s="4"/>
      <c r="D11" s="4"/>
      <c r="E11" s="15">
        <v>8</v>
      </c>
      <c r="F11" s="6" t="s">
        <v>1353</v>
      </c>
      <c r="G11" s="4">
        <v>100</v>
      </c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1354</v>
      </c>
      <c r="G12" s="4">
        <v>20000</v>
      </c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1355</v>
      </c>
      <c r="G13" s="4">
        <v>12000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1345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364</v>
      </c>
      <c r="G15" s="4">
        <v>15000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104793</v>
      </c>
      <c r="I17" s="1">
        <f>6755-2500</f>
        <v>4255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177606</v>
      </c>
      <c r="D22" s="5"/>
      <c r="E22" s="5"/>
      <c r="F22" s="5"/>
      <c r="G22" s="5">
        <f>SUM(G4:G21)</f>
        <v>152253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25353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206E-CAD7-4B04-9C23-AECC789D65A5}">
  <dimension ref="A1:AE41"/>
  <sheetViews>
    <sheetView zoomScale="145" zoomScaleNormal="145" workbookViewId="0">
      <selection activeCell="C18" sqref="C18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1356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104793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/>
      <c r="D5" s="4"/>
      <c r="E5" s="15">
        <v>2</v>
      </c>
      <c r="F5" s="4" t="s">
        <v>1330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98</v>
      </c>
      <c r="C9" s="4"/>
      <c r="D9" s="4"/>
      <c r="E9" s="15">
        <v>6</v>
      </c>
      <c r="F9" s="4" t="s">
        <v>941</v>
      </c>
      <c r="G9" s="4">
        <v>150</v>
      </c>
      <c r="K9" s="1">
        <v>80</v>
      </c>
    </row>
    <row r="10" spans="1:31">
      <c r="A10" s="15">
        <v>7</v>
      </c>
      <c r="B10" s="4" t="s">
        <v>7</v>
      </c>
      <c r="C10" s="4"/>
      <c r="D10" s="4"/>
      <c r="E10" s="15">
        <v>7</v>
      </c>
      <c r="F10" s="6" t="s">
        <v>44</v>
      </c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1351</v>
      </c>
      <c r="C11" s="4"/>
      <c r="D11" s="4"/>
      <c r="E11" s="15">
        <v>8</v>
      </c>
      <c r="F11" s="6" t="s">
        <v>1353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1354</v>
      </c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1119</v>
      </c>
      <c r="G13" s="4">
        <v>18000</v>
      </c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1357</v>
      </c>
      <c r="G14" s="4">
        <v>1500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364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83578</v>
      </c>
      <c r="I17" s="1">
        <f>6755-2500</f>
        <v>4255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104793</v>
      </c>
      <c r="D22" s="5"/>
      <c r="E22" s="5"/>
      <c r="F22" s="5"/>
      <c r="G22" s="5">
        <f>SUM(G4:G21)</f>
        <v>103228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1565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DBC1-C1E4-44B4-BE83-E23AD30DE725}">
  <dimension ref="A1:AE41"/>
  <sheetViews>
    <sheetView zoomScale="145" zoomScaleNormal="145" workbookViewId="0">
      <selection activeCell="F12" sqref="F1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1358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673340</v>
      </c>
      <c r="D4" s="4"/>
      <c r="E4" s="15">
        <v>1</v>
      </c>
      <c r="F4" s="4" t="s">
        <v>5</v>
      </c>
      <c r="G4" s="4">
        <v>690000</v>
      </c>
    </row>
    <row r="5" spans="1:31">
      <c r="A5" s="15">
        <v>2</v>
      </c>
      <c r="B5" s="4" t="s">
        <v>1240</v>
      </c>
      <c r="C5" s="4">
        <v>134670</v>
      </c>
      <c r="D5" s="4"/>
      <c r="E5" s="15">
        <v>2</v>
      </c>
      <c r="F5" s="4" t="s">
        <v>1330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/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98</v>
      </c>
      <c r="C9" s="4">
        <v>15000</v>
      </c>
      <c r="D9" s="4"/>
      <c r="E9" s="15">
        <v>6</v>
      </c>
      <c r="F9" s="4" t="s">
        <v>941</v>
      </c>
      <c r="G9" s="4">
        <v>225</v>
      </c>
      <c r="K9" s="1">
        <v>80</v>
      </c>
    </row>
    <row r="10" spans="1:31">
      <c r="A10" s="15">
        <v>7</v>
      </c>
      <c r="B10" s="4" t="s">
        <v>7</v>
      </c>
      <c r="C10" s="4"/>
      <c r="D10" s="4"/>
      <c r="E10" s="15">
        <v>7</v>
      </c>
      <c r="F10" s="6" t="s">
        <v>44</v>
      </c>
      <c r="G10" s="4">
        <v>330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1351</v>
      </c>
      <c r="C11" s="4"/>
      <c r="D11" s="4"/>
      <c r="E11" s="15">
        <v>8</v>
      </c>
      <c r="F11" s="6" t="s">
        <v>1353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1354</v>
      </c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1119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1357</v>
      </c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364</v>
      </c>
      <c r="G15" s="4">
        <v>15000</v>
      </c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107455</v>
      </c>
      <c r="I17" s="1">
        <f>6755-2500</f>
        <v>4255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823010</v>
      </c>
      <c r="D22" s="5"/>
      <c r="E22" s="5"/>
      <c r="F22" s="5"/>
      <c r="G22" s="5">
        <f>SUM(G4:G21)</f>
        <v>813010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10000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78-666F-4061-8FC1-3FA61D447A9E}">
  <dimension ref="A1:AE41"/>
  <sheetViews>
    <sheetView tabSelected="1" zoomScale="145" zoomScaleNormal="145" workbookViewId="0">
      <selection activeCell="C15" sqref="C15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21</v>
      </c>
      <c r="F1" s="2" t="s">
        <v>14</v>
      </c>
      <c r="G1" s="3" t="s">
        <v>1359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137700</v>
      </c>
      <c r="D4" s="4"/>
      <c r="E4" s="15">
        <v>1</v>
      </c>
      <c r="F4" s="4" t="s">
        <v>5</v>
      </c>
      <c r="G4" s="4"/>
    </row>
    <row r="5" spans="1:31">
      <c r="A5" s="15">
        <v>2</v>
      </c>
      <c r="B5" s="4" t="s">
        <v>1240</v>
      </c>
      <c r="C5" s="4">
        <v>140736</v>
      </c>
      <c r="D5" s="4"/>
      <c r="E5" s="15">
        <v>2</v>
      </c>
      <c r="F5" s="4" t="s">
        <v>1330</v>
      </c>
      <c r="G5" s="4"/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813</v>
      </c>
      <c r="G6" s="4"/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336</v>
      </c>
      <c r="G7" s="4">
        <v>150000</v>
      </c>
    </row>
    <row r="8" spans="1:31">
      <c r="A8" s="15">
        <v>5</v>
      </c>
      <c r="B8" s="4" t="s">
        <v>156</v>
      </c>
      <c r="C8" s="4"/>
      <c r="D8" s="4"/>
      <c r="E8" s="15">
        <v>5</v>
      </c>
      <c r="F8" s="4" t="s">
        <v>10</v>
      </c>
      <c r="G8" s="4"/>
      <c r="K8" s="1">
        <f>310+200</f>
        <v>510</v>
      </c>
    </row>
    <row r="9" spans="1:31">
      <c r="A9" s="15">
        <v>6</v>
      </c>
      <c r="B9" s="4" t="s">
        <v>98</v>
      </c>
      <c r="C9" s="4"/>
      <c r="D9" s="4"/>
      <c r="E9" s="15">
        <v>6</v>
      </c>
      <c r="F9" s="4" t="s">
        <v>941</v>
      </c>
      <c r="G9" s="4">
        <v>250</v>
      </c>
      <c r="K9" s="1">
        <v>80</v>
      </c>
    </row>
    <row r="10" spans="1:31">
      <c r="A10" s="15">
        <v>7</v>
      </c>
      <c r="B10" s="4" t="s">
        <v>7</v>
      </c>
      <c r="C10" s="4">
        <v>50000</v>
      </c>
      <c r="D10" s="4"/>
      <c r="E10" s="15">
        <v>7</v>
      </c>
      <c r="F10" s="6" t="s">
        <v>44</v>
      </c>
      <c r="G10" s="4">
        <v>200</v>
      </c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1351</v>
      </c>
      <c r="C11" s="4"/>
      <c r="D11" s="4"/>
      <c r="E11" s="15">
        <v>8</v>
      </c>
      <c r="F11" s="6" t="s">
        <v>1353</v>
      </c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 t="s">
        <v>1354</v>
      </c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 t="s">
        <v>1119</v>
      </c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 t="s">
        <v>1360</v>
      </c>
      <c r="G14" s="4">
        <v>8600</v>
      </c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 t="s">
        <v>364</v>
      </c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 t="s">
        <v>1318</v>
      </c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 t="s">
        <v>1279</v>
      </c>
      <c r="G17" s="4">
        <v>102688</v>
      </c>
      <c r="I17" s="1">
        <f>6755-2500</f>
        <v>4255</v>
      </c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 t="s">
        <v>1245</v>
      </c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 t="s">
        <v>1085</v>
      </c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 t="s">
        <v>961</v>
      </c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 t="s">
        <v>1088</v>
      </c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328436</v>
      </c>
      <c r="D22" s="5"/>
      <c r="E22" s="5"/>
      <c r="F22" s="5"/>
      <c r="G22" s="5">
        <f>SUM(G4:G21)</f>
        <v>261738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66698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89EE-ED62-40DE-9CEA-51107F18C2BB}">
  <dimension ref="A1:AE41"/>
  <sheetViews>
    <sheetView zoomScale="145" zoomScaleNormal="145" workbookViewId="0">
      <selection activeCell="I22" sqref="I22"/>
    </sheetView>
  </sheetViews>
  <sheetFormatPr defaultColWidth="9.140625" defaultRowHeight="15.75"/>
  <cols>
    <col min="1" max="1" width="5.85546875" style="1" customWidth="1"/>
    <col min="2" max="2" width="20.42578125" style="1" customWidth="1"/>
    <col min="3" max="3" width="14.42578125" style="1" customWidth="1"/>
    <col min="4" max="4" width="1.85546875" style="1" customWidth="1"/>
    <col min="5" max="5" width="5.7109375" style="1" customWidth="1"/>
    <col min="6" max="6" width="26.140625" style="1" customWidth="1"/>
    <col min="7" max="7" width="11.85546875" style="1" customWidth="1"/>
    <col min="8" max="9" width="9.140625" style="1"/>
    <col min="10" max="10" width="30.5703125" style="1" customWidth="1"/>
    <col min="11" max="16384" width="9.140625" style="1"/>
  </cols>
  <sheetData>
    <row r="1" spans="1:31" ht="17.25">
      <c r="B1" s="1" t="s">
        <v>1337</v>
      </c>
      <c r="F1" s="2" t="s">
        <v>14</v>
      </c>
      <c r="G1" s="3" t="s">
        <v>1328</v>
      </c>
    </row>
    <row r="3" spans="1:31">
      <c r="A3" s="13" t="s">
        <v>0</v>
      </c>
      <c r="B3" s="13" t="s">
        <v>1</v>
      </c>
      <c r="C3" s="13" t="s">
        <v>2</v>
      </c>
      <c r="D3" s="14"/>
      <c r="E3" s="13" t="s">
        <v>3</v>
      </c>
      <c r="F3" s="13" t="s">
        <v>1</v>
      </c>
      <c r="G3" s="13" t="s">
        <v>2</v>
      </c>
    </row>
    <row r="4" spans="1:31">
      <c r="A4" s="15">
        <v>1</v>
      </c>
      <c r="B4" s="4" t="s">
        <v>1255</v>
      </c>
      <c r="C4" s="4">
        <v>9000</v>
      </c>
      <c r="D4" s="4"/>
      <c r="E4" s="15">
        <v>1</v>
      </c>
      <c r="F4" s="4" t="s">
        <v>1331</v>
      </c>
      <c r="G4" s="4">
        <v>4500</v>
      </c>
    </row>
    <row r="5" spans="1:31">
      <c r="A5" s="15">
        <v>2</v>
      </c>
      <c r="B5" s="4" t="s">
        <v>1240</v>
      </c>
      <c r="C5" s="4"/>
      <c r="D5" s="4"/>
      <c r="E5" s="15">
        <v>2</v>
      </c>
      <c r="F5" s="4" t="s">
        <v>1332</v>
      </c>
      <c r="G5" s="4">
        <v>1150</v>
      </c>
      <c r="K5" s="1">
        <f>103+85+160</f>
        <v>348</v>
      </c>
    </row>
    <row r="6" spans="1:31">
      <c r="A6" s="15">
        <v>3</v>
      </c>
      <c r="B6" s="4" t="s">
        <v>1281</v>
      </c>
      <c r="C6" s="4"/>
      <c r="D6" s="4"/>
      <c r="E6" s="15">
        <v>3</v>
      </c>
      <c r="F6" s="4" t="s">
        <v>1333</v>
      </c>
      <c r="G6" s="4">
        <v>220</v>
      </c>
      <c r="J6" s="1">
        <v>35835</v>
      </c>
      <c r="N6" s="1">
        <f>190+120</f>
        <v>310</v>
      </c>
    </row>
    <row r="7" spans="1:31">
      <c r="A7" s="15">
        <v>4</v>
      </c>
      <c r="B7" s="4" t="s">
        <v>19</v>
      </c>
      <c r="C7" s="4"/>
      <c r="D7" s="4"/>
      <c r="E7" s="15">
        <v>4</v>
      </c>
      <c r="F7" s="4" t="s">
        <v>1334</v>
      </c>
      <c r="G7" s="4">
        <v>320</v>
      </c>
    </row>
    <row r="8" spans="1:31">
      <c r="A8" s="15">
        <v>5</v>
      </c>
      <c r="B8" s="4" t="s">
        <v>1329</v>
      </c>
      <c r="C8" s="4"/>
      <c r="D8" s="4"/>
      <c r="E8" s="15">
        <v>5</v>
      </c>
      <c r="F8" s="4" t="s">
        <v>1335</v>
      </c>
      <c r="G8" s="4">
        <v>220</v>
      </c>
      <c r="K8" s="1">
        <f>310+200</f>
        <v>510</v>
      </c>
    </row>
    <row r="9" spans="1:31">
      <c r="A9" s="15">
        <v>6</v>
      </c>
      <c r="B9" s="4" t="s">
        <v>27</v>
      </c>
      <c r="C9" s="4"/>
      <c r="D9" s="4"/>
      <c r="E9" s="15">
        <v>6</v>
      </c>
      <c r="F9" s="4" t="s">
        <v>1336</v>
      </c>
      <c r="G9" s="4">
        <v>3000</v>
      </c>
      <c r="K9" s="1">
        <v>80</v>
      </c>
    </row>
    <row r="10" spans="1:31">
      <c r="A10" s="15">
        <v>7</v>
      </c>
      <c r="B10" s="4" t="s">
        <v>1284</v>
      </c>
      <c r="C10" s="4"/>
      <c r="D10" s="4"/>
      <c r="E10" s="15">
        <v>7</v>
      </c>
      <c r="F10" s="6"/>
      <c r="G10" s="4"/>
      <c r="J10" s="1">
        <f>20+75+40</f>
        <v>135</v>
      </c>
      <c r="K10" s="1">
        <v>180</v>
      </c>
      <c r="M10" s="1">
        <f>7*15</f>
        <v>105</v>
      </c>
    </row>
    <row r="11" spans="1:31">
      <c r="A11" s="15">
        <v>8</v>
      </c>
      <c r="B11" s="4" t="s">
        <v>156</v>
      </c>
      <c r="C11" s="4"/>
      <c r="D11" s="4"/>
      <c r="E11" s="15">
        <v>8</v>
      </c>
      <c r="F11" s="6"/>
      <c r="G11" s="4"/>
      <c r="K11" s="1">
        <f>510+80+180</f>
        <v>770</v>
      </c>
      <c r="M11" s="1">
        <f>105+70+20</f>
        <v>195</v>
      </c>
    </row>
    <row r="12" spans="1:31">
      <c r="A12" s="15">
        <v>9</v>
      </c>
      <c r="B12" s="6" t="s">
        <v>1230</v>
      </c>
      <c r="C12" s="4"/>
      <c r="D12" s="4"/>
      <c r="E12" s="15">
        <v>9</v>
      </c>
      <c r="F12" s="6"/>
      <c r="G12" s="4"/>
      <c r="J12" s="1">
        <v>50</v>
      </c>
      <c r="K12" s="1">
        <f>27-33</f>
        <v>-6</v>
      </c>
    </row>
    <row r="13" spans="1:31">
      <c r="A13" s="15">
        <v>10</v>
      </c>
      <c r="B13" s="4" t="s">
        <v>262</v>
      </c>
      <c r="C13" s="4"/>
      <c r="D13" s="4"/>
      <c r="E13" s="15">
        <v>10</v>
      </c>
      <c r="F13" s="6"/>
      <c r="G13" s="4"/>
      <c r="J13" s="1">
        <f>380/9980</f>
        <v>3.8076152304609222E-2</v>
      </c>
      <c r="K13" s="1">
        <f>591*13</f>
        <v>7683</v>
      </c>
      <c r="N13" s="1">
        <f>13*15</f>
        <v>195</v>
      </c>
    </row>
    <row r="14" spans="1:31">
      <c r="A14" s="15">
        <v>11</v>
      </c>
      <c r="B14" s="4" t="s">
        <v>23</v>
      </c>
      <c r="C14" s="4"/>
      <c r="D14" s="4"/>
      <c r="E14" s="15">
        <v>11</v>
      </c>
      <c r="F14" s="6"/>
      <c r="G14" s="4"/>
      <c r="J14" s="1">
        <v>7155</v>
      </c>
      <c r="K14" s="1">
        <f>620*12</f>
        <v>7440</v>
      </c>
      <c r="N14" s="1">
        <f>130</f>
        <v>130</v>
      </c>
      <c r="P14" s="1">
        <f>14855-3620</f>
        <v>11235</v>
      </c>
    </row>
    <row r="15" spans="1:31">
      <c r="A15" s="15">
        <v>12</v>
      </c>
      <c r="B15" s="4" t="s">
        <v>1233</v>
      </c>
      <c r="C15" s="4"/>
      <c r="D15" s="4"/>
      <c r="E15" s="15">
        <v>12</v>
      </c>
      <c r="F15" s="12"/>
      <c r="G15" s="4"/>
      <c r="J15" s="1">
        <f>77*200</f>
        <v>15400</v>
      </c>
      <c r="K15" s="1">
        <f>7440+7683</f>
        <v>15123</v>
      </c>
      <c r="N15" s="1">
        <v>40</v>
      </c>
    </row>
    <row r="16" spans="1:31">
      <c r="A16" s="15">
        <v>13</v>
      </c>
      <c r="B16" s="4" t="s">
        <v>918</v>
      </c>
      <c r="C16" s="4"/>
      <c r="D16" s="4"/>
      <c r="E16" s="15">
        <v>13</v>
      </c>
      <c r="F16" s="4"/>
      <c r="G16" s="4"/>
      <c r="J16" s="1">
        <f>4284-1500</f>
        <v>2784</v>
      </c>
      <c r="M16" s="1">
        <f>40+30+30+40+30+50</f>
        <v>220</v>
      </c>
      <c r="N16" s="1">
        <f>SUM(N13:N15)</f>
        <v>365</v>
      </c>
      <c r="AE16" s="1">
        <v>0</v>
      </c>
    </row>
    <row r="17" spans="1:17">
      <c r="A17" s="15">
        <v>14</v>
      </c>
      <c r="B17" s="4" t="s">
        <v>299</v>
      </c>
      <c r="C17" s="4"/>
      <c r="D17" s="4"/>
      <c r="E17" s="15">
        <v>14</v>
      </c>
      <c r="F17" s="4"/>
      <c r="G17" s="4"/>
      <c r="J17" s="1">
        <f>822-750</f>
        <v>72</v>
      </c>
      <c r="O17" s="1">
        <f>336*3%</f>
        <v>10.08</v>
      </c>
      <c r="Q17" s="1">
        <f>15810-3500</f>
        <v>12310</v>
      </c>
    </row>
    <row r="18" spans="1:17">
      <c r="A18" s="15">
        <v>15</v>
      </c>
      <c r="B18" s="6" t="s">
        <v>918</v>
      </c>
      <c r="C18" s="4"/>
      <c r="D18" s="4"/>
      <c r="E18" s="15">
        <v>15</v>
      </c>
      <c r="F18" s="4"/>
      <c r="G18" s="4"/>
    </row>
    <row r="19" spans="1:17">
      <c r="A19" s="15">
        <v>16</v>
      </c>
      <c r="B19" s="6" t="s">
        <v>1092</v>
      </c>
      <c r="C19" s="4"/>
      <c r="D19" s="4"/>
      <c r="E19" s="15">
        <v>16</v>
      </c>
      <c r="F19" s="6"/>
      <c r="G19" s="4"/>
      <c r="I19" s="1">
        <f>5390-2500</f>
        <v>2890</v>
      </c>
      <c r="M19" s="1">
        <f>480/17</f>
        <v>28.235294117647058</v>
      </c>
    </row>
    <row r="20" spans="1:17">
      <c r="A20" s="15">
        <v>17</v>
      </c>
      <c r="B20" s="4" t="s">
        <v>1094</v>
      </c>
      <c r="C20" s="4"/>
      <c r="D20" s="4"/>
      <c r="E20" s="15">
        <v>17</v>
      </c>
      <c r="F20" s="4"/>
      <c r="G20" s="4"/>
      <c r="J20" s="1">
        <f>101772+158793</f>
        <v>260565</v>
      </c>
    </row>
    <row r="21" spans="1:17">
      <c r="A21" s="15">
        <v>18</v>
      </c>
      <c r="B21" s="4" t="s">
        <v>1086</v>
      </c>
      <c r="C21" s="4"/>
      <c r="D21" s="4"/>
      <c r="E21" s="15">
        <v>18</v>
      </c>
      <c r="F21" s="4"/>
      <c r="G21" s="4"/>
      <c r="J21" s="1">
        <f>43128-20000-21470</f>
        <v>1658</v>
      </c>
      <c r="K21" s="1">
        <v>6800</v>
      </c>
      <c r="O21" s="1">
        <f>326</f>
        <v>326</v>
      </c>
    </row>
    <row r="22" spans="1:17">
      <c r="A22" s="5"/>
      <c r="B22" s="5"/>
      <c r="C22" s="5">
        <f>SUM(C4:C21)</f>
        <v>9000</v>
      </c>
      <c r="D22" s="5"/>
      <c r="E22" s="5"/>
      <c r="F22" s="5"/>
      <c r="G22" s="5">
        <f>SUM(G4:G21)</f>
        <v>9410</v>
      </c>
      <c r="I22" s="1">
        <v>111111</v>
      </c>
      <c r="J22" s="1">
        <v>33291</v>
      </c>
      <c r="K22" s="1">
        <v>13860</v>
      </c>
      <c r="M22" s="1">
        <f>112/2612</f>
        <v>4.2879019908116385E-2</v>
      </c>
      <c r="N22" s="1">
        <f>24871-7000</f>
        <v>17871</v>
      </c>
    </row>
    <row r="23" spans="1:17">
      <c r="A23" s="5"/>
      <c r="B23" s="5"/>
      <c r="C23" s="5"/>
      <c r="D23" s="5"/>
      <c r="E23" s="5"/>
      <c r="F23" s="5"/>
      <c r="G23" s="5"/>
      <c r="J23" s="1">
        <f>575/9175</f>
        <v>6.2670299727520432E-2</v>
      </c>
      <c r="K23" s="1">
        <v>15240</v>
      </c>
      <c r="M23" s="1">
        <f>23221*M22</f>
        <v>995.69372128637053</v>
      </c>
      <c r="O23" s="1">
        <f>19800-13000</f>
        <v>6800</v>
      </c>
      <c r="Q23" s="1">
        <f>48500-25000</f>
        <v>23500</v>
      </c>
    </row>
    <row r="24" spans="1:17">
      <c r="A24" s="5"/>
      <c r="B24" s="5"/>
      <c r="C24" s="5"/>
      <c r="D24" s="5"/>
      <c r="E24" s="5"/>
      <c r="F24" s="5"/>
      <c r="G24" s="5"/>
      <c r="J24" s="1">
        <f>J23*J22</f>
        <v>2086.3569482288826</v>
      </c>
      <c r="K24" s="1">
        <v>2000</v>
      </c>
      <c r="L24" s="1">
        <f>30281-27500</f>
        <v>2781</v>
      </c>
      <c r="M24" s="1">
        <f>11*12</f>
        <v>132</v>
      </c>
    </row>
    <row r="25" spans="1:17">
      <c r="A25" s="5"/>
      <c r="B25" s="5" t="s">
        <v>12</v>
      </c>
      <c r="C25" s="5">
        <f>C22-G22</f>
        <v>-410</v>
      </c>
      <c r="D25" s="5"/>
      <c r="E25" s="5"/>
      <c r="F25" s="5"/>
      <c r="G25" s="5"/>
      <c r="J25" s="1">
        <f>75+60+45+20</f>
        <v>200</v>
      </c>
      <c r="K25" s="1">
        <v>4455</v>
      </c>
      <c r="N25" s="1">
        <f>53+31</f>
        <v>84</v>
      </c>
      <c r="Q25" s="1">
        <f>27038-12500</f>
        <v>14538</v>
      </c>
    </row>
    <row r="26" spans="1:17">
      <c r="J26" s="1">
        <f>120/3920</f>
        <v>3.0612244897959183E-2</v>
      </c>
      <c r="K26" s="1">
        <v>6450</v>
      </c>
      <c r="Q26" s="1">
        <f>66129+10000</f>
        <v>76129</v>
      </c>
    </row>
    <row r="27" spans="1:17">
      <c r="J27" s="1">
        <f>2505*J26</f>
        <v>76.683673469387756</v>
      </c>
      <c r="K27" s="1">
        <v>14809</v>
      </c>
      <c r="M27" s="1">
        <f>5800+6000+3860</f>
        <v>15660</v>
      </c>
      <c r="O27" s="1">
        <f>17640-9500</f>
        <v>8140</v>
      </c>
    </row>
    <row r="28" spans="1:17">
      <c r="K28" s="1">
        <v>14685</v>
      </c>
    </row>
    <row r="29" spans="1:17">
      <c r="K29" s="1">
        <v>22924</v>
      </c>
    </row>
    <row r="30" spans="1:17">
      <c r="K30" s="1">
        <f>SUM(K21:K29)</f>
        <v>101223</v>
      </c>
      <c r="N30" s="1">
        <f>6450+14809+4455</f>
        <v>25714</v>
      </c>
    </row>
    <row r="31" spans="1:17">
      <c r="A31" s="13" t="s">
        <v>0</v>
      </c>
      <c r="B31" s="13" t="s">
        <v>1</v>
      </c>
      <c r="C31" s="13" t="s">
        <v>2</v>
      </c>
    </row>
    <row r="32" spans="1:17">
      <c r="A32" s="27">
        <v>1</v>
      </c>
      <c r="B32" s="6" t="s">
        <v>1090</v>
      </c>
      <c r="C32" s="4"/>
      <c r="J32" s="9">
        <v>1812417099</v>
      </c>
    </row>
    <row r="33" spans="1:14">
      <c r="A33" s="27">
        <v>2</v>
      </c>
      <c r="B33" s="6" t="s">
        <v>1074</v>
      </c>
      <c r="C33" s="4"/>
    </row>
    <row r="34" spans="1:14">
      <c r="A34" s="27">
        <v>3</v>
      </c>
      <c r="B34" s="6" t="s">
        <v>1085</v>
      </c>
      <c r="C34" s="4"/>
    </row>
    <row r="35" spans="1:14">
      <c r="A35" s="27">
        <v>4</v>
      </c>
      <c r="B35" s="6" t="s">
        <v>1151</v>
      </c>
      <c r="C35" s="4"/>
      <c r="N35" s="1">
        <f>591*6</f>
        <v>3546</v>
      </c>
    </row>
    <row r="36" spans="1:14">
      <c r="A36" s="27">
        <v>5</v>
      </c>
      <c r="B36" s="6" t="s">
        <v>961</v>
      </c>
      <c r="C36" s="4"/>
    </row>
    <row r="37" spans="1:14" ht="17.25">
      <c r="B37" s="30" t="s">
        <v>1097</v>
      </c>
      <c r="C37" s="29">
        <f>SUM(C32:C36)</f>
        <v>0</v>
      </c>
      <c r="N37" s="1">
        <f>SUM(N32:N35)</f>
        <v>3546</v>
      </c>
    </row>
    <row r="38" spans="1:14">
      <c r="B38" s="10"/>
    </row>
    <row r="39" spans="1:14">
      <c r="B39" s="10"/>
      <c r="N39" s="1">
        <f>792-853</f>
        <v>-61</v>
      </c>
    </row>
    <row r="40" spans="1:14">
      <c r="B40" s="10"/>
    </row>
    <row r="41" spans="1:14">
      <c r="B41" s="10"/>
    </row>
  </sheetData>
  <printOptions horizontalCentered="1"/>
  <pageMargins left="0.7" right="0.7" top="0.75" bottom="0.75" header="0.3" footer="0.3"/>
  <pageSetup paperSize="9" orientation="portrait" r:id="rId1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dimension ref="A1:N46"/>
  <sheetViews>
    <sheetView topLeftCell="A16" zoomScale="145" zoomScaleNormal="145" workbookViewId="0">
      <selection activeCell="I31" sqref="I31"/>
    </sheetView>
  </sheetViews>
  <sheetFormatPr defaultColWidth="9.140625" defaultRowHeight="15.75"/>
  <cols>
    <col min="1" max="1" width="11.140625" style="1" customWidth="1"/>
    <col min="2" max="2" width="5" style="1" customWidth="1"/>
    <col min="3" max="3" width="16.7109375" style="1" customWidth="1"/>
    <col min="4" max="4" width="9.5703125" style="1" customWidth="1"/>
    <col min="5" max="5" width="2" style="1" customWidth="1"/>
    <col min="6" max="6" width="9" style="1" customWidth="1"/>
    <col min="7" max="7" width="4.42578125" style="1" customWidth="1"/>
    <col min="8" max="8" width="19" style="1" customWidth="1"/>
    <col min="9" max="9" width="13.140625" style="1" customWidth="1"/>
    <col min="10" max="10" width="3.28515625" style="1" customWidth="1"/>
    <col min="11" max="11" width="9.85546875" style="1" customWidth="1"/>
    <col min="12" max="12" width="5.42578125" style="1" customWidth="1"/>
    <col min="13" max="13" width="16.42578125" style="1" customWidth="1"/>
    <col min="14" max="14" width="10.85546875" style="1" customWidth="1"/>
    <col min="15" max="16384" width="9.140625" style="1"/>
  </cols>
  <sheetData>
    <row r="1" spans="1:14" ht="17.25">
      <c r="A1" s="36" t="s">
        <v>21</v>
      </c>
      <c r="B1" s="37"/>
      <c r="C1" s="37"/>
      <c r="D1" s="38"/>
      <c r="H1" s="2" t="s">
        <v>14</v>
      </c>
      <c r="I1" s="3"/>
      <c r="J1" s="3"/>
    </row>
    <row r="3" spans="1:14">
      <c r="A3" s="18" t="s">
        <v>1008</v>
      </c>
      <c r="B3" s="18" t="s">
        <v>0</v>
      </c>
      <c r="C3" s="18" t="s">
        <v>1009</v>
      </c>
      <c r="D3" s="18" t="s">
        <v>2</v>
      </c>
      <c r="E3" s="18"/>
      <c r="F3" s="18" t="s">
        <v>1008</v>
      </c>
      <c r="G3" s="18" t="s">
        <v>3</v>
      </c>
      <c r="H3" s="18" t="s">
        <v>1010</v>
      </c>
      <c r="I3" s="18" t="s">
        <v>2</v>
      </c>
      <c r="J3" s="18"/>
      <c r="K3" s="18" t="s">
        <v>1008</v>
      </c>
      <c r="L3" s="18" t="s">
        <v>3</v>
      </c>
      <c r="M3" s="18" t="s">
        <v>1010</v>
      </c>
      <c r="N3" s="18" t="s">
        <v>2</v>
      </c>
    </row>
    <row r="4" spans="1:14">
      <c r="A4" s="34" t="s">
        <v>1011</v>
      </c>
      <c r="B4" s="15">
        <v>1</v>
      </c>
      <c r="C4" s="4" t="s">
        <v>4</v>
      </c>
      <c r="D4" s="4">
        <v>449607</v>
      </c>
      <c r="E4" s="4"/>
      <c r="F4" s="31" t="s">
        <v>1015</v>
      </c>
      <c r="G4" s="15">
        <v>1</v>
      </c>
      <c r="H4" s="4" t="s">
        <v>1012</v>
      </c>
      <c r="I4" s="4">
        <v>310000</v>
      </c>
      <c r="J4" s="4"/>
      <c r="K4" s="31" t="s">
        <v>1015</v>
      </c>
      <c r="L4" s="15">
        <v>1</v>
      </c>
      <c r="M4" s="4" t="s">
        <v>1013</v>
      </c>
      <c r="N4" s="4">
        <v>350</v>
      </c>
    </row>
    <row r="5" spans="1:14">
      <c r="A5" s="34"/>
      <c r="B5" s="15">
        <v>2</v>
      </c>
      <c r="C5" s="4" t="s">
        <v>135</v>
      </c>
      <c r="D5" s="4">
        <v>474763</v>
      </c>
      <c r="E5" s="4"/>
      <c r="F5" s="33"/>
      <c r="G5" s="15">
        <v>2</v>
      </c>
      <c r="H5" s="4" t="s">
        <v>919</v>
      </c>
      <c r="I5" s="4"/>
      <c r="J5" s="4"/>
      <c r="K5" s="32"/>
      <c r="L5" s="15">
        <v>2</v>
      </c>
      <c r="M5" s="4" t="s">
        <v>20</v>
      </c>
      <c r="N5" s="4">
        <v>1190</v>
      </c>
    </row>
    <row r="6" spans="1:14">
      <c r="A6" s="34"/>
      <c r="B6" s="15">
        <v>3</v>
      </c>
      <c r="C6" s="23" t="s">
        <v>1022</v>
      </c>
      <c r="D6" s="23">
        <v>411675</v>
      </c>
      <c r="E6" s="4"/>
      <c r="F6" s="31" t="s">
        <v>1016</v>
      </c>
      <c r="G6" s="17">
        <v>1</v>
      </c>
      <c r="H6" s="4" t="s">
        <v>813</v>
      </c>
      <c r="I6" s="4">
        <v>325000</v>
      </c>
      <c r="J6" s="4"/>
      <c r="K6" s="33"/>
      <c r="L6" s="15">
        <v>3</v>
      </c>
      <c r="M6" s="4" t="s">
        <v>1014</v>
      </c>
      <c r="N6" s="4">
        <v>1400</v>
      </c>
    </row>
    <row r="7" spans="1:14">
      <c r="A7" s="34" t="s">
        <v>1019</v>
      </c>
      <c r="B7" s="15">
        <v>1</v>
      </c>
      <c r="C7" s="4" t="s">
        <v>19</v>
      </c>
      <c r="D7" s="4">
        <v>207730</v>
      </c>
      <c r="E7" s="4"/>
      <c r="F7" s="32"/>
      <c r="G7" s="17">
        <v>2</v>
      </c>
      <c r="H7" s="4" t="s">
        <v>1018</v>
      </c>
      <c r="I7" s="4">
        <v>500000</v>
      </c>
      <c r="J7" s="4"/>
      <c r="K7" s="34" t="s">
        <v>1016</v>
      </c>
      <c r="L7" s="15">
        <v>1</v>
      </c>
      <c r="M7" s="4" t="s">
        <v>1021</v>
      </c>
      <c r="N7" s="4">
        <v>100</v>
      </c>
    </row>
    <row r="8" spans="1:14">
      <c r="A8" s="34"/>
      <c r="B8" s="15">
        <v>2</v>
      </c>
      <c r="C8" s="4" t="s">
        <v>7</v>
      </c>
      <c r="D8" s="4">
        <v>45340</v>
      </c>
      <c r="E8" s="4"/>
      <c r="F8" s="33"/>
      <c r="G8" s="20">
        <v>3</v>
      </c>
      <c r="H8" s="4" t="s">
        <v>1020</v>
      </c>
      <c r="I8" s="4">
        <v>15000</v>
      </c>
      <c r="J8" s="4"/>
      <c r="K8" s="34"/>
      <c r="L8" s="17">
        <v>2</v>
      </c>
      <c r="M8" s="4" t="s">
        <v>467</v>
      </c>
      <c r="N8" s="4">
        <v>140</v>
      </c>
    </row>
    <row r="9" spans="1:14">
      <c r="A9" s="34"/>
      <c r="B9" s="17">
        <v>3</v>
      </c>
      <c r="C9" s="23" t="s">
        <v>1022</v>
      </c>
      <c r="D9" s="23">
        <v>398332</v>
      </c>
      <c r="E9" s="4"/>
      <c r="F9" s="31" t="s">
        <v>1024</v>
      </c>
      <c r="G9" s="15">
        <v>1</v>
      </c>
      <c r="H9" s="4" t="s">
        <v>813</v>
      </c>
      <c r="I9" s="4">
        <v>175000</v>
      </c>
      <c r="J9" s="4"/>
      <c r="K9" s="34"/>
      <c r="L9" s="15">
        <v>3</v>
      </c>
      <c r="M9" s="6" t="s">
        <v>1013</v>
      </c>
      <c r="N9" s="4">
        <v>350</v>
      </c>
    </row>
    <row r="10" spans="1:14">
      <c r="A10" s="31" t="s">
        <v>1025</v>
      </c>
      <c r="B10" s="20">
        <v>1</v>
      </c>
      <c r="C10" s="4" t="s">
        <v>1026</v>
      </c>
      <c r="D10" s="4">
        <v>100000</v>
      </c>
      <c r="E10" s="4"/>
      <c r="F10" s="32"/>
      <c r="G10" s="15">
        <v>2</v>
      </c>
      <c r="H10" s="4" t="s">
        <v>1012</v>
      </c>
      <c r="I10" s="4">
        <v>125000</v>
      </c>
      <c r="J10" s="4"/>
      <c r="K10" s="34"/>
      <c r="L10" s="17">
        <v>4</v>
      </c>
      <c r="M10" s="4" t="s">
        <v>20</v>
      </c>
      <c r="N10" s="4">
        <v>150</v>
      </c>
    </row>
    <row r="11" spans="1:14">
      <c r="A11" s="32"/>
      <c r="B11" s="20">
        <v>2</v>
      </c>
      <c r="C11" s="23" t="s">
        <v>1022</v>
      </c>
      <c r="D11" s="23">
        <v>456310</v>
      </c>
      <c r="E11" s="4"/>
      <c r="F11" s="32"/>
      <c r="G11" s="15">
        <v>3</v>
      </c>
      <c r="H11" s="4" t="s">
        <v>820</v>
      </c>
      <c r="I11" s="4">
        <v>308000</v>
      </c>
      <c r="J11" s="4"/>
      <c r="K11" s="31" t="s">
        <v>1024</v>
      </c>
      <c r="L11" s="15">
        <v>1</v>
      </c>
      <c r="M11" s="4" t="s">
        <v>1021</v>
      </c>
      <c r="N11" s="4">
        <v>200</v>
      </c>
    </row>
    <row r="12" spans="1:14">
      <c r="A12" s="33"/>
      <c r="B12" s="20">
        <v>3</v>
      </c>
      <c r="C12" s="4" t="s">
        <v>1028</v>
      </c>
      <c r="D12" s="4">
        <v>30000</v>
      </c>
      <c r="E12" s="4"/>
      <c r="F12" s="33"/>
      <c r="G12" s="20">
        <v>4</v>
      </c>
      <c r="H12" s="4" t="s">
        <v>1027</v>
      </c>
      <c r="I12" s="4">
        <v>11000</v>
      </c>
      <c r="J12" s="4"/>
      <c r="K12" s="32"/>
      <c r="L12" s="15">
        <v>2</v>
      </c>
      <c r="M12" s="4" t="s">
        <v>1013</v>
      </c>
      <c r="N12" s="4">
        <v>350</v>
      </c>
    </row>
    <row r="13" spans="1:14">
      <c r="A13" s="31" t="s">
        <v>1031</v>
      </c>
      <c r="B13" s="21">
        <v>1</v>
      </c>
      <c r="C13" s="23" t="s">
        <v>1022</v>
      </c>
      <c r="D13" s="23">
        <v>432459</v>
      </c>
      <c r="E13" s="4"/>
      <c r="F13" s="31" t="s">
        <v>1029</v>
      </c>
      <c r="G13" s="15">
        <v>1</v>
      </c>
      <c r="H13" s="4" t="s">
        <v>813</v>
      </c>
      <c r="I13" s="4">
        <v>260000</v>
      </c>
      <c r="J13" s="4"/>
      <c r="K13" s="33"/>
      <c r="L13" s="15">
        <v>3</v>
      </c>
      <c r="M13" s="4" t="s">
        <v>20</v>
      </c>
      <c r="N13" s="4">
        <v>450</v>
      </c>
    </row>
    <row r="14" spans="1:14">
      <c r="A14" s="32"/>
      <c r="B14" s="21">
        <v>2</v>
      </c>
      <c r="C14" s="4" t="s">
        <v>945</v>
      </c>
      <c r="D14" s="4">
        <v>123500</v>
      </c>
      <c r="E14" s="4"/>
      <c r="F14" s="32"/>
      <c r="G14" s="15">
        <v>2</v>
      </c>
      <c r="H14" s="4" t="s">
        <v>1012</v>
      </c>
      <c r="I14" s="4">
        <v>120000</v>
      </c>
      <c r="J14" s="4"/>
      <c r="K14" s="31" t="s">
        <v>1029</v>
      </c>
      <c r="L14" s="15">
        <v>1</v>
      </c>
      <c r="M14" s="4" t="s">
        <v>1021</v>
      </c>
      <c r="N14" s="4">
        <v>100</v>
      </c>
    </row>
    <row r="15" spans="1:14">
      <c r="A15" s="33"/>
      <c r="B15" s="21">
        <v>3</v>
      </c>
      <c r="C15" s="4" t="s">
        <v>1032</v>
      </c>
      <c r="D15" s="4">
        <v>21000</v>
      </c>
      <c r="E15" s="4"/>
      <c r="F15" s="33"/>
      <c r="G15" s="15">
        <v>3</v>
      </c>
      <c r="H15" s="4" t="s">
        <v>1018</v>
      </c>
      <c r="I15" s="4">
        <v>200000</v>
      </c>
      <c r="J15" s="4"/>
      <c r="K15" s="32"/>
      <c r="L15" s="15">
        <v>2</v>
      </c>
      <c r="M15" s="4" t="s">
        <v>1030</v>
      </c>
      <c r="N15" s="4">
        <v>100</v>
      </c>
    </row>
    <row r="16" spans="1:14">
      <c r="A16" s="31" t="s">
        <v>1033</v>
      </c>
      <c r="B16" s="15">
        <v>1</v>
      </c>
      <c r="C16" s="23" t="s">
        <v>1022</v>
      </c>
      <c r="D16" s="4">
        <v>440520</v>
      </c>
      <c r="E16" s="4"/>
      <c r="F16" s="24" t="s">
        <v>1034</v>
      </c>
      <c r="G16" s="22">
        <v>1</v>
      </c>
      <c r="H16" s="4" t="s">
        <v>1012</v>
      </c>
      <c r="I16" s="19">
        <v>500000</v>
      </c>
      <c r="J16" s="4"/>
      <c r="K16" s="33"/>
      <c r="L16" s="15">
        <v>3</v>
      </c>
      <c r="M16" s="4" t="s">
        <v>1013</v>
      </c>
      <c r="N16" s="4">
        <v>300</v>
      </c>
    </row>
    <row r="17" spans="1:14">
      <c r="A17" s="32"/>
      <c r="B17" s="15">
        <v>2</v>
      </c>
      <c r="C17" s="4" t="s">
        <v>1035</v>
      </c>
      <c r="D17" s="4">
        <v>20736</v>
      </c>
      <c r="E17" s="4"/>
      <c r="F17" s="31" t="s">
        <v>1038</v>
      </c>
      <c r="G17" s="24">
        <v>1</v>
      </c>
      <c r="H17" s="4" t="s">
        <v>813</v>
      </c>
      <c r="I17" s="19">
        <v>300000</v>
      </c>
      <c r="J17" s="4"/>
      <c r="K17" s="31" t="s">
        <v>1034</v>
      </c>
      <c r="L17" s="15">
        <v>1</v>
      </c>
      <c r="M17" s="4" t="s">
        <v>20</v>
      </c>
      <c r="N17" s="4">
        <v>360</v>
      </c>
    </row>
    <row r="18" spans="1:14">
      <c r="A18" s="33"/>
      <c r="B18" s="22">
        <v>3</v>
      </c>
      <c r="C18" s="4" t="s">
        <v>1036</v>
      </c>
      <c r="D18" s="4">
        <v>7000</v>
      </c>
      <c r="E18" s="4"/>
      <c r="F18" s="32"/>
      <c r="G18" s="24">
        <v>2</v>
      </c>
      <c r="H18" s="4" t="s">
        <v>820</v>
      </c>
      <c r="I18" s="19">
        <v>100000</v>
      </c>
      <c r="J18" s="4"/>
      <c r="K18" s="33"/>
      <c r="L18" s="15">
        <v>2</v>
      </c>
      <c r="M18" s="4" t="s">
        <v>1013</v>
      </c>
      <c r="N18" s="4">
        <v>300</v>
      </c>
    </row>
    <row r="19" spans="1:14">
      <c r="A19" s="31" t="s">
        <v>1037</v>
      </c>
      <c r="B19" s="24">
        <v>1</v>
      </c>
      <c r="C19" s="23" t="s">
        <v>1022</v>
      </c>
      <c r="D19" s="4">
        <v>420853</v>
      </c>
      <c r="E19" s="4"/>
      <c r="F19" s="33"/>
      <c r="G19" s="24">
        <v>3</v>
      </c>
      <c r="H19" s="4" t="s">
        <v>1018</v>
      </c>
      <c r="I19" s="19">
        <v>200000</v>
      </c>
      <c r="J19" s="4"/>
      <c r="K19" s="31" t="s">
        <v>1038</v>
      </c>
      <c r="L19" s="17">
        <v>1</v>
      </c>
      <c r="M19" s="4" t="s">
        <v>20</v>
      </c>
      <c r="N19" s="4">
        <f>75+120</f>
        <v>195</v>
      </c>
    </row>
    <row r="20" spans="1:14">
      <c r="A20" s="32"/>
      <c r="B20" s="24">
        <v>2</v>
      </c>
      <c r="C20" s="4" t="s">
        <v>1035</v>
      </c>
      <c r="D20" s="4">
        <v>9192</v>
      </c>
      <c r="E20" s="4"/>
      <c r="F20" s="4"/>
      <c r="G20" s="4"/>
      <c r="H20" s="19"/>
      <c r="I20" s="19"/>
      <c r="J20" s="4"/>
      <c r="K20" s="32"/>
      <c r="L20" s="17">
        <v>2</v>
      </c>
      <c r="M20" s="6" t="s">
        <v>1013</v>
      </c>
      <c r="N20" s="4">
        <v>300</v>
      </c>
    </row>
    <row r="21" spans="1:14">
      <c r="A21" s="32"/>
      <c r="B21" s="15">
        <v>3</v>
      </c>
      <c r="C21" s="4" t="s">
        <v>7</v>
      </c>
      <c r="D21" s="4">
        <v>50000</v>
      </c>
      <c r="E21" s="4"/>
      <c r="F21" s="4"/>
      <c r="G21" s="4"/>
      <c r="H21" s="19"/>
      <c r="I21" s="19"/>
      <c r="J21" s="4"/>
      <c r="K21" s="32"/>
      <c r="L21" s="17">
        <v>3</v>
      </c>
      <c r="M21" s="12" t="s">
        <v>1040</v>
      </c>
      <c r="N21" s="4">
        <v>300</v>
      </c>
    </row>
    <row r="22" spans="1:14">
      <c r="A22" s="32"/>
      <c r="B22" s="15">
        <v>4</v>
      </c>
      <c r="C22" s="4" t="s">
        <v>638</v>
      </c>
      <c r="D22" s="4">
        <v>53400</v>
      </c>
      <c r="E22" s="4"/>
      <c r="F22" s="4"/>
      <c r="G22" s="4"/>
      <c r="H22" s="19"/>
      <c r="I22" s="19"/>
      <c r="J22" s="4"/>
      <c r="K22" s="32"/>
      <c r="L22" s="17">
        <v>4</v>
      </c>
      <c r="M22" s="6" t="s">
        <v>1044</v>
      </c>
      <c r="N22" s="4">
        <v>200</v>
      </c>
    </row>
    <row r="23" spans="1:14">
      <c r="A23" s="32"/>
      <c r="B23" s="15">
        <v>5</v>
      </c>
      <c r="C23" s="4" t="s">
        <v>1039</v>
      </c>
      <c r="D23" s="4">
        <v>40740</v>
      </c>
      <c r="E23" s="4"/>
      <c r="F23" s="4"/>
      <c r="G23" s="4"/>
      <c r="H23" s="19"/>
      <c r="I23" s="19"/>
      <c r="J23" s="4"/>
      <c r="K23" s="33"/>
      <c r="L23" s="17">
        <v>5</v>
      </c>
      <c r="M23" s="6" t="s">
        <v>1042</v>
      </c>
      <c r="N23" s="4">
        <v>11430</v>
      </c>
    </row>
    <row r="24" spans="1:14">
      <c r="A24" s="33"/>
      <c r="B24" s="15">
        <v>6</v>
      </c>
      <c r="C24" s="4" t="s">
        <v>1043</v>
      </c>
      <c r="D24" s="4">
        <v>31500</v>
      </c>
      <c r="E24" s="4"/>
      <c r="F24" s="4"/>
      <c r="G24" s="4"/>
      <c r="H24" s="19"/>
      <c r="I24" s="19"/>
      <c r="J24" s="4"/>
      <c r="K24" s="31" t="s">
        <v>1045</v>
      </c>
      <c r="L24" s="25">
        <v>1</v>
      </c>
      <c r="M24" s="6" t="s">
        <v>117</v>
      </c>
      <c r="N24" s="4">
        <v>430</v>
      </c>
    </row>
    <row r="25" spans="1:14">
      <c r="A25" s="26"/>
      <c r="B25" s="15"/>
      <c r="C25" s="4"/>
      <c r="D25" s="4"/>
      <c r="E25" s="4"/>
      <c r="F25" s="4"/>
      <c r="G25" s="4"/>
      <c r="H25" s="19"/>
      <c r="I25" s="19"/>
      <c r="J25" s="4"/>
      <c r="K25" s="32"/>
      <c r="L25" s="25">
        <v>2</v>
      </c>
      <c r="M25" s="6" t="s">
        <v>1013</v>
      </c>
      <c r="N25" s="4">
        <v>250</v>
      </c>
    </row>
    <row r="26" spans="1:14">
      <c r="A26" s="26"/>
      <c r="B26" s="15"/>
      <c r="C26" s="4"/>
      <c r="D26" s="4"/>
      <c r="E26" s="4"/>
      <c r="F26" s="4"/>
      <c r="G26" s="4"/>
      <c r="H26" s="19"/>
      <c r="I26" s="19"/>
      <c r="J26" s="4"/>
      <c r="K26" s="32"/>
      <c r="L26" s="25">
        <v>3</v>
      </c>
      <c r="M26" s="6" t="s">
        <v>467</v>
      </c>
      <c r="N26" s="4">
        <v>200</v>
      </c>
    </row>
    <row r="27" spans="1:14">
      <c r="A27" s="26"/>
      <c r="B27" s="15"/>
      <c r="C27" s="4"/>
      <c r="D27" s="4"/>
      <c r="E27" s="4"/>
      <c r="F27" s="4"/>
      <c r="G27" s="4"/>
      <c r="H27" s="19"/>
      <c r="I27" s="19"/>
      <c r="J27" s="4"/>
      <c r="K27" s="32"/>
      <c r="L27" s="25">
        <v>4</v>
      </c>
      <c r="M27" s="6" t="s">
        <v>20</v>
      </c>
      <c r="N27" s="4">
        <v>750</v>
      </c>
    </row>
    <row r="28" spans="1:14">
      <c r="A28" s="26"/>
      <c r="B28" s="15"/>
      <c r="C28" s="4"/>
      <c r="D28" s="4"/>
      <c r="E28" s="4"/>
      <c r="F28" s="4"/>
      <c r="G28" s="4"/>
      <c r="H28" s="19" t="s">
        <v>898</v>
      </c>
      <c r="I28" s="19">
        <v>67000</v>
      </c>
      <c r="J28" s="4"/>
      <c r="K28" s="32"/>
      <c r="L28" s="25">
        <v>5</v>
      </c>
      <c r="M28" s="6" t="s">
        <v>1046</v>
      </c>
      <c r="N28" s="4">
        <v>350</v>
      </c>
    </row>
    <row r="29" spans="1:14">
      <c r="A29" s="26"/>
      <c r="B29" s="15"/>
      <c r="C29" s="4"/>
      <c r="D29" s="4"/>
      <c r="E29" s="4"/>
      <c r="F29" s="4"/>
      <c r="G29" s="4"/>
      <c r="H29" s="19" t="s">
        <v>6</v>
      </c>
      <c r="I29" s="19">
        <v>64984</v>
      </c>
      <c r="J29" s="4"/>
      <c r="K29" s="33"/>
      <c r="L29" s="25">
        <v>6</v>
      </c>
      <c r="M29" s="6" t="s">
        <v>1047</v>
      </c>
      <c r="N29" s="4">
        <v>200</v>
      </c>
    </row>
    <row r="30" spans="1:14">
      <c r="A30" s="4"/>
      <c r="B30" s="4"/>
      <c r="C30" s="4"/>
      <c r="D30" s="4"/>
      <c r="E30" s="4"/>
      <c r="F30" s="4"/>
      <c r="G30" s="4"/>
      <c r="H30" s="19" t="s">
        <v>1023</v>
      </c>
      <c r="I30" s="19">
        <v>20000</v>
      </c>
      <c r="J30" s="4"/>
      <c r="K30" s="4"/>
      <c r="L30" s="17"/>
      <c r="M30" s="4"/>
      <c r="N30" s="4"/>
    </row>
    <row r="31" spans="1:14">
      <c r="A31" s="4"/>
      <c r="B31" s="4"/>
      <c r="C31" s="4"/>
      <c r="D31" s="4"/>
      <c r="E31" s="4"/>
      <c r="F31" s="4"/>
      <c r="G31" s="4"/>
      <c r="H31" s="19" t="s">
        <v>1041</v>
      </c>
      <c r="I31" s="4">
        <v>25000</v>
      </c>
      <c r="J31" s="4"/>
      <c r="K31" s="4"/>
      <c r="L31" s="17"/>
      <c r="M31" s="4"/>
      <c r="N31" s="4"/>
    </row>
    <row r="32" spans="1:14">
      <c r="B32" s="5"/>
      <c r="C32" s="5"/>
      <c r="D32" s="5">
        <f>SUM(D4:D31)</f>
        <v>4224657</v>
      </c>
      <c r="E32" s="5"/>
      <c r="F32" s="5"/>
      <c r="G32" s="5"/>
      <c r="H32" s="5"/>
      <c r="I32" s="5">
        <f>SUM(I4:I31)</f>
        <v>3625984</v>
      </c>
      <c r="J32" s="5"/>
      <c r="N32" s="5">
        <f>SUM(N4:N31)</f>
        <v>20445</v>
      </c>
    </row>
    <row r="35" spans="6:13">
      <c r="F35" s="35" t="s">
        <v>1017</v>
      </c>
      <c r="G35" s="35"/>
      <c r="H35" s="16">
        <f>D32-I32-N32</f>
        <v>578228</v>
      </c>
    </row>
    <row r="43" spans="6:13">
      <c r="M43" s="1" t="s">
        <v>1048</v>
      </c>
    </row>
    <row r="44" spans="6:13">
      <c r="M44" s="1" t="s">
        <v>1049</v>
      </c>
    </row>
    <row r="45" spans="6:13">
      <c r="M45" s="1" t="s">
        <v>1050</v>
      </c>
    </row>
    <row r="46" spans="6:13">
      <c r="M46" s="1" t="s">
        <v>1051</v>
      </c>
    </row>
  </sheetData>
  <mergeCells count="20">
    <mergeCell ref="A1:D1"/>
    <mergeCell ref="A7:A9"/>
    <mergeCell ref="K7:K10"/>
    <mergeCell ref="F6:F8"/>
    <mergeCell ref="K11:K13"/>
    <mergeCell ref="F9:F12"/>
    <mergeCell ref="A10:A12"/>
    <mergeCell ref="A13:A15"/>
    <mergeCell ref="F13:F15"/>
    <mergeCell ref="A16:A18"/>
    <mergeCell ref="K4:K6"/>
    <mergeCell ref="F4:F5"/>
    <mergeCell ref="A4:A6"/>
    <mergeCell ref="F35:G35"/>
    <mergeCell ref="K14:K16"/>
    <mergeCell ref="K17:K18"/>
    <mergeCell ref="F17:F19"/>
    <mergeCell ref="K19:K23"/>
    <mergeCell ref="A19:A24"/>
    <mergeCell ref="K24:K29"/>
  </mergeCells>
  <printOptions horizontalCentered="1"/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2"/>
  <sheetViews>
    <sheetView zoomScale="145" zoomScaleNormal="145" workbookViewId="0">
      <selection activeCell="B11" sqref="B10:B11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8.140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36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1031000</v>
      </c>
      <c r="D4" s="4"/>
      <c r="E4" s="4">
        <v>1</v>
      </c>
      <c r="F4" s="4" t="s">
        <v>37</v>
      </c>
      <c r="G4" s="4">
        <v>450000</v>
      </c>
    </row>
    <row r="5" spans="1:11">
      <c r="A5" s="4">
        <v>2</v>
      </c>
      <c r="B5" s="4" t="s">
        <v>6</v>
      </c>
      <c r="C5" s="4">
        <v>213683</v>
      </c>
      <c r="D5" s="4"/>
      <c r="E5" s="4">
        <v>2</v>
      </c>
      <c r="F5" s="4" t="s">
        <v>38</v>
      </c>
      <c r="G5" s="4">
        <v>700000</v>
      </c>
    </row>
    <row r="6" spans="1:11">
      <c r="A6" s="4">
        <v>3</v>
      </c>
      <c r="B6" s="4" t="s">
        <v>7</v>
      </c>
      <c r="C6" s="4">
        <v>100000</v>
      </c>
      <c r="D6" s="4"/>
      <c r="E6" s="4">
        <v>3</v>
      </c>
      <c r="F6" s="4" t="s">
        <v>39</v>
      </c>
      <c r="G6" s="4">
        <v>215</v>
      </c>
    </row>
    <row r="7" spans="1:11">
      <c r="A7" s="4">
        <v>4</v>
      </c>
      <c r="B7" s="4" t="s">
        <v>8</v>
      </c>
      <c r="C7" s="4">
        <v>34000</v>
      </c>
      <c r="D7" s="4"/>
      <c r="E7" s="4">
        <v>4</v>
      </c>
      <c r="F7" s="4" t="s">
        <v>9</v>
      </c>
      <c r="G7" s="4">
        <v>250</v>
      </c>
      <c r="K7" s="1">
        <f>30*20</f>
        <v>600</v>
      </c>
    </row>
    <row r="8" spans="1:11">
      <c r="A8" s="4">
        <v>5</v>
      </c>
      <c r="B8" s="4" t="s">
        <v>25</v>
      </c>
      <c r="C8" s="4"/>
      <c r="D8" s="4"/>
      <c r="E8" s="4">
        <v>5</v>
      </c>
      <c r="F8" s="4" t="s">
        <v>40</v>
      </c>
      <c r="G8" s="4">
        <v>113796</v>
      </c>
    </row>
    <row r="9" spans="1:11">
      <c r="A9" s="4">
        <v>6</v>
      </c>
      <c r="B9" s="4"/>
      <c r="C9" s="4"/>
      <c r="D9" s="4"/>
      <c r="E9" s="4">
        <v>6</v>
      </c>
      <c r="F9" s="4"/>
      <c r="G9" s="4"/>
    </row>
    <row r="10" spans="1:11">
      <c r="A10" s="4">
        <v>7</v>
      </c>
      <c r="B10" s="4"/>
      <c r="C10" s="4"/>
      <c r="D10" s="4"/>
      <c r="E10" s="4">
        <v>7</v>
      </c>
      <c r="F10" s="4"/>
      <c r="G10" s="4"/>
    </row>
    <row r="11" spans="1:11">
      <c r="A11" s="4">
        <v>8</v>
      </c>
      <c r="B11" s="4"/>
      <c r="C11" s="4"/>
      <c r="D11" s="4"/>
      <c r="E11" s="4">
        <v>8</v>
      </c>
      <c r="F11" s="4"/>
      <c r="G11" s="4"/>
    </row>
    <row r="12" spans="1:11">
      <c r="A12" s="4">
        <v>9</v>
      </c>
      <c r="B12" s="4"/>
      <c r="C12" s="4"/>
      <c r="D12" s="4"/>
      <c r="E12" s="4">
        <v>9</v>
      </c>
      <c r="F12" s="4"/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41</v>
      </c>
      <c r="G13" s="4">
        <v>11235</v>
      </c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79823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1">
      <c r="A17" s="4">
        <v>14</v>
      </c>
      <c r="B17" s="4"/>
      <c r="C17" s="4"/>
      <c r="D17" s="4"/>
      <c r="E17" s="4">
        <v>14</v>
      </c>
      <c r="F17" s="4"/>
      <c r="G17" s="4"/>
    </row>
    <row r="18" spans="1:11">
      <c r="A18" s="4">
        <v>15</v>
      </c>
      <c r="B18" s="4"/>
      <c r="C18" s="4"/>
      <c r="D18" s="4"/>
      <c r="E18" s="4">
        <v>15</v>
      </c>
      <c r="F18" s="4"/>
      <c r="G18" s="4"/>
    </row>
    <row r="19" spans="1:11">
      <c r="A19" s="5"/>
      <c r="B19" s="5"/>
      <c r="C19" s="5">
        <f>SUM(C4:C18)</f>
        <v>1378683</v>
      </c>
      <c r="D19" s="5"/>
      <c r="E19" s="5"/>
      <c r="F19" s="5"/>
      <c r="G19" s="5">
        <f>SUM(G4:G18)</f>
        <v>1355319</v>
      </c>
    </row>
    <row r="20" spans="1:11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1">
      <c r="A21" s="5"/>
      <c r="B21" s="5"/>
      <c r="C21" s="5"/>
      <c r="D21" s="5"/>
      <c r="E21" s="5"/>
      <c r="F21" s="5"/>
      <c r="G21" s="5"/>
    </row>
    <row r="22" spans="1:11">
      <c r="A22" s="5"/>
      <c r="B22" s="5" t="s">
        <v>12</v>
      </c>
      <c r="C22" s="5">
        <f>C19-G19</f>
        <v>23364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O34"/>
  <sheetViews>
    <sheetView zoomScale="145" zoomScaleNormal="145" workbookViewId="0">
      <selection activeCell="F17" sqref="F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167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250100</v>
      </c>
      <c r="D4" s="4"/>
      <c r="E4" s="4">
        <v>1</v>
      </c>
      <c r="F4" s="4" t="s">
        <v>5</v>
      </c>
      <c r="G4" s="4">
        <v>150000</v>
      </c>
    </row>
    <row r="5" spans="1:11">
      <c r="A5" s="4">
        <v>2</v>
      </c>
      <c r="B5" s="4" t="s">
        <v>4</v>
      </c>
      <c r="C5" s="4">
        <v>101948</v>
      </c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100000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149</v>
      </c>
      <c r="C10" s="4"/>
      <c r="D10" s="4"/>
      <c r="E10" s="4">
        <v>7</v>
      </c>
      <c r="F10" s="4" t="s">
        <v>20</v>
      </c>
      <c r="G10" s="4"/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168</v>
      </c>
      <c r="G11" s="4">
        <v>7700</v>
      </c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133</v>
      </c>
      <c r="G12" s="4">
        <v>1000</v>
      </c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169</v>
      </c>
      <c r="G13" s="4">
        <v>750</v>
      </c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 t="s">
        <v>78</v>
      </c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68371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352048</v>
      </c>
      <c r="D19" s="5"/>
      <c r="E19" s="5"/>
      <c r="F19" s="5"/>
      <c r="G19" s="5">
        <f>SUM(G4:G18)</f>
        <v>328241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23807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O34"/>
  <sheetViews>
    <sheetView zoomScale="145" zoomScaleNormal="145" workbookViewId="0">
      <selection activeCell="F14" sqref="F14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170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974700</v>
      </c>
      <c r="D4" s="4"/>
      <c r="E4" s="4">
        <v>1</v>
      </c>
      <c r="F4" s="4" t="s">
        <v>5</v>
      </c>
      <c r="G4" s="4">
        <v>200000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>
        <v>150000</v>
      </c>
    </row>
    <row r="6" spans="1:11">
      <c r="A6" s="4">
        <v>3</v>
      </c>
      <c r="B6" s="4" t="s">
        <v>6</v>
      </c>
      <c r="C6" s="4">
        <v>92000</v>
      </c>
      <c r="D6" s="4"/>
      <c r="E6" s="4">
        <v>3</v>
      </c>
      <c r="F6" s="4" t="s">
        <v>38</v>
      </c>
      <c r="G6" s="4">
        <v>800000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320</v>
      </c>
    </row>
    <row r="8" spans="1:11">
      <c r="A8" s="4">
        <v>5</v>
      </c>
      <c r="B8" s="4" t="s">
        <v>156</v>
      </c>
      <c r="C8" s="4">
        <v>59000</v>
      </c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148</v>
      </c>
      <c r="C10" s="4">
        <v>45000</v>
      </c>
      <c r="D10" s="4"/>
      <c r="E10" s="4">
        <v>7</v>
      </c>
      <c r="F10" s="4" t="s">
        <v>20</v>
      </c>
      <c r="G10" s="4"/>
    </row>
    <row r="11" spans="1:11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171</v>
      </c>
      <c r="G11" s="4">
        <v>5640</v>
      </c>
    </row>
    <row r="12" spans="1:11">
      <c r="A12" s="4">
        <v>9</v>
      </c>
      <c r="B12" s="4" t="s">
        <v>8</v>
      </c>
      <c r="C12" s="4">
        <v>62000</v>
      </c>
      <c r="D12" s="4"/>
      <c r="E12" s="4">
        <v>9</v>
      </c>
      <c r="F12" s="4" t="s">
        <v>133</v>
      </c>
      <c r="G12" s="4"/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169</v>
      </c>
      <c r="G13" s="4"/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 t="s">
        <v>78</v>
      </c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33622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1282700</v>
      </c>
      <c r="D19" s="5"/>
      <c r="E19" s="5"/>
      <c r="F19" s="5"/>
      <c r="G19" s="5">
        <f>SUM(G4:G18)</f>
        <v>1189832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92868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O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172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427500</v>
      </c>
      <c r="D4" s="4"/>
      <c r="E4" s="4">
        <v>1</v>
      </c>
      <c r="F4" s="4" t="s">
        <v>5</v>
      </c>
      <c r="G4" s="4">
        <v>500000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70812</v>
      </c>
      <c r="D6" s="4"/>
      <c r="E6" s="4">
        <v>3</v>
      </c>
      <c r="F6" s="4" t="s">
        <v>38</v>
      </c>
      <c r="G6" s="4"/>
      <c r="I6" s="1">
        <v>161284</v>
      </c>
    </row>
    <row r="7" spans="1:11">
      <c r="A7" s="4">
        <v>4</v>
      </c>
      <c r="B7" s="4" t="s">
        <v>124</v>
      </c>
      <c r="C7" s="4">
        <v>74100</v>
      </c>
      <c r="D7" s="4"/>
      <c r="E7" s="4">
        <v>4</v>
      </c>
      <c r="F7" s="4" t="s">
        <v>39</v>
      </c>
      <c r="G7" s="4">
        <v>120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205</v>
      </c>
    </row>
    <row r="11" spans="1:11">
      <c r="A11" s="4">
        <v>8</v>
      </c>
      <c r="B11" s="4" t="s">
        <v>7</v>
      </c>
      <c r="C11" s="4">
        <v>60000</v>
      </c>
      <c r="D11" s="4"/>
      <c r="E11" s="4">
        <v>8</v>
      </c>
      <c r="F11" s="4" t="s">
        <v>171</v>
      </c>
      <c r="G11" s="4"/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133</v>
      </c>
      <c r="G12" s="4"/>
      <c r="K12" s="1">
        <f>27-33</f>
        <v>-6</v>
      </c>
    </row>
    <row r="13" spans="1:11">
      <c r="A13" s="4">
        <v>10</v>
      </c>
      <c r="B13" s="4" t="s">
        <v>131</v>
      </c>
      <c r="C13" s="4"/>
      <c r="D13" s="4"/>
      <c r="E13" s="4">
        <v>10</v>
      </c>
      <c r="F13" s="4" t="s">
        <v>117</v>
      </c>
      <c r="G13" s="4">
        <v>350</v>
      </c>
      <c r="K13" s="1">
        <f>591*13</f>
        <v>7683</v>
      </c>
    </row>
    <row r="14" spans="1:11">
      <c r="A14" s="4">
        <v>11</v>
      </c>
      <c r="B14" s="4" t="s">
        <v>50</v>
      </c>
      <c r="C14" s="4"/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 t="s">
        <v>78</v>
      </c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60812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632412</v>
      </c>
      <c r="D19" s="5"/>
      <c r="E19" s="5"/>
      <c r="F19" s="5"/>
      <c r="G19" s="5">
        <f>SUM(G4:G18)</f>
        <v>561687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70725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O34"/>
  <sheetViews>
    <sheetView zoomScale="145" zoomScaleNormal="145" workbookViewId="0">
      <selection activeCell="F10" sqref="F1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173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717500</v>
      </c>
      <c r="D4" s="4"/>
      <c r="E4" s="4">
        <v>1</v>
      </c>
      <c r="F4" s="4" t="s">
        <v>5</v>
      </c>
      <c r="G4" s="4">
        <v>900000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60813</v>
      </c>
      <c r="D6" s="4"/>
      <c r="E6" s="4">
        <v>3</v>
      </c>
      <c r="F6" s="4" t="s">
        <v>38</v>
      </c>
      <c r="G6" s="4"/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233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19</v>
      </c>
      <c r="C9" s="4">
        <v>100000</v>
      </c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350</v>
      </c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174</v>
      </c>
      <c r="G11" s="4">
        <v>3060</v>
      </c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175</v>
      </c>
      <c r="G12" s="4">
        <v>3320</v>
      </c>
      <c r="K12" s="1">
        <f>27-33</f>
        <v>-6</v>
      </c>
    </row>
    <row r="13" spans="1:11">
      <c r="A13" s="4">
        <v>10</v>
      </c>
      <c r="B13" s="4" t="s">
        <v>21</v>
      </c>
      <c r="C13" s="4">
        <v>50000</v>
      </c>
      <c r="D13" s="4"/>
      <c r="E13" s="4">
        <v>10</v>
      </c>
      <c r="F13" s="4" t="s">
        <v>71</v>
      </c>
      <c r="G13" s="4">
        <v>9000</v>
      </c>
      <c r="K13" s="1">
        <f>591*13</f>
        <v>7683</v>
      </c>
    </row>
    <row r="14" spans="1:11">
      <c r="A14" s="4">
        <v>11</v>
      </c>
      <c r="B14" s="4" t="s">
        <v>23</v>
      </c>
      <c r="C14" s="4">
        <v>13000</v>
      </c>
      <c r="D14" s="4"/>
      <c r="E14" s="4">
        <v>11</v>
      </c>
      <c r="F14" s="4" t="s">
        <v>78</v>
      </c>
      <c r="G14" s="4"/>
      <c r="K14" s="1">
        <f>620*12</f>
        <v>7440</v>
      </c>
    </row>
    <row r="15" spans="1:11">
      <c r="A15" s="4">
        <v>12</v>
      </c>
      <c r="B15" s="4"/>
      <c r="C15" s="4"/>
      <c r="D15" s="4"/>
      <c r="E15" s="4">
        <v>12</v>
      </c>
      <c r="F15" s="4" t="s">
        <v>78</v>
      </c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21064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941313</v>
      </c>
      <c r="D19" s="5"/>
      <c r="E19" s="5"/>
      <c r="F19" s="5"/>
      <c r="G19" s="5">
        <f>SUM(G4:G18)</f>
        <v>937277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4036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O34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176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383850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57290</v>
      </c>
      <c r="D6" s="4"/>
      <c r="E6" s="4">
        <v>3</v>
      </c>
      <c r="F6" s="4" t="s">
        <v>38</v>
      </c>
      <c r="G6" s="4"/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>
        <v>500000</v>
      </c>
    </row>
    <row r="10" spans="1:11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180</v>
      </c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>
        <v>13000</v>
      </c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179</v>
      </c>
      <c r="G12" s="4">
        <v>500</v>
      </c>
      <c r="K12" s="1">
        <f>27-33</f>
        <v>-6</v>
      </c>
    </row>
    <row r="13" spans="1:11">
      <c r="A13" s="4">
        <v>10</v>
      </c>
      <c r="B13" s="4" t="s">
        <v>21</v>
      </c>
      <c r="C13" s="4">
        <v>100000</v>
      </c>
      <c r="D13" s="4"/>
      <c r="E13" s="4">
        <v>10</v>
      </c>
      <c r="F13" s="4" t="s">
        <v>182</v>
      </c>
      <c r="G13" s="4">
        <v>2000</v>
      </c>
      <c r="K13" s="1">
        <f>591*13</f>
        <v>7683</v>
      </c>
    </row>
    <row r="14" spans="1:11">
      <c r="A14" s="4">
        <v>11</v>
      </c>
      <c r="B14" s="4" t="s">
        <v>24</v>
      </c>
      <c r="C14" s="4">
        <v>10000</v>
      </c>
      <c r="D14" s="4"/>
      <c r="E14" s="4">
        <v>11</v>
      </c>
      <c r="F14" s="4" t="s">
        <v>180</v>
      </c>
      <c r="G14" s="4">
        <v>1000</v>
      </c>
      <c r="K14" s="1">
        <f>620*12</f>
        <v>7440</v>
      </c>
    </row>
    <row r="15" spans="1:11">
      <c r="A15" s="4">
        <v>12</v>
      </c>
      <c r="B15" s="4" t="s">
        <v>177</v>
      </c>
      <c r="C15" s="4">
        <v>30000</v>
      </c>
      <c r="D15" s="4"/>
      <c r="E15" s="4">
        <v>12</v>
      </c>
      <c r="F15" s="4" t="s">
        <v>181</v>
      </c>
      <c r="G15" s="4">
        <v>4000</v>
      </c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57290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581140</v>
      </c>
      <c r="D19" s="5"/>
      <c r="E19" s="5"/>
      <c r="F19" s="5"/>
      <c r="G19" s="5">
        <f>SUM(G4:G18)</f>
        <v>578220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2920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O34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183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234500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57290</v>
      </c>
      <c r="D6" s="4"/>
      <c r="E6" s="4">
        <v>3</v>
      </c>
      <c r="F6" s="4" t="s">
        <v>38</v>
      </c>
      <c r="G6" s="4">
        <v>137000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150</v>
      </c>
    </row>
    <row r="11" spans="1:11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/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184</v>
      </c>
      <c r="G12" s="4">
        <v>93000</v>
      </c>
      <c r="K12" s="1">
        <f>27-33</f>
        <v>-6</v>
      </c>
    </row>
    <row r="13" spans="1:11">
      <c r="A13" s="4">
        <v>10</v>
      </c>
      <c r="B13" s="4" t="s">
        <v>21</v>
      </c>
      <c r="C13" s="4"/>
      <c r="D13" s="4"/>
      <c r="E13" s="4">
        <v>10</v>
      </c>
      <c r="F13" s="4"/>
      <c r="G13" s="4"/>
      <c r="K13" s="1">
        <f>591*13</f>
        <v>7683</v>
      </c>
    </row>
    <row r="14" spans="1:11">
      <c r="A14" s="4">
        <v>11</v>
      </c>
      <c r="B14" s="4" t="s">
        <v>24</v>
      </c>
      <c r="C14" s="4"/>
      <c r="D14" s="4"/>
      <c r="E14" s="4">
        <v>11</v>
      </c>
      <c r="F14" s="4"/>
      <c r="G14" s="4"/>
      <c r="K14" s="1">
        <f>620*12</f>
        <v>7440</v>
      </c>
    </row>
    <row r="15" spans="1:11">
      <c r="A15" s="4">
        <v>12</v>
      </c>
      <c r="B15" s="4" t="s">
        <v>177</v>
      </c>
      <c r="C15" s="4"/>
      <c r="D15" s="4"/>
      <c r="E15" s="4">
        <v>12</v>
      </c>
      <c r="F15" s="4"/>
      <c r="G15" s="4"/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f>6800+42489</f>
        <v>49289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291790</v>
      </c>
      <c r="D19" s="5"/>
      <c r="E19" s="5"/>
      <c r="F19" s="5"/>
      <c r="G19" s="5">
        <f>SUM(G4:G18)</f>
        <v>279739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12051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O34"/>
  <sheetViews>
    <sheetView topLeftCell="B1" zoomScale="145" zoomScaleNormal="145" workbookViewId="0">
      <selection activeCell="F12" sqref="F1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185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237550</v>
      </c>
      <c r="D4" s="4"/>
      <c r="E4" s="4">
        <v>1</v>
      </c>
      <c r="F4" s="4" t="s">
        <v>5</v>
      </c>
      <c r="G4" s="4">
        <v>155000</v>
      </c>
    </row>
    <row r="5" spans="1:11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6</v>
      </c>
      <c r="C6" s="4">
        <v>49290</v>
      </c>
      <c r="D6" s="4"/>
      <c r="E6" s="4">
        <v>3</v>
      </c>
      <c r="F6" s="4" t="s">
        <v>38</v>
      </c>
      <c r="G6" s="4">
        <v>70000</v>
      </c>
      <c r="I6" s="1">
        <v>161284</v>
      </c>
    </row>
    <row r="7" spans="1:11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120</v>
      </c>
    </row>
    <row r="8" spans="1:11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240</v>
      </c>
    </row>
    <row r="9" spans="1:11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1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240</v>
      </c>
    </row>
    <row r="11" spans="1:11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178</v>
      </c>
      <c r="G11" s="4"/>
    </row>
    <row r="12" spans="1:11">
      <c r="A12" s="4">
        <v>9</v>
      </c>
      <c r="B12" s="4" t="s">
        <v>8</v>
      </c>
      <c r="C12" s="4"/>
      <c r="D12" s="4"/>
      <c r="E12" s="4">
        <v>9</v>
      </c>
      <c r="F12" s="4" t="s">
        <v>184</v>
      </c>
      <c r="G12" s="4">
        <v>62000</v>
      </c>
      <c r="K12" s="1">
        <f>27-33</f>
        <v>-6</v>
      </c>
    </row>
    <row r="13" spans="1:11">
      <c r="A13" s="4">
        <v>10</v>
      </c>
      <c r="B13" s="4" t="s">
        <v>21</v>
      </c>
      <c r="C13" s="4"/>
      <c r="D13" s="4"/>
      <c r="E13" s="4">
        <v>10</v>
      </c>
      <c r="F13" s="4" t="s">
        <v>186</v>
      </c>
      <c r="G13" s="4">
        <v>6000</v>
      </c>
      <c r="K13" s="1">
        <f>591*13</f>
        <v>7683</v>
      </c>
    </row>
    <row r="14" spans="1:11">
      <c r="A14" s="4">
        <v>11</v>
      </c>
      <c r="B14" s="4" t="s">
        <v>24</v>
      </c>
      <c r="C14" s="4">
        <v>16500</v>
      </c>
      <c r="D14" s="4"/>
      <c r="E14" s="4">
        <v>11</v>
      </c>
      <c r="F14" s="4" t="s">
        <v>27</v>
      </c>
      <c r="G14" s="4">
        <v>15000</v>
      </c>
      <c r="K14" s="1">
        <f>620*12</f>
        <v>7440</v>
      </c>
    </row>
    <row r="15" spans="1:11">
      <c r="A15" s="4">
        <v>12</v>
      </c>
      <c r="B15" s="4" t="s">
        <v>187</v>
      </c>
      <c r="C15" s="4">
        <v>25000</v>
      </c>
      <c r="D15" s="4"/>
      <c r="E15" s="4">
        <v>12</v>
      </c>
      <c r="F15" s="4" t="s">
        <v>140</v>
      </c>
      <c r="G15" s="4">
        <v>20000</v>
      </c>
      <c r="K15" s="1">
        <f>7440+7683</f>
        <v>15123</v>
      </c>
    </row>
    <row r="16" spans="1:11">
      <c r="A16" s="4">
        <v>13</v>
      </c>
      <c r="B16" s="4"/>
      <c r="C16" s="4"/>
      <c r="D16" s="4"/>
      <c r="E16" s="4">
        <v>13</v>
      </c>
      <c r="F16" s="4" t="s">
        <v>135</v>
      </c>
      <c r="G16" s="4">
        <v>49290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378340</v>
      </c>
      <c r="D19" s="5"/>
      <c r="E19" s="5"/>
      <c r="F19" s="5"/>
      <c r="G19" s="5">
        <f>SUM(G4:G18)</f>
        <v>377890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450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G25" s="1">
        <v>1400</v>
      </c>
      <c r="K25" s="1">
        <v>14685</v>
      </c>
    </row>
    <row r="26" spans="1:15">
      <c r="G26" s="1">
        <v>490</v>
      </c>
      <c r="K26" s="1">
        <v>22924</v>
      </c>
    </row>
    <row r="27" spans="1:15">
      <c r="G27" s="1">
        <f>SUM(G25:G26)</f>
        <v>1890</v>
      </c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P34"/>
  <sheetViews>
    <sheetView zoomScale="145" zoomScaleNormal="145" workbookViewId="0">
      <selection activeCell="G18" sqref="G18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188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156840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61692</v>
      </c>
      <c r="D6" s="4"/>
      <c r="E6" s="4">
        <v>3</v>
      </c>
      <c r="F6" s="4" t="s">
        <v>38</v>
      </c>
      <c r="G6" s="4">
        <v>100000</v>
      </c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205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/>
    </row>
    <row r="12" spans="1:16">
      <c r="A12" s="4">
        <v>9</v>
      </c>
      <c r="B12" s="4" t="s">
        <v>127</v>
      </c>
      <c r="C12" s="4">
        <v>10000</v>
      </c>
      <c r="D12" s="4"/>
      <c r="E12" s="4">
        <v>9</v>
      </c>
      <c r="F12" s="4" t="s">
        <v>184</v>
      </c>
      <c r="G12" s="4">
        <v>88600</v>
      </c>
      <c r="K12" s="1">
        <f>27-33</f>
        <v>-6</v>
      </c>
    </row>
    <row r="13" spans="1:16">
      <c r="A13" s="4">
        <v>10</v>
      </c>
      <c r="B13" s="4" t="s">
        <v>17</v>
      </c>
      <c r="C13" s="4">
        <v>100000</v>
      </c>
      <c r="D13" s="4"/>
      <c r="E13" s="4">
        <v>10</v>
      </c>
      <c r="F13" s="4" t="s">
        <v>146</v>
      </c>
      <c r="G13" s="4">
        <v>67440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189</v>
      </c>
      <c r="G14" s="4">
        <v>8850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140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61692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328532</v>
      </c>
      <c r="D19" s="5"/>
      <c r="E19" s="5"/>
      <c r="F19" s="5"/>
      <c r="G19" s="5">
        <f>SUM(G4:G18)</f>
        <v>327097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1435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P34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190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244500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109044</v>
      </c>
      <c r="D6" s="4"/>
      <c r="E6" s="4">
        <v>3</v>
      </c>
      <c r="F6" s="4" t="s">
        <v>38</v>
      </c>
      <c r="G6" s="4">
        <v>125000</v>
      </c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290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/>
    </row>
    <row r="12" spans="1:16">
      <c r="A12" s="4">
        <v>9</v>
      </c>
      <c r="B12" s="4" t="s">
        <v>127</v>
      </c>
      <c r="C12" s="4"/>
      <c r="D12" s="4"/>
      <c r="E12" s="4">
        <v>9</v>
      </c>
      <c r="F12" s="4" t="s">
        <v>184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>
        <v>35000</v>
      </c>
      <c r="D13" s="4"/>
      <c r="E13" s="4">
        <v>10</v>
      </c>
      <c r="F13" s="4" t="s">
        <v>146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>
        <v>48000</v>
      </c>
      <c r="D14" s="4"/>
      <c r="E14" s="4">
        <v>11</v>
      </c>
      <c r="F14" s="4" t="s">
        <v>189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191</v>
      </c>
      <c r="G15" s="4">
        <v>50000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75979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436544</v>
      </c>
      <c r="D19" s="5"/>
      <c r="E19" s="5"/>
      <c r="F19" s="5"/>
      <c r="G19" s="5">
        <f>SUM(G4:G18)</f>
        <v>401739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34805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P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192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506000</v>
      </c>
      <c r="D4" s="4"/>
      <c r="E4" s="4">
        <v>1</v>
      </c>
      <c r="F4" s="4" t="s">
        <v>5</v>
      </c>
      <c r="G4" s="4">
        <v>350000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230000</v>
      </c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</row>
    <row r="9" spans="1:16">
      <c r="A9" s="4">
        <v>6</v>
      </c>
      <c r="B9" s="4" t="s">
        <v>19</v>
      </c>
      <c r="C9" s="4">
        <v>130000</v>
      </c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/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/>
    </row>
    <row r="12" spans="1:16">
      <c r="A12" s="4">
        <v>9</v>
      </c>
      <c r="B12" s="4" t="s">
        <v>8</v>
      </c>
      <c r="C12" s="4"/>
      <c r="D12" s="4"/>
      <c r="E12" s="4">
        <v>9</v>
      </c>
      <c r="F12" s="4" t="s">
        <v>184</v>
      </c>
      <c r="G12" s="4">
        <v>46000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186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133</v>
      </c>
      <c r="G14" s="4">
        <v>1000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193</v>
      </c>
      <c r="G15" s="4">
        <v>6000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636000</v>
      </c>
      <c r="D19" s="5"/>
      <c r="E19" s="5"/>
      <c r="F19" s="5"/>
      <c r="G19" s="5">
        <f>SUM(G4:G18)</f>
        <v>633320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2680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22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42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414535</v>
      </c>
      <c r="D4" s="4"/>
      <c r="E4" s="4">
        <v>1</v>
      </c>
      <c r="F4" s="4" t="s">
        <v>43</v>
      </c>
      <c r="G4" s="4">
        <v>200000</v>
      </c>
    </row>
    <row r="5" spans="1:11">
      <c r="A5" s="4">
        <v>2</v>
      </c>
      <c r="B5" s="4" t="s">
        <v>6</v>
      </c>
      <c r="C5" s="4">
        <v>110938</v>
      </c>
      <c r="D5" s="4"/>
      <c r="E5" s="4">
        <v>2</v>
      </c>
      <c r="F5" s="4" t="s">
        <v>38</v>
      </c>
      <c r="G5" s="4">
        <v>275000</v>
      </c>
    </row>
    <row r="6" spans="1:11">
      <c r="A6" s="4">
        <v>3</v>
      </c>
      <c r="B6" s="4" t="s">
        <v>24</v>
      </c>
      <c r="C6" s="4">
        <v>32000</v>
      </c>
      <c r="D6" s="4"/>
      <c r="E6" s="4">
        <v>3</v>
      </c>
      <c r="F6" s="4" t="s">
        <v>39</v>
      </c>
      <c r="G6" s="4">
        <v>200</v>
      </c>
    </row>
    <row r="7" spans="1:11">
      <c r="A7" s="4">
        <v>4</v>
      </c>
      <c r="B7" s="4" t="s">
        <v>8</v>
      </c>
      <c r="C7" s="4"/>
      <c r="D7" s="4"/>
      <c r="E7" s="4">
        <v>4</v>
      </c>
      <c r="F7" s="4" t="s">
        <v>9</v>
      </c>
      <c r="G7" s="4">
        <v>250</v>
      </c>
      <c r="K7" s="1">
        <f>30*20</f>
        <v>600</v>
      </c>
    </row>
    <row r="8" spans="1:11">
      <c r="A8" s="4">
        <v>5</v>
      </c>
      <c r="B8" s="4" t="s">
        <v>25</v>
      </c>
      <c r="C8" s="4"/>
      <c r="D8" s="4"/>
      <c r="E8" s="4">
        <v>5</v>
      </c>
      <c r="F8" s="4" t="s">
        <v>44</v>
      </c>
      <c r="G8" s="4">
        <v>370</v>
      </c>
    </row>
    <row r="9" spans="1:11">
      <c r="A9" s="4">
        <v>6</v>
      </c>
      <c r="B9" s="4"/>
      <c r="C9" s="4"/>
      <c r="D9" s="4"/>
      <c r="E9" s="4">
        <v>6</v>
      </c>
      <c r="F9" s="4" t="s">
        <v>45</v>
      </c>
      <c r="G9" s="4">
        <v>30875</v>
      </c>
    </row>
    <row r="10" spans="1:11">
      <c r="A10" s="4">
        <v>7</v>
      </c>
      <c r="B10" s="4"/>
      <c r="C10" s="4"/>
      <c r="D10" s="4"/>
      <c r="E10" s="4">
        <v>7</v>
      </c>
      <c r="F10" s="4" t="s">
        <v>46</v>
      </c>
      <c r="G10" s="4">
        <v>300</v>
      </c>
    </row>
    <row r="11" spans="1:11">
      <c r="A11" s="4">
        <v>8</v>
      </c>
      <c r="B11" s="4"/>
      <c r="C11" s="4"/>
      <c r="D11" s="4"/>
      <c r="E11" s="4">
        <v>8</v>
      </c>
      <c r="F11" s="4"/>
      <c r="G11" s="4"/>
    </row>
    <row r="12" spans="1:11">
      <c r="A12" s="4">
        <v>9</v>
      </c>
      <c r="B12" s="4"/>
      <c r="C12" s="4"/>
      <c r="D12" s="4"/>
      <c r="E12" s="4">
        <v>9</v>
      </c>
      <c r="F12" s="4"/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41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49827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1">
      <c r="A17" s="4">
        <v>14</v>
      </c>
      <c r="B17" s="4"/>
      <c r="C17" s="4"/>
      <c r="D17" s="4"/>
      <c r="E17" s="4">
        <v>14</v>
      </c>
      <c r="F17" s="4"/>
      <c r="G17" s="4"/>
    </row>
    <row r="18" spans="1:11">
      <c r="A18" s="4">
        <v>15</v>
      </c>
      <c r="B18" s="4"/>
      <c r="C18" s="4"/>
      <c r="D18" s="4"/>
      <c r="E18" s="4">
        <v>15</v>
      </c>
      <c r="F18" s="4"/>
      <c r="G18" s="4"/>
    </row>
    <row r="19" spans="1:11">
      <c r="A19" s="5"/>
      <c r="B19" s="5"/>
      <c r="C19" s="5">
        <f>SUM(C4:C18)</f>
        <v>557473</v>
      </c>
      <c r="D19" s="5"/>
      <c r="E19" s="5"/>
      <c r="F19" s="5"/>
      <c r="G19" s="5">
        <f>SUM(G4:G18)</f>
        <v>556822</v>
      </c>
    </row>
    <row r="20" spans="1:11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1">
      <c r="A21" s="5"/>
      <c r="B21" s="5"/>
      <c r="C21" s="5"/>
      <c r="D21" s="5"/>
      <c r="E21" s="5"/>
      <c r="F21" s="5"/>
      <c r="G21" s="5"/>
    </row>
    <row r="22" spans="1:11">
      <c r="A22" s="5"/>
      <c r="B22" s="5" t="s">
        <v>12</v>
      </c>
      <c r="C22" s="5">
        <f>C19-G19</f>
        <v>651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P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194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211610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125992</v>
      </c>
      <c r="D6" s="4"/>
      <c r="E6" s="4">
        <v>3</v>
      </c>
      <c r="F6" s="4" t="s">
        <v>38</v>
      </c>
      <c r="G6" s="4"/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200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/>
    </row>
    <row r="12" spans="1:16">
      <c r="A12" s="4">
        <v>9</v>
      </c>
      <c r="B12" s="4" t="s">
        <v>8</v>
      </c>
      <c r="C12" s="4"/>
      <c r="D12" s="4"/>
      <c r="E12" s="4">
        <v>9</v>
      </c>
      <c r="F12" s="4" t="s">
        <v>184</v>
      </c>
      <c r="G12" s="4">
        <v>110000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196</v>
      </c>
      <c r="G13" s="4">
        <v>100000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195</v>
      </c>
      <c r="G14" s="4">
        <v>20000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41</v>
      </c>
      <c r="G15" s="4">
        <v>12886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84022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337602</v>
      </c>
      <c r="D19" s="5"/>
      <c r="E19" s="5"/>
      <c r="F19" s="5"/>
      <c r="G19" s="5">
        <f>SUM(G4:G18)</f>
        <v>327308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10294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P34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197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311500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84022</v>
      </c>
      <c r="D6" s="4"/>
      <c r="E6" s="4">
        <v>3</v>
      </c>
      <c r="F6" s="4" t="s">
        <v>38</v>
      </c>
      <c r="G6" s="4">
        <v>250000</v>
      </c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165</v>
      </c>
    </row>
    <row r="11" spans="1:16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178</v>
      </c>
      <c r="G11" s="4"/>
    </row>
    <row r="12" spans="1:16">
      <c r="A12" s="4">
        <v>9</v>
      </c>
      <c r="B12" s="4" t="s">
        <v>8</v>
      </c>
      <c r="C12" s="4"/>
      <c r="D12" s="4"/>
      <c r="E12" s="4">
        <v>9</v>
      </c>
      <c r="F12" s="4" t="s">
        <v>184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>
        <v>155000</v>
      </c>
      <c r="D13" s="4"/>
      <c r="E13" s="4">
        <v>10</v>
      </c>
      <c r="F13" s="4" t="s">
        <v>196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>
        <v>22000</v>
      </c>
      <c r="D14" s="4"/>
      <c r="E14" s="4">
        <v>11</v>
      </c>
      <c r="F14" s="4" t="s">
        <v>198</v>
      </c>
      <c r="G14" s="4">
        <v>4260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41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65752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622522</v>
      </c>
      <c r="D19" s="5"/>
      <c r="E19" s="5"/>
      <c r="F19" s="5"/>
      <c r="G19" s="5">
        <f>SUM(G4:G18)</f>
        <v>620642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1880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P34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199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336080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65752</v>
      </c>
      <c r="D6" s="4"/>
      <c r="E6" s="4">
        <v>3</v>
      </c>
      <c r="F6" s="4" t="s">
        <v>38</v>
      </c>
      <c r="G6" s="4">
        <v>200000</v>
      </c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195</v>
      </c>
      <c r="M10" s="1">
        <f>7*15</f>
        <v>105</v>
      </c>
    </row>
    <row r="11" spans="1:16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178</v>
      </c>
      <c r="G11" s="4"/>
      <c r="M11" s="1">
        <f>105+70+20</f>
        <v>195</v>
      </c>
    </row>
    <row r="12" spans="1:16">
      <c r="A12" s="4">
        <v>9</v>
      </c>
      <c r="B12" s="4" t="s">
        <v>8</v>
      </c>
      <c r="C12" s="4"/>
      <c r="D12" s="4"/>
      <c r="E12" s="4">
        <v>9</v>
      </c>
      <c r="F12" s="4" t="s">
        <v>184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196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>
        <v>18000</v>
      </c>
      <c r="D14" s="4"/>
      <c r="E14" s="4">
        <v>11</v>
      </c>
      <c r="F14" s="4" t="s">
        <v>198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41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60702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469832</v>
      </c>
      <c r="D19" s="5"/>
      <c r="E19" s="5"/>
      <c r="F19" s="5"/>
      <c r="G19" s="5">
        <f>SUM(G4:G18)</f>
        <v>461362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8470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P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200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50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/>
      <c r="M10" s="1">
        <f>7*15</f>
        <v>105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/>
      <c r="M11" s="1">
        <f>105+70+20</f>
        <v>195</v>
      </c>
    </row>
    <row r="12" spans="1:16">
      <c r="A12" s="4">
        <v>9</v>
      </c>
      <c r="B12" s="4" t="s">
        <v>8</v>
      </c>
      <c r="C12" s="4"/>
      <c r="D12" s="4"/>
      <c r="E12" s="4">
        <v>9</v>
      </c>
      <c r="F12" s="4" t="s">
        <v>184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201</v>
      </c>
      <c r="G13" s="4">
        <v>29060</v>
      </c>
      <c r="K13" s="1">
        <f>591*13</f>
        <v>7683</v>
      </c>
    </row>
    <row r="14" spans="1:16">
      <c r="A14" s="4">
        <v>11</v>
      </c>
      <c r="B14" s="4" t="s">
        <v>24</v>
      </c>
      <c r="C14" s="4">
        <v>30000</v>
      </c>
      <c r="D14" s="4"/>
      <c r="E14" s="4">
        <v>11</v>
      </c>
      <c r="F14" s="4" t="s">
        <v>198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82</v>
      </c>
      <c r="G15" s="4">
        <v>430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30000</v>
      </c>
      <c r="D19" s="5"/>
      <c r="E19" s="5"/>
      <c r="F19" s="5"/>
      <c r="G19" s="5">
        <f>SUM(G4:G18)</f>
        <v>29540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460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P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202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708100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60702</v>
      </c>
      <c r="D6" s="4"/>
      <c r="E6" s="4">
        <v>3</v>
      </c>
      <c r="F6" s="4" t="s">
        <v>38</v>
      </c>
      <c r="G6" s="4">
        <v>400000</v>
      </c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/>
      <c r="M10" s="1">
        <f>7*15</f>
        <v>105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/>
      <c r="M11" s="1">
        <f>105+70+20</f>
        <v>195</v>
      </c>
    </row>
    <row r="12" spans="1:16">
      <c r="A12" s="4">
        <v>9</v>
      </c>
      <c r="B12" s="4" t="s">
        <v>8</v>
      </c>
      <c r="C12" s="4"/>
      <c r="D12" s="4"/>
      <c r="E12" s="4">
        <v>9</v>
      </c>
      <c r="F12" s="4" t="s">
        <v>184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204</v>
      </c>
      <c r="G13" s="4">
        <v>105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203</v>
      </c>
      <c r="G14" s="4">
        <v>1640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82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53080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768802</v>
      </c>
      <c r="D19" s="5"/>
      <c r="E19" s="5"/>
      <c r="F19" s="5"/>
      <c r="G19" s="5">
        <f>SUM(G4:G18)</f>
        <v>755250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13552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P34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205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175250</v>
      </c>
      <c r="D4" s="4"/>
      <c r="E4" s="4">
        <v>1</v>
      </c>
      <c r="F4" s="4" t="s">
        <v>5</v>
      </c>
      <c r="G4" s="4">
        <v>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0</v>
      </c>
      <c r="D6" s="4"/>
      <c r="E6" s="4">
        <v>3</v>
      </c>
      <c r="F6" s="4" t="s">
        <v>38</v>
      </c>
      <c r="G6" s="4">
        <v>200000</v>
      </c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150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/>
      <c r="M10" s="1">
        <f>7*15</f>
        <v>105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/>
      <c r="M11" s="1">
        <f>105+70+20</f>
        <v>195</v>
      </c>
    </row>
    <row r="12" spans="1:16">
      <c r="A12" s="4">
        <v>9</v>
      </c>
      <c r="B12" s="4" t="s">
        <v>8</v>
      </c>
      <c r="C12" s="4"/>
      <c r="D12" s="4"/>
      <c r="E12" s="4">
        <v>9</v>
      </c>
      <c r="F12" s="4" t="s">
        <v>184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>
        <v>25000</v>
      </c>
      <c r="D13" s="4"/>
      <c r="E13" s="4">
        <v>10</v>
      </c>
      <c r="F13" s="4" t="s">
        <v>204</v>
      </c>
      <c r="G13" s="4">
        <v>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203</v>
      </c>
      <c r="G14" s="4">
        <v>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82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200250</v>
      </c>
      <c r="D19" s="5"/>
      <c r="E19" s="5"/>
      <c r="F19" s="5"/>
      <c r="G19" s="5">
        <f>SUM(G4:G18)</f>
        <v>200250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P34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205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643000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65722</v>
      </c>
      <c r="D6" s="4"/>
      <c r="E6" s="4">
        <v>3</v>
      </c>
      <c r="F6" s="4" t="s">
        <v>38</v>
      </c>
      <c r="G6" s="4">
        <v>400000</v>
      </c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148</v>
      </c>
      <c r="C10" s="4"/>
      <c r="D10" s="4"/>
      <c r="E10" s="4">
        <v>7</v>
      </c>
      <c r="F10" s="4" t="s">
        <v>20</v>
      </c>
      <c r="G10" s="4">
        <v>230</v>
      </c>
      <c r="M10" s="1">
        <f>7*15</f>
        <v>105</v>
      </c>
    </row>
    <row r="11" spans="1:16">
      <c r="A11" s="4">
        <v>8</v>
      </c>
      <c r="B11" s="4" t="s">
        <v>7</v>
      </c>
      <c r="C11" s="4">
        <v>50000</v>
      </c>
      <c r="D11" s="4"/>
      <c r="E11" s="4">
        <v>8</v>
      </c>
      <c r="F11" s="4" t="s">
        <v>178</v>
      </c>
      <c r="G11" s="4"/>
      <c r="M11" s="1">
        <f>105+70+20</f>
        <v>195</v>
      </c>
    </row>
    <row r="12" spans="1:16">
      <c r="A12" s="4">
        <v>9</v>
      </c>
      <c r="B12" s="4" t="s">
        <v>8</v>
      </c>
      <c r="C12" s="4"/>
      <c r="D12" s="4"/>
      <c r="E12" s="4">
        <v>9</v>
      </c>
      <c r="F12" s="4" t="s">
        <v>206</v>
      </c>
      <c r="G12" s="4">
        <v>3000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114</v>
      </c>
      <c r="G13" s="4">
        <v>5500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203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82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49192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758722</v>
      </c>
      <c r="D19" s="5"/>
      <c r="E19" s="5"/>
      <c r="F19" s="5"/>
      <c r="G19" s="5">
        <f>SUM(G4:G18)</f>
        <v>758392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330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P34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207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271700</v>
      </c>
      <c r="D4" s="4"/>
      <c r="E4" s="4">
        <v>1</v>
      </c>
      <c r="F4" s="4" t="s">
        <v>5</v>
      </c>
      <c r="G4" s="4">
        <v>350000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68418</v>
      </c>
      <c r="D6" s="4"/>
      <c r="E6" s="4">
        <v>3</v>
      </c>
      <c r="F6" s="4" t="s">
        <v>38</v>
      </c>
      <c r="G6" s="4"/>
      <c r="I6" s="1">
        <v>161284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 t="s">
        <v>127</v>
      </c>
      <c r="C10" s="4">
        <v>20000</v>
      </c>
      <c r="D10" s="4"/>
      <c r="E10" s="4">
        <v>7</v>
      </c>
      <c r="F10" s="4" t="s">
        <v>20</v>
      </c>
      <c r="G10" s="4">
        <v>285</v>
      </c>
      <c r="M10" s="1">
        <f>7*15</f>
        <v>105</v>
      </c>
    </row>
    <row r="11" spans="1:16">
      <c r="A11" s="4">
        <v>8</v>
      </c>
      <c r="B11" s="4" t="s">
        <v>7</v>
      </c>
      <c r="C11" s="4">
        <v>25000</v>
      </c>
      <c r="D11" s="4"/>
      <c r="E11" s="4">
        <v>8</v>
      </c>
      <c r="F11" s="4" t="s">
        <v>178</v>
      </c>
      <c r="G11" s="4"/>
      <c r="M11" s="1">
        <f>105+70+20</f>
        <v>195</v>
      </c>
    </row>
    <row r="12" spans="1:16">
      <c r="A12" s="4">
        <v>9</v>
      </c>
      <c r="B12" s="4" t="s">
        <v>50</v>
      </c>
      <c r="C12" s="4">
        <v>33500</v>
      </c>
      <c r="D12" s="4"/>
      <c r="E12" s="4">
        <v>9</v>
      </c>
      <c r="F12" s="4" t="s">
        <v>206</v>
      </c>
      <c r="G12" s="4">
        <v>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114</v>
      </c>
      <c r="G13" s="4">
        <v>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203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82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65371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418618</v>
      </c>
      <c r="D19" s="5"/>
      <c r="E19" s="5"/>
      <c r="F19" s="5"/>
      <c r="G19" s="5">
        <f>SUM(G4:G18)</f>
        <v>415971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2647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P34"/>
  <sheetViews>
    <sheetView zoomScale="145" zoomScaleNormal="145" workbookViewId="0">
      <selection activeCell="G11" sqref="G11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209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97350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f>67371+45512</f>
        <v>112883</v>
      </c>
      <c r="D6" s="4"/>
      <c r="E6" s="4">
        <v>3</v>
      </c>
      <c r="F6" s="4" t="s">
        <v>38</v>
      </c>
      <c r="G6" s="4"/>
      <c r="I6" s="1">
        <v>161284</v>
      </c>
    </row>
    <row r="7" spans="1:16">
      <c r="A7" s="4">
        <v>4</v>
      </c>
      <c r="B7" s="4" t="s">
        <v>124</v>
      </c>
      <c r="C7" s="4">
        <v>96200</v>
      </c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156</v>
      </c>
      <c r="C8" s="4">
        <v>66000</v>
      </c>
      <c r="D8" s="4"/>
      <c r="E8" s="4">
        <v>5</v>
      </c>
      <c r="F8" s="4" t="s">
        <v>9</v>
      </c>
      <c r="G8" s="4">
        <v>300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4" t="s">
        <v>40</v>
      </c>
      <c r="G9" s="4"/>
    </row>
    <row r="10" spans="1:16">
      <c r="A10" s="4">
        <v>7</v>
      </c>
      <c r="B10" s="4"/>
      <c r="C10" s="4"/>
      <c r="D10" s="4"/>
      <c r="E10" s="4">
        <v>7</v>
      </c>
      <c r="F10" s="4" t="s">
        <v>20</v>
      </c>
      <c r="G10" s="4">
        <v>180</v>
      </c>
      <c r="M10" s="1">
        <f>7*15</f>
        <v>105</v>
      </c>
    </row>
    <row r="11" spans="1:16">
      <c r="A11" s="4">
        <v>8</v>
      </c>
      <c r="B11" s="4" t="s">
        <v>7</v>
      </c>
      <c r="C11" s="4"/>
      <c r="D11" s="4"/>
      <c r="E11" s="4">
        <v>8</v>
      </c>
      <c r="F11" s="4" t="s">
        <v>178</v>
      </c>
      <c r="G11" s="4"/>
      <c r="M11" s="1">
        <f>105+70+20</f>
        <v>195</v>
      </c>
    </row>
    <row r="12" spans="1:16">
      <c r="A12" s="4">
        <v>9</v>
      </c>
      <c r="B12" s="4" t="s">
        <v>50</v>
      </c>
      <c r="C12" s="4"/>
      <c r="D12" s="4"/>
      <c r="E12" s="4">
        <v>9</v>
      </c>
      <c r="F12" s="4" t="s">
        <v>208</v>
      </c>
      <c r="G12" s="4">
        <v>1500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210</v>
      </c>
      <c r="G13" s="4">
        <v>23040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203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82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55665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372433</v>
      </c>
      <c r="D19" s="5"/>
      <c r="E19" s="5"/>
      <c r="F19" s="5"/>
      <c r="G19" s="5">
        <f>SUM(G4:G18)</f>
        <v>280800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91633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P34"/>
  <sheetViews>
    <sheetView zoomScale="145" zoomScaleNormal="145" workbookViewId="0">
      <selection activeCell="G11" sqref="G11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211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434320</v>
      </c>
      <c r="D4" s="4"/>
      <c r="E4" s="4">
        <v>1</v>
      </c>
      <c r="F4" s="4" t="s">
        <v>5</v>
      </c>
      <c r="G4" s="4">
        <v>670000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75469</v>
      </c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173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>
        <v>27073</v>
      </c>
      <c r="D9" s="4"/>
      <c r="E9" s="4">
        <v>6</v>
      </c>
      <c r="F9" s="4" t="s">
        <v>40</v>
      </c>
      <c r="G9" s="4"/>
      <c r="K9" s="1">
        <v>80</v>
      </c>
    </row>
    <row r="10" spans="1:16">
      <c r="A10" s="4">
        <v>7</v>
      </c>
      <c r="B10" s="4"/>
      <c r="C10" s="4"/>
      <c r="D10" s="4"/>
      <c r="E10" s="4">
        <v>7</v>
      </c>
      <c r="F10" s="4" t="s">
        <v>20</v>
      </c>
      <c r="G10" s="4">
        <v>210</v>
      </c>
      <c r="K10" s="1">
        <v>180</v>
      </c>
      <c r="M10" s="1">
        <f>7*15</f>
        <v>105</v>
      </c>
    </row>
    <row r="11" spans="1:16">
      <c r="A11" s="4">
        <v>8</v>
      </c>
      <c r="B11" s="4" t="s">
        <v>98</v>
      </c>
      <c r="C11" s="4">
        <v>90000</v>
      </c>
      <c r="D11" s="4"/>
      <c r="E11" s="4">
        <v>8</v>
      </c>
      <c r="F11" s="4" t="s">
        <v>178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21</v>
      </c>
      <c r="C12" s="4">
        <v>120000</v>
      </c>
      <c r="D12" s="4"/>
      <c r="E12" s="4">
        <v>9</v>
      </c>
      <c r="F12" s="4" t="s">
        <v>212</v>
      </c>
      <c r="G12" s="4">
        <v>500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71</v>
      </c>
      <c r="G13" s="4">
        <v>9000</v>
      </c>
      <c r="K13" s="1">
        <f>591*13</f>
        <v>7683</v>
      </c>
    </row>
    <row r="14" spans="1:16">
      <c r="A14" s="4">
        <v>11</v>
      </c>
      <c r="B14" s="4" t="s">
        <v>24</v>
      </c>
      <c r="C14" s="4">
        <v>10000</v>
      </c>
      <c r="D14" s="4"/>
      <c r="E14" s="4">
        <v>11</v>
      </c>
      <c r="F14" s="4" t="s">
        <v>203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4" t="s">
        <v>82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68669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756862</v>
      </c>
      <c r="D19" s="5"/>
      <c r="E19" s="5"/>
      <c r="F19" s="5"/>
      <c r="G19" s="5">
        <f>SUM(G4:G18)</f>
        <v>748802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8060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22"/>
  <sheetViews>
    <sheetView zoomScale="145" zoomScaleNormal="145" workbookViewId="0">
      <selection activeCell="F22" sqref="F22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47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412000</v>
      </c>
      <c r="D4" s="4"/>
      <c r="E4" s="4">
        <v>1</v>
      </c>
      <c r="F4" s="4" t="s">
        <v>5</v>
      </c>
      <c r="G4" s="4">
        <v>350000</v>
      </c>
    </row>
    <row r="5" spans="1:11">
      <c r="A5" s="4">
        <v>2</v>
      </c>
      <c r="B5" s="4" t="s">
        <v>6</v>
      </c>
      <c r="C5" s="4">
        <v>173728</v>
      </c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19</v>
      </c>
      <c r="C6" s="4">
        <v>141000</v>
      </c>
      <c r="D6" s="4"/>
      <c r="E6" s="4">
        <v>3</v>
      </c>
      <c r="F6" s="4" t="s">
        <v>38</v>
      </c>
      <c r="G6" s="4">
        <v>240000</v>
      </c>
    </row>
    <row r="7" spans="1:11">
      <c r="A7" s="4">
        <v>4</v>
      </c>
      <c r="B7" s="4" t="s">
        <v>48</v>
      </c>
      <c r="C7" s="4">
        <v>10700</v>
      </c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1">
      <c r="A8" s="4">
        <v>5</v>
      </c>
      <c r="B8" s="4" t="s">
        <v>49</v>
      </c>
      <c r="C8" s="4">
        <v>23000</v>
      </c>
      <c r="D8" s="4"/>
      <c r="E8" s="4">
        <v>5</v>
      </c>
      <c r="F8" s="4" t="s">
        <v>9</v>
      </c>
      <c r="G8" s="4">
        <v>250</v>
      </c>
    </row>
    <row r="9" spans="1:11">
      <c r="A9" s="4">
        <v>6</v>
      </c>
      <c r="B9" s="4" t="s">
        <v>50</v>
      </c>
      <c r="C9" s="4">
        <v>26000</v>
      </c>
      <c r="D9" s="4"/>
      <c r="E9" s="4">
        <v>6</v>
      </c>
      <c r="F9" s="4" t="s">
        <v>44</v>
      </c>
      <c r="G9" s="4">
        <v>250</v>
      </c>
    </row>
    <row r="10" spans="1:11">
      <c r="A10" s="4">
        <v>7</v>
      </c>
      <c r="B10" s="4" t="s">
        <v>23</v>
      </c>
      <c r="C10" s="4">
        <v>12500</v>
      </c>
      <c r="D10" s="4"/>
      <c r="E10" s="4">
        <v>7</v>
      </c>
      <c r="F10" s="4" t="s">
        <v>45</v>
      </c>
      <c r="G10" s="4"/>
    </row>
    <row r="11" spans="1:11">
      <c r="A11" s="4">
        <v>8</v>
      </c>
      <c r="B11" s="4" t="s">
        <v>51</v>
      </c>
      <c r="C11" s="4">
        <v>20000</v>
      </c>
      <c r="D11" s="4"/>
      <c r="E11" s="4">
        <v>8</v>
      </c>
      <c r="F11" s="4" t="s">
        <v>52</v>
      </c>
      <c r="G11" s="4">
        <v>130128</v>
      </c>
    </row>
    <row r="12" spans="1:11">
      <c r="A12" s="4">
        <v>9</v>
      </c>
      <c r="B12" s="4"/>
      <c r="C12" s="4"/>
      <c r="D12" s="4"/>
      <c r="E12" s="4">
        <v>9</v>
      </c>
      <c r="F12" s="4"/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41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97642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1">
      <c r="A17" s="4">
        <v>14</v>
      </c>
      <c r="B17" s="4"/>
      <c r="C17" s="4"/>
      <c r="D17" s="4"/>
      <c r="E17" s="4">
        <v>14</v>
      </c>
      <c r="F17" s="4"/>
      <c r="G17" s="4"/>
    </row>
    <row r="18" spans="1:11">
      <c r="A18" s="4">
        <v>15</v>
      </c>
      <c r="B18" s="4"/>
      <c r="C18" s="4"/>
      <c r="D18" s="4"/>
      <c r="E18" s="4">
        <v>15</v>
      </c>
      <c r="F18" s="4"/>
      <c r="G18" s="4"/>
    </row>
    <row r="19" spans="1:11">
      <c r="A19" s="5"/>
      <c r="B19" s="5"/>
      <c r="C19" s="5">
        <f>SUM(C4:C18)</f>
        <v>818928</v>
      </c>
      <c r="D19" s="5"/>
      <c r="E19" s="5"/>
      <c r="F19" s="5"/>
      <c r="G19" s="5">
        <f>SUM(G4:G18)</f>
        <v>818485</v>
      </c>
    </row>
    <row r="20" spans="1:11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1">
      <c r="A21" s="5"/>
      <c r="B21" s="5"/>
      <c r="C21" s="5"/>
      <c r="D21" s="5"/>
      <c r="E21" s="5"/>
      <c r="F21" s="5"/>
      <c r="G21" s="5"/>
    </row>
    <row r="22" spans="1:11">
      <c r="A22" s="5"/>
      <c r="B22" s="5" t="s">
        <v>12</v>
      </c>
      <c r="C22" s="5">
        <f>C19-G19</f>
        <v>443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P34"/>
  <sheetViews>
    <sheetView zoomScale="145" zoomScaleNormal="145" workbookViewId="0">
      <selection activeCell="G16" sqref="G1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213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195200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68669</v>
      </c>
      <c r="D6" s="4"/>
      <c r="E6" s="4">
        <v>3</v>
      </c>
      <c r="F6" s="4" t="s">
        <v>38</v>
      </c>
      <c r="G6" s="4">
        <v>250000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7" t="s">
        <v>99</v>
      </c>
      <c r="G9" s="4">
        <v>33000</v>
      </c>
      <c r="K9" s="1">
        <v>80</v>
      </c>
    </row>
    <row r="10" spans="1:16">
      <c r="A10" s="4">
        <v>7</v>
      </c>
      <c r="B10" s="7" t="s">
        <v>7</v>
      </c>
      <c r="C10" s="4">
        <v>50000</v>
      </c>
      <c r="D10" s="4"/>
      <c r="E10" s="4">
        <v>7</v>
      </c>
      <c r="F10" s="4" t="s">
        <v>20</v>
      </c>
      <c r="G10" s="4">
        <v>220</v>
      </c>
      <c r="K10" s="1">
        <v>180</v>
      </c>
      <c r="M10" s="1">
        <f>7*15</f>
        <v>105</v>
      </c>
    </row>
    <row r="11" spans="1:16">
      <c r="A11" s="4">
        <v>8</v>
      </c>
      <c r="B11" s="4" t="s">
        <v>98</v>
      </c>
      <c r="C11" s="4"/>
      <c r="D11" s="4"/>
      <c r="E11" s="4">
        <v>8</v>
      </c>
      <c r="F11" s="4" t="s">
        <v>215</v>
      </c>
      <c r="G11" s="4">
        <v>2000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21</v>
      </c>
      <c r="C12" s="4"/>
      <c r="D12" s="4"/>
      <c r="E12" s="4">
        <v>9</v>
      </c>
      <c r="F12" s="4" t="s">
        <v>214</v>
      </c>
      <c r="G12" s="4">
        <v>10000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216</v>
      </c>
      <c r="G13" s="4">
        <v>4700</v>
      </c>
      <c r="K13" s="1">
        <f>591*13</f>
        <v>7683</v>
      </c>
    </row>
    <row r="14" spans="1:16">
      <c r="A14" s="4">
        <v>11</v>
      </c>
      <c r="B14" s="4" t="s">
        <v>24</v>
      </c>
      <c r="C14" s="4">
        <v>21000</v>
      </c>
      <c r="D14" s="4"/>
      <c r="E14" s="4">
        <v>11</v>
      </c>
      <c r="F14" s="4" t="s">
        <v>217</v>
      </c>
      <c r="G14" s="4">
        <v>4120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6" t="s">
        <v>218</v>
      </c>
      <c r="G15" s="4">
        <f>37*300</f>
        <v>11100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16350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334869</v>
      </c>
      <c r="D19" s="5"/>
      <c r="E19" s="5"/>
      <c r="F19" s="5"/>
      <c r="G19" s="5">
        <f>SUM(G4:G18)</f>
        <v>331840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3029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P34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219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311300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>
        <v>31000</v>
      </c>
      <c r="D10" s="4"/>
      <c r="E10" s="4">
        <v>7</v>
      </c>
      <c r="F10" s="4" t="s">
        <v>20</v>
      </c>
      <c r="G10" s="4">
        <v>395</v>
      </c>
      <c r="K10" s="1">
        <v>180</v>
      </c>
      <c r="M10" s="1">
        <f>7*15</f>
        <v>105</v>
      </c>
    </row>
    <row r="11" spans="1:16">
      <c r="A11" s="4">
        <v>8</v>
      </c>
      <c r="B11" s="4" t="s">
        <v>98</v>
      </c>
      <c r="C11" s="4"/>
      <c r="D11" s="4"/>
      <c r="E11" s="4">
        <v>8</v>
      </c>
      <c r="F11" s="4" t="s">
        <v>191</v>
      </c>
      <c r="G11" s="4">
        <v>120000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21</v>
      </c>
      <c r="C12" s="4"/>
      <c r="D12" s="4"/>
      <c r="E12" s="4">
        <v>9</v>
      </c>
      <c r="F12" s="4" t="s">
        <v>214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181</v>
      </c>
      <c r="G13" s="4">
        <v>15000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342300</v>
      </c>
      <c r="D19" s="5"/>
      <c r="E19" s="5"/>
      <c r="F19" s="5"/>
      <c r="G19" s="5">
        <f>SUM(G4:G18)</f>
        <v>335715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6585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P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220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244400</v>
      </c>
      <c r="D4" s="4"/>
      <c r="E4" s="4">
        <v>1</v>
      </c>
      <c r="F4" s="4" t="s">
        <v>5</v>
      </c>
      <c r="G4" s="4">
        <v>200000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45201</v>
      </c>
      <c r="D6" s="4"/>
      <c r="E6" s="4">
        <v>3</v>
      </c>
      <c r="F6" s="4" t="s">
        <v>38</v>
      </c>
      <c r="G6" s="4">
        <v>100000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220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19</v>
      </c>
      <c r="C9" s="4">
        <v>100000</v>
      </c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/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98</v>
      </c>
      <c r="C11" s="4"/>
      <c r="D11" s="4"/>
      <c r="E11" s="4">
        <v>8</v>
      </c>
      <c r="F11" s="4" t="s">
        <v>191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21</v>
      </c>
      <c r="C12" s="4"/>
      <c r="D12" s="4"/>
      <c r="E12" s="4">
        <v>9</v>
      </c>
      <c r="F12" s="4" t="s">
        <v>221</v>
      </c>
      <c r="G12" s="4">
        <v>25000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181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42721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389601</v>
      </c>
      <c r="D19" s="5"/>
      <c r="E19" s="5"/>
      <c r="F19" s="5"/>
      <c r="G19" s="5">
        <f>SUM(G4:G18)</f>
        <v>368141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21460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P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222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130000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63710</v>
      </c>
      <c r="D6" s="4"/>
      <c r="E6" s="4">
        <v>3</v>
      </c>
      <c r="F6" s="4" t="s">
        <v>38</v>
      </c>
      <c r="G6" s="4">
        <v>130000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/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98</v>
      </c>
      <c r="C11" s="4"/>
      <c r="D11" s="4"/>
      <c r="E11" s="4">
        <v>8</v>
      </c>
      <c r="F11" s="4" t="s">
        <v>191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21</v>
      </c>
      <c r="C12" s="4"/>
      <c r="D12" s="4"/>
      <c r="E12" s="4">
        <v>9</v>
      </c>
      <c r="F12" s="4" t="s">
        <v>221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181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60660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193710</v>
      </c>
      <c r="D19" s="5"/>
      <c r="E19" s="5"/>
      <c r="F19" s="5"/>
      <c r="G19" s="5">
        <f>SUM(G4:G18)</f>
        <v>190960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2750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P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223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244300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70924</v>
      </c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>
        <v>50000</v>
      </c>
      <c r="D10" s="4"/>
      <c r="E10" s="4">
        <v>7</v>
      </c>
      <c r="F10" s="4" t="s">
        <v>20</v>
      </c>
      <c r="G10" s="4">
        <v>140</v>
      </c>
      <c r="K10" s="1">
        <v>180</v>
      </c>
      <c r="M10" s="1">
        <f>7*15</f>
        <v>105</v>
      </c>
    </row>
    <row r="11" spans="1:16">
      <c r="A11" s="4">
        <v>8</v>
      </c>
      <c r="B11" s="4" t="s">
        <v>98</v>
      </c>
      <c r="C11" s="4"/>
      <c r="D11" s="4"/>
      <c r="E11" s="4">
        <v>8</v>
      </c>
      <c r="F11" s="4" t="s">
        <v>191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21</v>
      </c>
      <c r="C12" s="4"/>
      <c r="D12" s="4"/>
      <c r="E12" s="4">
        <v>9</v>
      </c>
      <c r="F12" s="4" t="s">
        <v>221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181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55923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365224</v>
      </c>
      <c r="D19" s="5"/>
      <c r="E19" s="5"/>
      <c r="F19" s="5"/>
      <c r="G19" s="5">
        <f>SUM(G4:G18)</f>
        <v>356378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8846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P34"/>
  <sheetViews>
    <sheetView topLeftCell="A4" zoomScale="145" zoomScaleNormal="145" workbookViewId="0">
      <selection activeCell="G9" sqref="G8: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224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385370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100000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>
        <v>99350</v>
      </c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>
        <v>24000</v>
      </c>
      <c r="D10" s="4"/>
      <c r="E10" s="4">
        <v>7</v>
      </c>
      <c r="F10" s="4" t="s">
        <v>20</v>
      </c>
      <c r="G10" s="4">
        <v>235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98</v>
      </c>
      <c r="C11" s="4"/>
      <c r="D11" s="4"/>
      <c r="E11" s="4">
        <v>8</v>
      </c>
      <c r="F11" s="4" t="s">
        <v>191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21</v>
      </c>
      <c r="C12" s="4"/>
      <c r="D12" s="4"/>
      <c r="E12" s="4">
        <v>9</v>
      </c>
      <c r="F12" s="4" t="s">
        <v>221</v>
      </c>
      <c r="G12" s="4"/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181</v>
      </c>
      <c r="G13" s="4">
        <v>4000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508720</v>
      </c>
      <c r="D19" s="5"/>
      <c r="E19" s="5"/>
      <c r="F19" s="5"/>
      <c r="G19" s="5">
        <f>SUM(G4:G18)</f>
        <v>504700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4020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P34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225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218100</v>
      </c>
      <c r="D4" s="4"/>
      <c r="E4" s="4">
        <v>1</v>
      </c>
      <c r="F4" s="4" t="s">
        <v>5</v>
      </c>
      <c r="G4" s="4">
        <v>150000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51089</v>
      </c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/>
      <c r="D10" s="4"/>
      <c r="E10" s="4">
        <v>7</v>
      </c>
      <c r="F10" s="4" t="s">
        <v>20</v>
      </c>
      <c r="G10" s="4">
        <f>60+50+20</f>
        <v>130</v>
      </c>
      <c r="K10" s="1">
        <v>180</v>
      </c>
      <c r="M10" s="1">
        <f>7*15</f>
        <v>105</v>
      </c>
    </row>
    <row r="11" spans="1:16">
      <c r="A11" s="4">
        <v>8</v>
      </c>
      <c r="B11" s="4" t="s">
        <v>98</v>
      </c>
      <c r="C11" s="4"/>
      <c r="D11" s="4"/>
      <c r="E11" s="4">
        <v>8</v>
      </c>
      <c r="F11" s="4" t="s">
        <v>226</v>
      </c>
      <c r="G11" s="4">
        <v>5000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21</v>
      </c>
      <c r="C12" s="4"/>
      <c r="D12" s="4"/>
      <c r="E12" s="4">
        <v>9</v>
      </c>
      <c r="F12" s="4" t="s">
        <v>146</v>
      </c>
      <c r="G12" s="4">
        <v>64500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181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227</v>
      </c>
      <c r="G14" s="4">
        <v>370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35100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269189</v>
      </c>
      <c r="D19" s="5"/>
      <c r="E19" s="5"/>
      <c r="F19" s="5"/>
      <c r="G19" s="5">
        <f>SUM(G4:G18)</f>
        <v>255465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13724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P34"/>
  <sheetViews>
    <sheetView topLeftCell="A4" zoomScale="145" zoomScaleNormal="145" workbookViewId="0">
      <selection activeCell="I27" sqref="I2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228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114500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45390</v>
      </c>
      <c r="D6" s="4"/>
      <c r="E6" s="4">
        <v>3</v>
      </c>
      <c r="F6" s="4" t="s">
        <v>38</v>
      </c>
      <c r="G6" s="4">
        <v>150000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156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19</v>
      </c>
      <c r="C9" s="4"/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/>
      <c r="D10" s="4"/>
      <c r="E10" s="4">
        <v>7</v>
      </c>
      <c r="F10" s="4" t="s">
        <v>20</v>
      </c>
      <c r="G10" s="4"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98</v>
      </c>
      <c r="C11" s="4">
        <v>95000</v>
      </c>
      <c r="D11" s="4"/>
      <c r="E11" s="4">
        <v>8</v>
      </c>
      <c r="F11" s="4" t="s">
        <v>226</v>
      </c>
      <c r="G11" s="4">
        <v>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21</v>
      </c>
      <c r="C12" s="4"/>
      <c r="D12" s="4"/>
      <c r="E12" s="4">
        <v>9</v>
      </c>
      <c r="F12" s="4" t="s">
        <v>93</v>
      </c>
      <c r="G12" s="4">
        <v>1500</v>
      </c>
      <c r="I12" s="1">
        <f>C6-10430</f>
        <v>34960</v>
      </c>
      <c r="K12" s="1">
        <f>27-33</f>
        <v>-6</v>
      </c>
    </row>
    <row r="13" spans="1:16">
      <c r="A13" s="4">
        <v>10</v>
      </c>
      <c r="B13" s="4" t="s">
        <v>17</v>
      </c>
      <c r="C13" s="4"/>
      <c r="D13" s="4"/>
      <c r="E13" s="4">
        <v>10</v>
      </c>
      <c r="F13" s="4" t="s">
        <v>229</v>
      </c>
      <c r="G13" s="4">
        <v>250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117</v>
      </c>
      <c r="G14" s="4">
        <v>430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187</v>
      </c>
      <c r="C15" s="4">
        <v>2500</v>
      </c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34960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257390</v>
      </c>
      <c r="D19" s="5"/>
      <c r="E19" s="5"/>
      <c r="F19" s="5"/>
      <c r="G19" s="5">
        <f>SUM(G4:G18)</f>
        <v>187625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69765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P34"/>
  <sheetViews>
    <sheetView zoomScale="145" zoomScaleNormal="145" workbookViewId="0">
      <selection activeCell="C16" sqref="C1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231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125300</v>
      </c>
      <c r="D4" s="4"/>
      <c r="E4" s="4">
        <v>1</v>
      </c>
      <c r="F4" s="4" t="s">
        <v>5</v>
      </c>
      <c r="G4" s="4">
        <v>300000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120</v>
      </c>
    </row>
    <row r="8" spans="1:16">
      <c r="A8" s="4">
        <v>5</v>
      </c>
      <c r="B8" s="4" t="s">
        <v>19</v>
      </c>
      <c r="C8" s="4">
        <v>100000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232</v>
      </c>
      <c r="C9" s="4">
        <v>45000</v>
      </c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>
        <v>14000</v>
      </c>
      <c r="D10" s="4"/>
      <c r="E10" s="4">
        <v>7</v>
      </c>
      <c r="F10" s="4" t="s">
        <v>20</v>
      </c>
      <c r="G10" s="4">
        <v>190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>
        <v>5000</v>
      </c>
      <c r="D11" s="4"/>
      <c r="E11" s="4">
        <v>8</v>
      </c>
      <c r="F11" s="4" t="s">
        <v>226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17</v>
      </c>
      <c r="C12" s="4">
        <v>10000</v>
      </c>
      <c r="D12" s="4"/>
      <c r="E12" s="4">
        <v>9</v>
      </c>
      <c r="F12" s="4" t="s">
        <v>230</v>
      </c>
      <c r="G12" s="4"/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129</v>
      </c>
      <c r="C13" s="4"/>
      <c r="D13" s="4"/>
      <c r="E13" s="4">
        <v>10</v>
      </c>
      <c r="F13" s="4" t="s">
        <v>229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117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>
        <v>1500</v>
      </c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300800</v>
      </c>
      <c r="D19" s="5"/>
      <c r="E19" s="5"/>
      <c r="F19" s="5"/>
      <c r="G19" s="5">
        <f>SUM(G4:G18)</f>
        <v>300560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240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P34"/>
  <sheetViews>
    <sheetView zoomScale="145" zoomScaleNormal="145" workbookViewId="0">
      <selection activeCell="F13" sqref="F13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234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>
        <v>0</v>
      </c>
    </row>
    <row r="5" spans="1:16">
      <c r="A5" s="4">
        <v>2</v>
      </c>
      <c r="B5" s="4" t="s">
        <v>4</v>
      </c>
      <c r="C5" s="4">
        <v>320000</v>
      </c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28564</v>
      </c>
      <c r="D6" s="4"/>
      <c r="E6" s="4">
        <v>3</v>
      </c>
      <c r="F6" s="4" t="s">
        <v>38</v>
      </c>
      <c r="G6" s="4">
        <v>220000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>
        <v>100000</v>
      </c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235</v>
      </c>
      <c r="C8" s="4">
        <v>300000</v>
      </c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232</v>
      </c>
      <c r="C9" s="4"/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/>
      <c r="D10" s="4"/>
      <c r="E10" s="4">
        <v>7</v>
      </c>
      <c r="F10" s="4" t="s">
        <v>20</v>
      </c>
      <c r="G10" s="4">
        <v>0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233</v>
      </c>
      <c r="C11" s="4"/>
      <c r="D11" s="4"/>
      <c r="E11" s="4">
        <v>8</v>
      </c>
      <c r="F11" s="4" t="s">
        <v>226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17</v>
      </c>
      <c r="C12" s="4"/>
      <c r="D12" s="4"/>
      <c r="E12" s="4">
        <v>9</v>
      </c>
      <c r="F12" s="4" t="s">
        <v>133</v>
      </c>
      <c r="G12" s="4">
        <v>3000</v>
      </c>
      <c r="I12" s="1">
        <f>C6-10430</f>
        <v>18134</v>
      </c>
      <c r="K12" s="1">
        <f>27-33</f>
        <v>-6</v>
      </c>
    </row>
    <row r="13" spans="1:16">
      <c r="A13" s="4">
        <v>10</v>
      </c>
      <c r="B13" s="4" t="s">
        <v>129</v>
      </c>
      <c r="C13" s="4"/>
      <c r="D13" s="4"/>
      <c r="E13" s="4">
        <v>10</v>
      </c>
      <c r="F13" s="4" t="s">
        <v>236</v>
      </c>
      <c r="G13" s="4">
        <v>500000</v>
      </c>
      <c r="K13" s="1">
        <f>591*13</f>
        <v>7683</v>
      </c>
    </row>
    <row r="14" spans="1:16">
      <c r="A14" s="4">
        <v>11</v>
      </c>
      <c r="B14" s="4" t="s">
        <v>24</v>
      </c>
      <c r="C14" s="4"/>
      <c r="D14" s="4"/>
      <c r="E14" s="4">
        <v>11</v>
      </c>
      <c r="F14" s="4" t="s">
        <v>117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24670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748564</v>
      </c>
      <c r="D19" s="5"/>
      <c r="E19" s="5"/>
      <c r="F19" s="5"/>
      <c r="G19" s="5">
        <f>SUM(G4:G18)</f>
        <v>747970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594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22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53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320000</v>
      </c>
      <c r="D4" s="4"/>
      <c r="E4" s="4">
        <v>1</v>
      </c>
      <c r="F4" s="4" t="s">
        <v>5</v>
      </c>
      <c r="G4" s="4"/>
    </row>
    <row r="5" spans="1:11">
      <c r="A5" s="4">
        <v>2</v>
      </c>
      <c r="B5" s="4" t="s">
        <v>6</v>
      </c>
      <c r="C5" s="4">
        <v>97642</v>
      </c>
      <c r="D5" s="4"/>
      <c r="E5" s="4">
        <v>2</v>
      </c>
      <c r="F5" s="4" t="s">
        <v>43</v>
      </c>
      <c r="G5" s="4"/>
    </row>
    <row r="6" spans="1:11">
      <c r="A6" s="4">
        <v>3</v>
      </c>
      <c r="B6" s="4" t="s">
        <v>19</v>
      </c>
      <c r="C6" s="4"/>
      <c r="D6" s="4"/>
      <c r="E6" s="4">
        <v>3</v>
      </c>
      <c r="F6" s="4" t="s">
        <v>38</v>
      </c>
      <c r="G6" s="4">
        <v>320000</v>
      </c>
    </row>
    <row r="7" spans="1:11">
      <c r="A7" s="4">
        <v>4</v>
      </c>
      <c r="B7" s="4" t="s">
        <v>48</v>
      </c>
      <c r="C7" s="4"/>
      <c r="D7" s="4"/>
      <c r="E7" s="4">
        <v>4</v>
      </c>
      <c r="F7" s="4" t="s">
        <v>39</v>
      </c>
      <c r="G7" s="4">
        <v>100</v>
      </c>
      <c r="K7" s="1">
        <f>30*20</f>
        <v>600</v>
      </c>
    </row>
    <row r="8" spans="1:11">
      <c r="A8" s="4">
        <v>5</v>
      </c>
      <c r="B8" s="4" t="s">
        <v>49</v>
      </c>
      <c r="C8" s="4"/>
      <c r="D8" s="4"/>
      <c r="E8" s="4">
        <v>5</v>
      </c>
      <c r="F8" s="4" t="s">
        <v>9</v>
      </c>
      <c r="G8" s="4">
        <v>200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/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54</v>
      </c>
      <c r="G10" s="4">
        <v>10900</v>
      </c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55</v>
      </c>
      <c r="G11" s="4">
        <v>9720</v>
      </c>
    </row>
    <row r="12" spans="1:11">
      <c r="A12" s="4">
        <v>9</v>
      </c>
      <c r="B12" s="4"/>
      <c r="C12" s="4"/>
      <c r="D12" s="4"/>
      <c r="E12" s="4">
        <v>9</v>
      </c>
      <c r="F12" s="4"/>
      <c r="G12" s="4"/>
    </row>
    <row r="13" spans="1:11">
      <c r="A13" s="4">
        <v>10</v>
      </c>
      <c r="B13" s="4"/>
      <c r="C13" s="4"/>
      <c r="D13" s="4"/>
      <c r="E13" s="4">
        <v>10</v>
      </c>
      <c r="F13" s="4" t="s">
        <v>41</v>
      </c>
      <c r="G13" s="4"/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38615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1">
      <c r="A17" s="4">
        <v>14</v>
      </c>
      <c r="B17" s="4"/>
      <c r="C17" s="4"/>
      <c r="D17" s="4"/>
      <c r="E17" s="4">
        <v>14</v>
      </c>
      <c r="F17" s="4"/>
      <c r="G17" s="4"/>
    </row>
    <row r="18" spans="1:11">
      <c r="A18" s="4">
        <v>15</v>
      </c>
      <c r="B18" s="4"/>
      <c r="C18" s="4"/>
      <c r="D18" s="4"/>
      <c r="E18" s="4">
        <v>15</v>
      </c>
      <c r="F18" s="4"/>
      <c r="G18" s="4"/>
    </row>
    <row r="19" spans="1:11">
      <c r="A19" s="5"/>
      <c r="B19" s="5"/>
      <c r="C19" s="5">
        <f>SUM(C4:C18)</f>
        <v>417642</v>
      </c>
      <c r="D19" s="5"/>
      <c r="E19" s="5"/>
      <c r="F19" s="5"/>
      <c r="G19" s="5">
        <f>SUM(G4:G18)</f>
        <v>379535</v>
      </c>
    </row>
    <row r="20" spans="1:11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1">
      <c r="A21" s="5"/>
      <c r="B21" s="5"/>
      <c r="C21" s="5"/>
      <c r="D21" s="5"/>
      <c r="E21" s="5"/>
      <c r="F21" s="5"/>
      <c r="G21" s="5"/>
    </row>
    <row r="22" spans="1:11">
      <c r="A22" s="5"/>
      <c r="B22" s="5" t="s">
        <v>12</v>
      </c>
      <c r="C22" s="5">
        <f>C19-G19</f>
        <v>38107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P34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237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4</v>
      </c>
      <c r="C5" s="4">
        <v>237500</v>
      </c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31650</v>
      </c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232</v>
      </c>
      <c r="C9" s="4"/>
      <c r="D9" s="4"/>
      <c r="E9" s="4">
        <v>6</v>
      </c>
      <c r="F9" s="7" t="s">
        <v>99</v>
      </c>
      <c r="G9" s="4">
        <v>33000</v>
      </c>
      <c r="K9" s="1">
        <v>80</v>
      </c>
    </row>
    <row r="10" spans="1:16">
      <c r="A10" s="4">
        <v>7</v>
      </c>
      <c r="B10" s="7" t="s">
        <v>7</v>
      </c>
      <c r="C10" s="4">
        <v>50000</v>
      </c>
      <c r="D10" s="4"/>
      <c r="E10" s="4">
        <v>7</v>
      </c>
      <c r="F10" s="4" t="s">
        <v>20</v>
      </c>
      <c r="G10" s="4">
        <v>150</v>
      </c>
      <c r="K10" s="1">
        <v>180</v>
      </c>
      <c r="M10" s="1">
        <f>7*15</f>
        <v>105</v>
      </c>
    </row>
    <row r="11" spans="1:16">
      <c r="A11" s="4">
        <v>8</v>
      </c>
      <c r="B11" s="4" t="s">
        <v>19</v>
      </c>
      <c r="C11" s="4">
        <v>115632</v>
      </c>
      <c r="D11" s="4"/>
      <c r="E11" s="4">
        <v>8</v>
      </c>
      <c r="F11" s="4" t="s">
        <v>238</v>
      </c>
      <c r="G11" s="4">
        <v>500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17</v>
      </c>
      <c r="C12" s="4"/>
      <c r="D12" s="4"/>
      <c r="E12" s="4">
        <v>9</v>
      </c>
      <c r="F12" s="4" t="s">
        <v>240</v>
      </c>
      <c r="G12" s="4">
        <v>115</v>
      </c>
      <c r="I12" s="1">
        <f>C6-10430</f>
        <v>21220</v>
      </c>
      <c r="K12" s="1">
        <f>27-33</f>
        <v>-6</v>
      </c>
    </row>
    <row r="13" spans="1:16">
      <c r="A13" s="4">
        <v>10</v>
      </c>
      <c r="B13" s="4" t="s">
        <v>129</v>
      </c>
      <c r="C13" s="4"/>
      <c r="D13" s="4"/>
      <c r="E13" s="4">
        <v>10</v>
      </c>
      <c r="F13" s="4" t="s">
        <v>236</v>
      </c>
      <c r="G13" s="4"/>
      <c r="K13" s="1">
        <f>591*13</f>
        <v>7683</v>
      </c>
    </row>
    <row r="14" spans="1:16">
      <c r="A14" s="4">
        <v>11</v>
      </c>
      <c r="B14" s="4" t="s">
        <v>24</v>
      </c>
      <c r="C14" s="4">
        <v>26000</v>
      </c>
      <c r="D14" s="4"/>
      <c r="E14" s="4">
        <v>11</v>
      </c>
      <c r="F14" s="4" t="s">
        <v>117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>
        <v>9000</v>
      </c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31650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469782</v>
      </c>
      <c r="D19" s="5"/>
      <c r="E19" s="5"/>
      <c r="F19" s="5"/>
      <c r="G19" s="5">
        <f>SUM(G4:G18)</f>
        <v>465730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4052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P34"/>
  <sheetViews>
    <sheetView zoomScale="145" zoomScaleNormal="145" workbookViewId="0">
      <selection activeCell="F11" sqref="F11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242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/>
      <c r="K8" s="1">
        <f>310+200</f>
        <v>510</v>
      </c>
    </row>
    <row r="9" spans="1:16">
      <c r="A9" s="4">
        <v>6</v>
      </c>
      <c r="B9" s="4" t="s">
        <v>232</v>
      </c>
      <c r="C9" s="4"/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/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19</v>
      </c>
      <c r="C11" s="4"/>
      <c r="D11" s="4"/>
      <c r="E11" s="4">
        <v>8</v>
      </c>
      <c r="F11" s="4" t="s">
        <v>238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17</v>
      </c>
      <c r="C12" s="4"/>
      <c r="D12" s="4"/>
      <c r="E12" s="4">
        <v>9</v>
      </c>
      <c r="F12" s="4" t="s">
        <v>186</v>
      </c>
      <c r="G12" s="4">
        <v>5000</v>
      </c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127</v>
      </c>
      <c r="C13" s="4">
        <v>5000</v>
      </c>
      <c r="D13" s="4"/>
      <c r="E13" s="4">
        <v>10</v>
      </c>
      <c r="F13" s="4" t="s">
        <v>241</v>
      </c>
      <c r="G13" s="4">
        <v>14000</v>
      </c>
      <c r="K13" s="1">
        <f>591*13</f>
        <v>7683</v>
      </c>
    </row>
    <row r="14" spans="1:16">
      <c r="A14" s="4">
        <v>11</v>
      </c>
      <c r="B14" s="4" t="s">
        <v>50</v>
      </c>
      <c r="C14" s="4">
        <v>19000</v>
      </c>
      <c r="D14" s="4"/>
      <c r="E14" s="4">
        <v>11</v>
      </c>
      <c r="F14" s="4" t="s">
        <v>140</v>
      </c>
      <c r="G14" s="4">
        <v>5000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24000</v>
      </c>
      <c r="D19" s="5"/>
      <c r="E19" s="5"/>
      <c r="F19" s="5"/>
      <c r="G19" s="5">
        <f>SUM(G4:G18)</f>
        <v>24000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/>
  <dimension ref="A1:P34"/>
  <sheetViews>
    <sheetView zoomScale="145" zoomScaleNormal="145" workbookViewId="0">
      <selection activeCell="G12" sqref="G1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243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/>
      <c r="K8" s="1">
        <f>310+200</f>
        <v>510</v>
      </c>
    </row>
    <row r="9" spans="1:16">
      <c r="A9" s="4">
        <v>6</v>
      </c>
      <c r="B9" s="4" t="s">
        <v>232</v>
      </c>
      <c r="C9" s="4"/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/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19</v>
      </c>
      <c r="C11" s="4"/>
      <c r="D11" s="4"/>
      <c r="E11" s="4">
        <v>8</v>
      </c>
      <c r="F11" s="4" t="s">
        <v>238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17</v>
      </c>
      <c r="C12" s="4"/>
      <c r="D12" s="4"/>
      <c r="E12" s="4">
        <v>9</v>
      </c>
      <c r="F12" s="4" t="s">
        <v>244</v>
      </c>
      <c r="G12" s="4">
        <v>970</v>
      </c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114</v>
      </c>
      <c r="G13" s="4">
        <v>5500</v>
      </c>
      <c r="K13" s="1">
        <f>591*13</f>
        <v>7683</v>
      </c>
    </row>
    <row r="14" spans="1:16">
      <c r="A14" s="4">
        <v>11</v>
      </c>
      <c r="B14" s="4" t="s">
        <v>50</v>
      </c>
      <c r="C14" s="4">
        <v>10000</v>
      </c>
      <c r="D14" s="4"/>
      <c r="E14" s="4">
        <v>11</v>
      </c>
      <c r="F14" s="4" t="s">
        <v>206</v>
      </c>
      <c r="G14" s="4">
        <v>3000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10000</v>
      </c>
      <c r="D19" s="5"/>
      <c r="E19" s="5"/>
      <c r="F19" s="5"/>
      <c r="G19" s="5">
        <f>SUM(G4:G18)</f>
        <v>9470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530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/>
  <dimension ref="A1:P34"/>
  <sheetViews>
    <sheetView zoomScale="145" zoomScaleNormal="145" workbookViewId="0">
      <selection activeCell="G14" sqref="G14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245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406100</v>
      </c>
      <c r="D4" s="4"/>
      <c r="E4" s="4">
        <v>1</v>
      </c>
      <c r="F4" s="4" t="s">
        <v>5</v>
      </c>
      <c r="G4" s="4">
        <v>450000</v>
      </c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</row>
    <row r="6" spans="1:16">
      <c r="A6" s="4">
        <v>3</v>
      </c>
      <c r="B6" s="4" t="s">
        <v>6</v>
      </c>
      <c r="C6" s="4">
        <v>48003</v>
      </c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232</v>
      </c>
      <c r="C9" s="4"/>
      <c r="D9" s="4"/>
      <c r="E9" s="4">
        <v>6</v>
      </c>
      <c r="F9" s="7" t="s">
        <v>99</v>
      </c>
      <c r="G9" s="4"/>
      <c r="K9" s="1">
        <v>80</v>
      </c>
    </row>
    <row r="10" spans="1:16">
      <c r="A10" s="4">
        <v>7</v>
      </c>
      <c r="B10" s="7" t="s">
        <v>7</v>
      </c>
      <c r="C10" s="4">
        <v>22000</v>
      </c>
      <c r="D10" s="4"/>
      <c r="E10" s="4">
        <v>7</v>
      </c>
      <c r="F10" s="4" t="s">
        <v>20</v>
      </c>
      <c r="G10" s="4">
        <v>140</v>
      </c>
      <c r="K10" s="1">
        <v>180</v>
      </c>
      <c r="M10" s="1">
        <f>7*15</f>
        <v>105</v>
      </c>
    </row>
    <row r="11" spans="1:16">
      <c r="A11" s="4">
        <v>8</v>
      </c>
      <c r="B11" s="4" t="s">
        <v>19</v>
      </c>
      <c r="C11" s="4"/>
      <c r="D11" s="4"/>
      <c r="E11" s="4">
        <v>8</v>
      </c>
      <c r="F11" s="4" t="s">
        <v>238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17</v>
      </c>
      <c r="C12" s="4"/>
      <c r="D12" s="4"/>
      <c r="E12" s="4">
        <v>9</v>
      </c>
      <c r="F12" s="4" t="s">
        <v>244</v>
      </c>
      <c r="G12" s="4"/>
      <c r="I12" s="1">
        <f>C6-10430</f>
        <v>37573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114</v>
      </c>
      <c r="G13" s="4"/>
      <c r="K13" s="1">
        <f>591*13</f>
        <v>7683</v>
      </c>
    </row>
    <row r="14" spans="1:16">
      <c r="A14" s="4">
        <v>11</v>
      </c>
      <c r="B14" s="4" t="s">
        <v>50</v>
      </c>
      <c r="C14" s="4">
        <v>2000</v>
      </c>
      <c r="D14" s="4"/>
      <c r="E14" s="4">
        <v>11</v>
      </c>
      <c r="F14" s="4" t="s">
        <v>206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24447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478103</v>
      </c>
      <c r="D19" s="5"/>
      <c r="E19" s="5"/>
      <c r="F19" s="5"/>
      <c r="G19" s="5">
        <f>SUM(G4:G18)</f>
        <v>474952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3151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/>
  <dimension ref="A1:P34"/>
  <sheetViews>
    <sheetView zoomScale="145" zoomScaleNormal="145" workbookViewId="0">
      <selection activeCell="F15" sqref="F15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246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160000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4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>
        <v>85537</v>
      </c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98</v>
      </c>
      <c r="C9" s="4">
        <v>54000</v>
      </c>
      <c r="D9" s="4"/>
      <c r="E9" s="4">
        <v>6</v>
      </c>
      <c r="F9" s="4" t="s">
        <v>52</v>
      </c>
      <c r="G9" s="4">
        <v>300000</v>
      </c>
      <c r="K9" s="1">
        <v>80</v>
      </c>
    </row>
    <row r="10" spans="1:16">
      <c r="A10" s="4">
        <v>7</v>
      </c>
      <c r="B10" s="4" t="s">
        <v>156</v>
      </c>
      <c r="C10" s="4">
        <v>50000</v>
      </c>
      <c r="D10" s="4"/>
      <c r="E10" s="4">
        <v>7</v>
      </c>
      <c r="F10" s="4" t="s">
        <v>20</v>
      </c>
      <c r="G10" s="4">
        <v>85</v>
      </c>
      <c r="K10" s="1">
        <v>180</v>
      </c>
      <c r="M10" s="1">
        <f>7*15</f>
        <v>105</v>
      </c>
    </row>
    <row r="11" spans="1:16">
      <c r="A11" s="4">
        <v>8</v>
      </c>
      <c r="B11" s="4" t="s">
        <v>19</v>
      </c>
      <c r="C11" s="4"/>
      <c r="D11" s="4"/>
      <c r="E11" s="4">
        <v>8</v>
      </c>
      <c r="F11" s="4" t="s">
        <v>27</v>
      </c>
      <c r="G11" s="4">
        <v>5000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24</v>
      </c>
      <c r="C12" s="4">
        <v>10000</v>
      </c>
      <c r="D12" s="4"/>
      <c r="E12" s="4">
        <v>9</v>
      </c>
      <c r="F12" s="4" t="s">
        <v>247</v>
      </c>
      <c r="G12" s="4">
        <v>1000</v>
      </c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114</v>
      </c>
      <c r="G13" s="4"/>
      <c r="K13" s="1">
        <f>591*13</f>
        <v>7683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206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359537</v>
      </c>
      <c r="D19" s="5"/>
      <c r="E19" s="5"/>
      <c r="F19" s="5"/>
      <c r="G19" s="5">
        <f>SUM(G4:G18)</f>
        <v>306335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53202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/>
  <dimension ref="A1:P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248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/>
      <c r="D4" s="4"/>
      <c r="E4" s="4">
        <v>1</v>
      </c>
      <c r="F4" s="4" t="s">
        <v>5</v>
      </c>
      <c r="G4" s="4">
        <v>1300000</v>
      </c>
    </row>
    <row r="5" spans="1:16">
      <c r="A5" s="4">
        <v>2</v>
      </c>
      <c r="B5" s="4" t="s">
        <v>249</v>
      </c>
      <c r="C5" s="4">
        <v>2100000</v>
      </c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200000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575</v>
      </c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156</v>
      </c>
      <c r="C10" s="4"/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19</v>
      </c>
      <c r="C11" s="4">
        <v>14115</v>
      </c>
      <c r="D11" s="4"/>
      <c r="E11" s="4">
        <v>8</v>
      </c>
      <c r="F11" s="4" t="s">
        <v>27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</v>
      </c>
      <c r="C12" s="4">
        <v>50000</v>
      </c>
      <c r="D12" s="4"/>
      <c r="E12" s="4">
        <v>9</v>
      </c>
      <c r="F12" s="4" t="s">
        <v>250</v>
      </c>
      <c r="G12" s="4">
        <v>500</v>
      </c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251</v>
      </c>
      <c r="G13" s="4">
        <v>500</v>
      </c>
      <c r="K13" s="1">
        <f>591*13</f>
        <v>7683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252</v>
      </c>
      <c r="G14" s="4">
        <v>600000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2164115</v>
      </c>
      <c r="D19" s="5"/>
      <c r="E19" s="5"/>
      <c r="F19" s="5"/>
      <c r="G19" s="5">
        <f>SUM(G4:G18)</f>
        <v>2101825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62290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/>
  <dimension ref="A1:P34"/>
  <sheetViews>
    <sheetView zoomScale="145" zoomScaleNormal="145" workbookViewId="0">
      <selection activeCell="D14" sqref="D14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253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3300800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17</v>
      </c>
      <c r="C5" s="4">
        <v>600000</v>
      </c>
      <c r="D5" s="4"/>
      <c r="E5" s="4">
        <v>2</v>
      </c>
      <c r="F5" s="4" t="s">
        <v>43</v>
      </c>
      <c r="G5" s="4">
        <v>600000</v>
      </c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>
        <v>3400000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>
        <v>300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21</v>
      </c>
      <c r="C10" s="4">
        <v>86000</v>
      </c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254</v>
      </c>
      <c r="C11" s="4">
        <v>14000</v>
      </c>
      <c r="D11" s="4"/>
      <c r="E11" s="4">
        <v>8</v>
      </c>
      <c r="F11" s="4" t="s">
        <v>27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7</v>
      </c>
      <c r="C12" s="4"/>
      <c r="D12" s="4"/>
      <c r="E12" s="4">
        <v>9</v>
      </c>
      <c r="F12" s="4" t="s">
        <v>255</v>
      </c>
      <c r="G12" s="4">
        <v>30</v>
      </c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127</v>
      </c>
      <c r="C13" s="4">
        <v>10500</v>
      </c>
      <c r="D13" s="4"/>
      <c r="E13" s="4">
        <v>10</v>
      </c>
      <c r="F13" s="4" t="s">
        <v>256</v>
      </c>
      <c r="G13" s="4">
        <v>9000</v>
      </c>
      <c r="K13" s="1">
        <f>591*13</f>
        <v>7683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257</v>
      </c>
      <c r="G14" s="4">
        <v>1850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218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4011300</v>
      </c>
      <c r="D19" s="5"/>
      <c r="E19" s="5"/>
      <c r="F19" s="5"/>
      <c r="G19" s="5">
        <f>SUM(G4:G18)</f>
        <v>4011280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20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/>
  <dimension ref="A1:P34"/>
  <sheetViews>
    <sheetView zoomScale="145" zoomScaleNormal="145" workbookViewId="0">
      <selection activeCell="G15" sqref="G15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253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169800</v>
      </c>
      <c r="D4" s="4"/>
      <c r="E4" s="4">
        <v>1</v>
      </c>
      <c r="F4" s="4" t="s">
        <v>5</v>
      </c>
      <c r="G4" s="4">
        <v>100000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19</v>
      </c>
      <c r="C7" s="4">
        <v>100000</v>
      </c>
      <c r="D7" s="4"/>
      <c r="E7" s="4">
        <v>4</v>
      </c>
      <c r="F7" s="4" t="s">
        <v>39</v>
      </c>
      <c r="G7" s="4">
        <v>58</v>
      </c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98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21</v>
      </c>
      <c r="C10" s="4"/>
      <c r="D10" s="4"/>
      <c r="E10" s="4">
        <v>7</v>
      </c>
      <c r="F10" s="4" t="s">
        <v>20</v>
      </c>
      <c r="G10" s="4">
        <v>80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</v>
      </c>
      <c r="C11" s="4">
        <v>1000</v>
      </c>
      <c r="D11" s="4"/>
      <c r="E11" s="4">
        <v>8</v>
      </c>
      <c r="F11" s="4" t="s">
        <v>27</v>
      </c>
      <c r="G11" s="4" t="s">
        <v>261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262</v>
      </c>
      <c r="C12" s="4">
        <v>5000</v>
      </c>
      <c r="D12" s="4"/>
      <c r="E12" s="4">
        <v>9</v>
      </c>
      <c r="F12" s="4" t="s">
        <v>259</v>
      </c>
      <c r="G12" s="4">
        <v>72000</v>
      </c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258</v>
      </c>
      <c r="G13" s="4">
        <v>100000</v>
      </c>
      <c r="K13" s="1">
        <f>591*13</f>
        <v>7683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260</v>
      </c>
      <c r="G14" s="4">
        <v>900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263</v>
      </c>
      <c r="G15" s="4">
        <v>750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275800</v>
      </c>
      <c r="D19" s="5"/>
      <c r="E19" s="5"/>
      <c r="F19" s="5"/>
      <c r="G19" s="5">
        <f>SUM(G4:G18)</f>
        <v>273988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1812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8"/>
  <dimension ref="A1:P34"/>
  <sheetViews>
    <sheetView zoomScale="145" zoomScaleNormal="145" workbookViewId="0">
      <selection activeCell="B15" sqref="B15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264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331500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12932</v>
      </c>
      <c r="D6" s="4"/>
      <c r="E6" s="4">
        <v>3</v>
      </c>
      <c r="F6" s="4" t="s">
        <v>38</v>
      </c>
      <c r="G6" s="4">
        <v>200000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7</v>
      </c>
      <c r="C7" s="4">
        <v>50000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/>
      <c r="K8" s="1">
        <f>310+200</f>
        <v>510</v>
      </c>
    </row>
    <row r="9" spans="1:16">
      <c r="A9" s="4">
        <v>6</v>
      </c>
      <c r="B9" s="4" t="s">
        <v>269</v>
      </c>
      <c r="C9" s="4">
        <v>9000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265</v>
      </c>
      <c r="C10" s="4">
        <v>20000</v>
      </c>
      <c r="D10" s="4"/>
      <c r="E10" s="4">
        <v>7</v>
      </c>
      <c r="F10" s="4" t="s">
        <v>20</v>
      </c>
      <c r="G10" s="4">
        <v>265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</v>
      </c>
      <c r="C11" s="4">
        <v>6000</v>
      </c>
      <c r="D11" s="4"/>
      <c r="E11" s="4">
        <v>8</v>
      </c>
      <c r="F11" s="4" t="s">
        <v>266</v>
      </c>
      <c r="G11" s="4">
        <v>100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129</v>
      </c>
      <c r="C12" s="4">
        <v>7000</v>
      </c>
      <c r="D12" s="4"/>
      <c r="E12" s="4">
        <v>9</v>
      </c>
      <c r="F12" s="4" t="s">
        <v>267</v>
      </c>
      <c r="G12" s="4">
        <v>30</v>
      </c>
      <c r="I12" s="1">
        <f>C6-10430</f>
        <v>2502</v>
      </c>
      <c r="K12" s="1">
        <f>27-33</f>
        <v>-6</v>
      </c>
    </row>
    <row r="13" spans="1:16">
      <c r="A13" s="4">
        <v>10</v>
      </c>
      <c r="B13" s="4" t="s">
        <v>127</v>
      </c>
      <c r="C13" s="4">
        <v>23000</v>
      </c>
      <c r="D13" s="4"/>
      <c r="E13" s="4">
        <v>10</v>
      </c>
      <c r="F13" s="4" t="s">
        <v>268</v>
      </c>
      <c r="G13" s="4">
        <v>50</v>
      </c>
      <c r="K13" s="1">
        <f>591*13</f>
        <v>7683</v>
      </c>
    </row>
    <row r="14" spans="1:16">
      <c r="A14" s="4">
        <v>11</v>
      </c>
      <c r="B14" s="4" t="s">
        <v>270</v>
      </c>
      <c r="C14" s="4">
        <v>12965</v>
      </c>
      <c r="D14" s="4"/>
      <c r="E14" s="4">
        <v>11</v>
      </c>
      <c r="F14" s="4" t="s">
        <v>117</v>
      </c>
      <c r="G14" s="4">
        <v>440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263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8200</v>
      </c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472397</v>
      </c>
      <c r="D19" s="5"/>
      <c r="E19" s="5"/>
      <c r="F19" s="5"/>
      <c r="G19" s="5">
        <f>SUM(G4:G18)</f>
        <v>459300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13097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89"/>
  <dimension ref="A1:P34"/>
  <sheetViews>
    <sheetView zoomScale="145" zoomScaleNormal="145" workbookViewId="0">
      <selection activeCell="G9" sqref="G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271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205690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7</v>
      </c>
      <c r="C7" s="4">
        <v>45000</v>
      </c>
      <c r="D7" s="4"/>
      <c r="E7" s="4">
        <v>4</v>
      </c>
      <c r="F7" s="4" t="s">
        <v>39</v>
      </c>
      <c r="G7" s="4">
        <v>115</v>
      </c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>
        <v>280</v>
      </c>
      <c r="K8" s="1">
        <f>310+200</f>
        <v>510</v>
      </c>
    </row>
    <row r="9" spans="1:16">
      <c r="A9" s="4">
        <v>6</v>
      </c>
      <c r="B9" s="4" t="s">
        <v>269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265</v>
      </c>
      <c r="C10" s="4"/>
      <c r="D10" s="4"/>
      <c r="E10" s="4">
        <v>7</v>
      </c>
      <c r="F10" s="4" t="s">
        <v>20</v>
      </c>
      <c r="G10" s="4">
        <v>145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</v>
      </c>
      <c r="C11" s="4"/>
      <c r="D11" s="4"/>
      <c r="E11" s="4">
        <v>8</v>
      </c>
      <c r="F11" s="4" t="s">
        <v>266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129</v>
      </c>
      <c r="C12" s="4"/>
      <c r="D12" s="4"/>
      <c r="E12" s="4">
        <v>9</v>
      </c>
      <c r="F12" s="4" t="s">
        <v>267</v>
      </c>
      <c r="G12" s="4"/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268</v>
      </c>
      <c r="G13" s="4"/>
      <c r="K13" s="1">
        <f>591*13</f>
        <v>7683</v>
      </c>
    </row>
    <row r="14" spans="1:16">
      <c r="A14" s="4">
        <v>11</v>
      </c>
      <c r="B14" s="4" t="s">
        <v>270</v>
      </c>
      <c r="C14" s="4"/>
      <c r="D14" s="4"/>
      <c r="E14" s="4">
        <v>11</v>
      </c>
      <c r="F14" s="4" t="s">
        <v>117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263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250690</v>
      </c>
      <c r="D19" s="5"/>
      <c r="E19" s="5"/>
      <c r="F19" s="5"/>
      <c r="G19" s="5">
        <f>SUM(G4:G18)</f>
        <v>250540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150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22"/>
  <sheetViews>
    <sheetView zoomScale="145" zoomScaleNormal="145" workbookViewId="0">
      <selection activeCell="C22" sqref="C22"/>
    </sheetView>
  </sheetViews>
  <sheetFormatPr defaultColWidth="9.140625" defaultRowHeight="15.75"/>
  <cols>
    <col min="1" max="1" width="6.85546875" style="1" customWidth="1"/>
    <col min="2" max="2" width="16.28515625" style="1" customWidth="1"/>
    <col min="3" max="3" width="10.85546875" style="1" customWidth="1"/>
    <col min="4" max="4" width="5" style="1" customWidth="1"/>
    <col min="5" max="5" width="5.7109375" style="1" customWidth="1"/>
    <col min="6" max="6" width="19.28515625" style="1" customWidth="1"/>
    <col min="7" max="7" width="18.28515625" style="1" customWidth="1"/>
    <col min="8" max="16384" width="9.140625" style="1"/>
  </cols>
  <sheetData>
    <row r="1" spans="1:11" ht="17.25">
      <c r="B1" s="1" t="s">
        <v>21</v>
      </c>
      <c r="F1" s="2" t="s">
        <v>14</v>
      </c>
      <c r="G1" s="3" t="s">
        <v>56</v>
      </c>
    </row>
    <row r="3" spans="1:11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1">
      <c r="A4" s="4">
        <v>1</v>
      </c>
      <c r="B4" s="4" t="s">
        <v>4</v>
      </c>
      <c r="C4" s="4">
        <v>583850</v>
      </c>
      <c r="D4" s="4"/>
      <c r="E4" s="4">
        <v>1</v>
      </c>
      <c r="F4" s="4" t="s">
        <v>5</v>
      </c>
      <c r="G4" s="4">
        <v>250000</v>
      </c>
    </row>
    <row r="5" spans="1:11">
      <c r="A5" s="4">
        <v>2</v>
      </c>
      <c r="B5" s="4" t="s">
        <v>6</v>
      </c>
      <c r="C5" s="4">
        <v>110755</v>
      </c>
      <c r="D5" s="4"/>
      <c r="E5" s="4">
        <v>2</v>
      </c>
      <c r="F5" s="4" t="s">
        <v>43</v>
      </c>
      <c r="G5" s="4">
        <v>450000</v>
      </c>
    </row>
    <row r="6" spans="1:11">
      <c r="A6" s="4">
        <v>3</v>
      </c>
      <c r="B6" s="4" t="s">
        <v>7</v>
      </c>
      <c r="C6" s="4">
        <v>50000</v>
      </c>
      <c r="D6" s="4"/>
      <c r="E6" s="4">
        <v>3</v>
      </c>
      <c r="F6" s="4" t="s">
        <v>38</v>
      </c>
      <c r="G6" s="4"/>
    </row>
    <row r="7" spans="1:11">
      <c r="A7" s="4">
        <v>4</v>
      </c>
      <c r="B7" s="4" t="s">
        <v>57</v>
      </c>
      <c r="C7" s="4">
        <v>23500</v>
      </c>
      <c r="D7" s="4"/>
      <c r="E7" s="4">
        <v>4</v>
      </c>
      <c r="F7" s="4" t="s">
        <v>39</v>
      </c>
      <c r="G7" s="4">
        <v>215</v>
      </c>
      <c r="K7" s="1">
        <f>30*20</f>
        <v>600</v>
      </c>
    </row>
    <row r="8" spans="1:11">
      <c r="A8" s="4">
        <v>5</v>
      </c>
      <c r="B8" s="4" t="s">
        <v>58</v>
      </c>
      <c r="C8" s="4">
        <v>60000</v>
      </c>
      <c r="D8" s="4"/>
      <c r="E8" s="4">
        <v>5</v>
      </c>
      <c r="F8" s="4" t="s">
        <v>9</v>
      </c>
      <c r="G8" s="4">
        <v>280</v>
      </c>
    </row>
    <row r="9" spans="1:11">
      <c r="A9" s="4">
        <v>6</v>
      </c>
      <c r="B9" s="4" t="s">
        <v>50</v>
      </c>
      <c r="C9" s="4"/>
      <c r="D9" s="4"/>
      <c r="E9" s="4">
        <v>6</v>
      </c>
      <c r="F9" s="4" t="s">
        <v>44</v>
      </c>
      <c r="G9" s="4">
        <v>450</v>
      </c>
    </row>
    <row r="10" spans="1:11">
      <c r="A10" s="4">
        <v>7</v>
      </c>
      <c r="B10" s="4" t="s">
        <v>23</v>
      </c>
      <c r="C10" s="4"/>
      <c r="D10" s="4"/>
      <c r="E10" s="4">
        <v>7</v>
      </c>
      <c r="F10" s="4" t="s">
        <v>59</v>
      </c>
      <c r="G10" s="4">
        <v>3000</v>
      </c>
    </row>
    <row r="11" spans="1:11">
      <c r="A11" s="4">
        <v>8</v>
      </c>
      <c r="B11" s="4" t="s">
        <v>51</v>
      </c>
      <c r="C11" s="4"/>
      <c r="D11" s="4"/>
      <c r="E11" s="4">
        <v>8</v>
      </c>
      <c r="F11" s="4" t="s">
        <v>60</v>
      </c>
      <c r="G11" s="4">
        <v>5500</v>
      </c>
    </row>
    <row r="12" spans="1:11">
      <c r="A12" s="4">
        <v>9</v>
      </c>
      <c r="B12" s="4"/>
      <c r="C12" s="4"/>
      <c r="D12" s="4"/>
      <c r="E12" s="4">
        <v>9</v>
      </c>
      <c r="F12" s="4" t="s">
        <v>61</v>
      </c>
      <c r="G12" s="4">
        <v>490</v>
      </c>
    </row>
    <row r="13" spans="1:11">
      <c r="A13" s="4">
        <v>10</v>
      </c>
      <c r="B13" s="4"/>
      <c r="C13" s="4"/>
      <c r="D13" s="4"/>
      <c r="E13" s="4">
        <v>10</v>
      </c>
      <c r="F13" s="4" t="s">
        <v>62</v>
      </c>
      <c r="G13" s="4">
        <v>600</v>
      </c>
    </row>
    <row r="14" spans="1:11">
      <c r="A14" s="4">
        <v>11</v>
      </c>
      <c r="B14" s="4"/>
      <c r="C14" s="4"/>
      <c r="D14" s="4"/>
      <c r="E14" s="4">
        <v>11</v>
      </c>
      <c r="F14" s="4" t="s">
        <v>6</v>
      </c>
      <c r="G14" s="4">
        <v>51555</v>
      </c>
    </row>
    <row r="15" spans="1:11">
      <c r="A15" s="4">
        <v>12</v>
      </c>
      <c r="B15" s="4"/>
      <c r="C15" s="4"/>
      <c r="D15" s="4"/>
      <c r="E15" s="4">
        <v>12</v>
      </c>
      <c r="F15" s="4"/>
      <c r="G15" s="4"/>
    </row>
    <row r="16" spans="1:11">
      <c r="A16" s="4">
        <v>13</v>
      </c>
      <c r="B16" s="4"/>
      <c r="C16" s="4"/>
      <c r="D16" s="4"/>
      <c r="E16" s="4">
        <v>13</v>
      </c>
      <c r="F16" s="4"/>
      <c r="G16" s="4"/>
    </row>
    <row r="17" spans="1:11">
      <c r="A17" s="4">
        <v>14</v>
      </c>
      <c r="B17" s="4"/>
      <c r="C17" s="4"/>
      <c r="D17" s="4"/>
      <c r="E17" s="4">
        <v>14</v>
      </c>
      <c r="F17" s="4"/>
      <c r="G17" s="4"/>
    </row>
    <row r="18" spans="1:11">
      <c r="A18" s="4">
        <v>15</v>
      </c>
      <c r="B18" s="4"/>
      <c r="C18" s="4"/>
      <c r="D18" s="4"/>
      <c r="E18" s="4">
        <v>15</v>
      </c>
      <c r="F18" s="4"/>
      <c r="G18" s="4"/>
    </row>
    <row r="19" spans="1:11">
      <c r="A19" s="5"/>
      <c r="B19" s="5"/>
      <c r="C19" s="5">
        <f>SUM(C4:C18)</f>
        <v>828105</v>
      </c>
      <c r="D19" s="5"/>
      <c r="E19" s="5"/>
      <c r="F19" s="5"/>
      <c r="G19" s="5">
        <f>SUM(G4:G18)</f>
        <v>762090</v>
      </c>
    </row>
    <row r="20" spans="1:11">
      <c r="A20" s="5"/>
      <c r="B20" s="5"/>
      <c r="C20" s="5"/>
      <c r="D20" s="5"/>
      <c r="E20" s="5"/>
      <c r="F20" s="5"/>
      <c r="G20" s="5"/>
      <c r="K20" s="1">
        <f>1250+350</f>
        <v>1600</v>
      </c>
    </row>
    <row r="21" spans="1:11">
      <c r="A21" s="5"/>
      <c r="B21" s="5"/>
      <c r="C21" s="5"/>
      <c r="D21" s="5"/>
      <c r="E21" s="5"/>
      <c r="F21" s="5"/>
      <c r="G21" s="5"/>
    </row>
    <row r="22" spans="1:11">
      <c r="A22" s="5"/>
      <c r="B22" s="5" t="s">
        <v>12</v>
      </c>
      <c r="C22" s="5">
        <f>C19-G19</f>
        <v>66015</v>
      </c>
      <c r="D22" s="5"/>
      <c r="E22" s="5"/>
      <c r="F22" s="5"/>
      <c r="G22" s="5"/>
    </row>
  </sheetData>
  <printOptions horizontalCentered="1"/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0"/>
  <dimension ref="A1:P34"/>
  <sheetViews>
    <sheetView zoomScale="145" zoomScaleNormal="145" workbookViewId="0">
      <selection activeCell="I12" sqref="I1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271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128900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>
        <v>200000</v>
      </c>
      <c r="K5" s="1">
        <f>103+85+160</f>
        <v>348</v>
      </c>
    </row>
    <row r="6" spans="1:16">
      <c r="A6" s="4">
        <v>3</v>
      </c>
      <c r="B6" s="4" t="s">
        <v>6</v>
      </c>
      <c r="C6" s="4"/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7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235</v>
      </c>
      <c r="C8" s="4"/>
      <c r="D8" s="4"/>
      <c r="E8" s="4">
        <v>5</v>
      </c>
      <c r="F8" s="4" t="s">
        <v>9</v>
      </c>
      <c r="G8" s="4">
        <v>220</v>
      </c>
      <c r="K8" s="1">
        <f>310+200</f>
        <v>510</v>
      </c>
    </row>
    <row r="9" spans="1:16">
      <c r="A9" s="4">
        <v>6</v>
      </c>
      <c r="B9" s="4" t="s">
        <v>64</v>
      </c>
      <c r="C9" s="4">
        <v>57370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24</v>
      </c>
      <c r="C10" s="4">
        <v>9000</v>
      </c>
      <c r="D10" s="4"/>
      <c r="E10" s="4">
        <v>7</v>
      </c>
      <c r="F10" s="4" t="s">
        <v>20</v>
      </c>
      <c r="G10" s="4">
        <v>115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23</v>
      </c>
      <c r="C11" s="4">
        <v>13000</v>
      </c>
      <c r="D11" s="4"/>
      <c r="E11" s="4">
        <v>8</v>
      </c>
      <c r="F11" s="4" t="s">
        <v>266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129</v>
      </c>
      <c r="C12" s="4"/>
      <c r="D12" s="4"/>
      <c r="E12" s="4">
        <v>9</v>
      </c>
      <c r="F12" s="4" t="s">
        <v>196</v>
      </c>
      <c r="G12" s="4">
        <v>50000</v>
      </c>
      <c r="I12" s="1">
        <f>C6-10430</f>
        <v>-10430</v>
      </c>
      <c r="K12" s="1">
        <f>27-33</f>
        <v>-6</v>
      </c>
    </row>
    <row r="13" spans="1:16">
      <c r="A13" s="4">
        <v>10</v>
      </c>
      <c r="B13" s="4" t="s">
        <v>127</v>
      </c>
      <c r="C13" s="4">
        <v>28000</v>
      </c>
      <c r="D13" s="4"/>
      <c r="E13" s="4">
        <v>10</v>
      </c>
      <c r="F13" s="4" t="s">
        <v>140</v>
      </c>
      <c r="G13" s="4">
        <v>10000</v>
      </c>
      <c r="K13" s="1">
        <f>591*13</f>
        <v>7683</v>
      </c>
    </row>
    <row r="14" spans="1:16">
      <c r="A14" s="4">
        <v>11</v>
      </c>
      <c r="B14" s="4" t="s">
        <v>50</v>
      </c>
      <c r="C14" s="4">
        <v>25000</v>
      </c>
      <c r="D14" s="4"/>
      <c r="E14" s="4">
        <v>11</v>
      </c>
      <c r="F14" s="4" t="s">
        <v>117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>
        <v>5000</v>
      </c>
      <c r="D15" s="4"/>
      <c r="E15" s="4">
        <v>12</v>
      </c>
      <c r="F15" s="6" t="s">
        <v>263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/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266270</v>
      </c>
      <c r="D19" s="5"/>
      <c r="E19" s="5"/>
      <c r="F19" s="5"/>
      <c r="G19" s="5">
        <f>SUM(G4:G18)</f>
        <v>260435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5835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1"/>
  <dimension ref="A1:P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272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312500</v>
      </c>
      <c r="D4" s="4"/>
      <c r="E4" s="4">
        <v>1</v>
      </c>
      <c r="F4" s="4" t="s">
        <v>5</v>
      </c>
      <c r="G4" s="4">
        <v>250000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125960</v>
      </c>
      <c r="D6" s="4"/>
      <c r="E6" s="4">
        <v>3</v>
      </c>
      <c r="F6" s="4" t="s">
        <v>38</v>
      </c>
      <c r="G6" s="4">
        <v>100000</v>
      </c>
      <c r="I6" s="1">
        <v>161284</v>
      </c>
      <c r="N6" s="1">
        <f>190+120</f>
        <v>310</v>
      </c>
    </row>
    <row r="7" spans="1:16">
      <c r="A7" s="4">
        <v>4</v>
      </c>
      <c r="B7" s="4" t="s">
        <v>7</v>
      </c>
      <c r="C7" s="4"/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19</v>
      </c>
      <c r="C8" s="4">
        <v>88850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64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23</v>
      </c>
      <c r="C11" s="4"/>
      <c r="D11" s="4"/>
      <c r="E11" s="4">
        <v>8</v>
      </c>
      <c r="F11" s="4" t="s">
        <v>273</v>
      </c>
      <c r="G11" s="4">
        <v>71000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129</v>
      </c>
      <c r="C12" s="4"/>
      <c r="D12" s="4"/>
      <c r="E12" s="4">
        <v>9</v>
      </c>
      <c r="F12" s="4" t="s">
        <v>196</v>
      </c>
      <c r="G12" s="4"/>
      <c r="I12" s="1">
        <f>C6-10430</f>
        <v>115530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140</v>
      </c>
      <c r="G13" s="4"/>
      <c r="K13" s="1">
        <f>591*13</f>
        <v>7683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117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263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90320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527310</v>
      </c>
      <c r="D19" s="5"/>
      <c r="E19" s="5"/>
      <c r="F19" s="5"/>
      <c r="G19" s="5">
        <f>SUM(G4:G18)</f>
        <v>511785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15525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2"/>
  <dimension ref="A1:P34"/>
  <sheetViews>
    <sheetView zoomScale="145" zoomScaleNormal="145" workbookViewId="0">
      <selection activeCell="G10" sqref="G1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274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140000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126933</v>
      </c>
      <c r="D6" s="4"/>
      <c r="E6" s="4">
        <v>3</v>
      </c>
      <c r="F6" s="4" t="s">
        <v>38</v>
      </c>
      <c r="G6" s="4"/>
      <c r="I6" s="1">
        <v>161284</v>
      </c>
      <c r="N6" s="1">
        <f>190+120</f>
        <v>310</v>
      </c>
    </row>
    <row r="7" spans="1:16">
      <c r="A7" s="4">
        <v>4</v>
      </c>
      <c r="B7" s="4" t="s">
        <v>7</v>
      </c>
      <c r="C7" s="4"/>
      <c r="D7" s="4"/>
      <c r="E7" s="4">
        <v>4</v>
      </c>
      <c r="F7" s="4" t="s">
        <v>39</v>
      </c>
      <c r="G7" s="4"/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80</v>
      </c>
      <c r="K8" s="1">
        <f>310+200</f>
        <v>510</v>
      </c>
    </row>
    <row r="9" spans="1:16">
      <c r="A9" s="4">
        <v>6</v>
      </c>
      <c r="B9" s="4" t="s">
        <v>64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24</v>
      </c>
      <c r="C10" s="4"/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23</v>
      </c>
      <c r="C11" s="4"/>
      <c r="D11" s="4"/>
      <c r="E11" s="4">
        <v>8</v>
      </c>
      <c r="F11" s="4" t="s">
        <v>273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129</v>
      </c>
      <c r="C12" s="4"/>
      <c r="D12" s="4"/>
      <c r="E12" s="4">
        <v>9</v>
      </c>
      <c r="F12" s="4" t="s">
        <v>275</v>
      </c>
      <c r="G12" s="4">
        <v>139770</v>
      </c>
      <c r="I12" s="1">
        <f>C6-10430</f>
        <v>116503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140</v>
      </c>
      <c r="G13" s="4"/>
      <c r="K13" s="1">
        <f>591*13</f>
        <v>7683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117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263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126933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266933</v>
      </c>
      <c r="D19" s="5"/>
      <c r="E19" s="5"/>
      <c r="F19" s="5"/>
      <c r="G19" s="5">
        <f>SUM(G4:G18)</f>
        <v>266783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150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3"/>
  <dimension ref="A1:P34"/>
  <sheetViews>
    <sheetView zoomScale="145" zoomScaleNormal="145" workbookViewId="0">
      <selection activeCell="C12" sqref="C12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276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141974</v>
      </c>
      <c r="D4" s="4"/>
      <c r="E4" s="4">
        <v>1</v>
      </c>
      <c r="F4" s="4" t="s">
        <v>5</v>
      </c>
      <c r="G4" s="4">
        <v>400000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>
        <v>100000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505410</v>
      </c>
      <c r="D6" s="4"/>
      <c r="E6" s="4">
        <v>3</v>
      </c>
      <c r="F6" s="4" t="s">
        <v>38</v>
      </c>
      <c r="G6" s="4">
        <v>180000</v>
      </c>
      <c r="N6" s="1">
        <f>190+120</f>
        <v>310</v>
      </c>
    </row>
    <row r="7" spans="1:16">
      <c r="A7" s="4">
        <v>4</v>
      </c>
      <c r="B7" s="4" t="s">
        <v>7</v>
      </c>
      <c r="C7" s="4">
        <v>50000</v>
      </c>
      <c r="D7" s="4"/>
      <c r="E7" s="4">
        <v>4</v>
      </c>
      <c r="F7" s="4" t="s">
        <v>39</v>
      </c>
      <c r="G7" s="4">
        <v>315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230</v>
      </c>
      <c r="K8" s="1">
        <f>310+200</f>
        <v>510</v>
      </c>
    </row>
    <row r="9" spans="1:16">
      <c r="A9" s="4">
        <v>6</v>
      </c>
      <c r="B9" s="4" t="s">
        <v>64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24</v>
      </c>
      <c r="C10" s="4">
        <v>40000</v>
      </c>
      <c r="D10" s="4"/>
      <c r="E10" s="4">
        <v>7</v>
      </c>
      <c r="F10" s="4" t="s">
        <v>20</v>
      </c>
      <c r="G10" s="4">
        <v>110</v>
      </c>
      <c r="K10" s="1">
        <v>180</v>
      </c>
      <c r="M10" s="1">
        <f>7*15</f>
        <v>105</v>
      </c>
    </row>
    <row r="11" spans="1:16">
      <c r="A11" s="4">
        <v>8</v>
      </c>
      <c r="B11" s="4" t="s">
        <v>278</v>
      </c>
      <c r="C11" s="4">
        <v>42144</v>
      </c>
      <c r="D11" s="4"/>
      <c r="E11" s="4">
        <v>8</v>
      </c>
      <c r="F11" s="4" t="s">
        <v>273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129</v>
      </c>
      <c r="C12" s="4"/>
      <c r="D12" s="4"/>
      <c r="E12" s="4">
        <v>9</v>
      </c>
      <c r="F12" s="8" t="s">
        <v>277</v>
      </c>
      <c r="G12" s="4">
        <v>360</v>
      </c>
      <c r="I12" s="1">
        <f>C6-10430</f>
        <v>494980</v>
      </c>
      <c r="K12" s="1">
        <f>27-33</f>
        <v>-6</v>
      </c>
    </row>
    <row r="13" spans="1:16">
      <c r="A13" s="4">
        <v>10</v>
      </c>
      <c r="B13" s="4" t="s">
        <v>127</v>
      </c>
      <c r="C13" s="4">
        <v>24000</v>
      </c>
      <c r="D13" s="4"/>
      <c r="E13" s="4">
        <v>10</v>
      </c>
      <c r="F13" s="4" t="s">
        <v>140</v>
      </c>
      <c r="G13" s="4"/>
      <c r="K13" s="1">
        <f>591*13</f>
        <v>7683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279</v>
      </c>
      <c r="G14" s="4">
        <v>1250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263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88813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803528</v>
      </c>
      <c r="D19" s="5"/>
      <c r="E19" s="5"/>
      <c r="F19" s="5"/>
      <c r="G19" s="5">
        <f>SUM(G4:G18)</f>
        <v>771078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32450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4"/>
  <dimension ref="A1:P34"/>
  <sheetViews>
    <sheetView zoomScale="145" zoomScaleNormal="145" workbookViewId="0">
      <selection activeCell="G17" sqref="G17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280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639300</v>
      </c>
      <c r="D4" s="4"/>
      <c r="E4" s="4">
        <v>1</v>
      </c>
      <c r="F4" s="4" t="s">
        <v>5</v>
      </c>
      <c r="G4" s="4">
        <v>500000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104173</v>
      </c>
      <c r="D6" s="4"/>
      <c r="E6" s="4">
        <v>3</v>
      </c>
      <c r="F6" s="4" t="s">
        <v>38</v>
      </c>
      <c r="G6" s="4">
        <v>200000</v>
      </c>
      <c r="N6" s="1">
        <f>190+120</f>
        <v>310</v>
      </c>
    </row>
    <row r="7" spans="1:16">
      <c r="A7" s="4">
        <v>4</v>
      </c>
      <c r="B7" s="4" t="s">
        <v>7</v>
      </c>
      <c r="C7" s="4">
        <v>35000</v>
      </c>
      <c r="D7" s="4"/>
      <c r="E7" s="4">
        <v>4</v>
      </c>
      <c r="F7" s="4" t="s">
        <v>39</v>
      </c>
      <c r="G7" s="4">
        <v>215</v>
      </c>
    </row>
    <row r="8" spans="1:16">
      <c r="A8" s="4">
        <v>5</v>
      </c>
      <c r="B8" s="4" t="s">
        <v>19</v>
      </c>
      <c r="C8" s="4">
        <v>52650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64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98</v>
      </c>
      <c r="C10" s="4">
        <v>82000</v>
      </c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278</v>
      </c>
      <c r="C11" s="4"/>
      <c r="D11" s="4"/>
      <c r="E11" s="4">
        <v>8</v>
      </c>
      <c r="F11" s="4" t="s">
        <v>273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129</v>
      </c>
      <c r="C12" s="4"/>
      <c r="D12" s="4"/>
      <c r="E12" s="4">
        <v>9</v>
      </c>
      <c r="F12" s="8" t="s">
        <v>281</v>
      </c>
      <c r="G12" s="4">
        <v>5000</v>
      </c>
      <c r="I12" s="1">
        <f>C6-10430</f>
        <v>93743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140</v>
      </c>
      <c r="G13" s="4"/>
      <c r="K13" s="1">
        <f>591*13</f>
        <v>7683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279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263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71113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913123</v>
      </c>
      <c r="D19" s="5"/>
      <c r="E19" s="5"/>
      <c r="F19" s="5"/>
      <c r="G19" s="5">
        <f>SUM(G4:G18)</f>
        <v>776578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136545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5"/>
  <dimension ref="A1:P34"/>
  <sheetViews>
    <sheetView zoomScale="145" zoomScaleNormal="145" workbookViewId="0">
      <selection activeCell="G6" sqref="G6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282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204000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>
        <v>150000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181238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7</v>
      </c>
      <c r="C7" s="4"/>
      <c r="D7" s="4"/>
      <c r="E7" s="4">
        <v>4</v>
      </c>
      <c r="F7" s="4" t="s">
        <v>39</v>
      </c>
      <c r="G7" s="4">
        <v>200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200</v>
      </c>
      <c r="K8" s="1">
        <f>310+200</f>
        <v>510</v>
      </c>
    </row>
    <row r="9" spans="1:16">
      <c r="A9" s="4">
        <v>6</v>
      </c>
      <c r="B9" s="4" t="s">
        <v>284</v>
      </c>
      <c r="C9" s="4">
        <v>80000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98</v>
      </c>
      <c r="C10" s="4"/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278</v>
      </c>
      <c r="C11" s="4"/>
      <c r="D11" s="4"/>
      <c r="E11" s="4">
        <v>8</v>
      </c>
      <c r="F11" s="4" t="s">
        <v>273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129</v>
      </c>
      <c r="C12" s="4"/>
      <c r="D12" s="4"/>
      <c r="E12" s="4">
        <v>9</v>
      </c>
      <c r="F12" s="8" t="s">
        <v>281</v>
      </c>
      <c r="G12" s="4"/>
      <c r="I12" s="1">
        <f>C6-10430</f>
        <v>170808</v>
      </c>
      <c r="K12" s="1">
        <f>27-33</f>
        <v>-6</v>
      </c>
    </row>
    <row r="13" spans="1:16">
      <c r="A13" s="4">
        <v>10</v>
      </c>
      <c r="B13" s="4" t="s">
        <v>127</v>
      </c>
      <c r="C13" s="4"/>
      <c r="D13" s="4"/>
      <c r="E13" s="4">
        <v>10</v>
      </c>
      <c r="F13" s="4" t="s">
        <v>283</v>
      </c>
      <c r="G13" s="4">
        <v>50</v>
      </c>
      <c r="K13" s="1">
        <f>591*13</f>
        <v>7683</v>
      </c>
    </row>
    <row r="14" spans="1:16">
      <c r="A14" s="4">
        <v>11</v>
      </c>
      <c r="B14" s="4" t="s">
        <v>50</v>
      </c>
      <c r="C14" s="4"/>
      <c r="D14" s="4"/>
      <c r="E14" s="4">
        <v>11</v>
      </c>
      <c r="F14" s="4" t="s">
        <v>82</v>
      </c>
      <c r="G14" s="4">
        <v>440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285</v>
      </c>
      <c r="G15" s="4">
        <v>50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54113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465238</v>
      </c>
      <c r="D19" s="5"/>
      <c r="E19" s="5"/>
      <c r="F19" s="5"/>
      <c r="G19" s="5">
        <f>SUM(G4:G18)</f>
        <v>355053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110185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P34"/>
  <sheetViews>
    <sheetView zoomScale="145" zoomScaleNormal="145" workbookViewId="0">
      <selection activeCell="G13" sqref="G13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286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645500</v>
      </c>
      <c r="D4" s="4"/>
      <c r="E4" s="4">
        <v>1</v>
      </c>
      <c r="F4" s="4" t="s">
        <v>5</v>
      </c>
      <c r="G4" s="4">
        <v>795000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147773</v>
      </c>
      <c r="D6" s="4"/>
      <c r="E6" s="4">
        <v>3</v>
      </c>
      <c r="F6" s="4" t="s">
        <v>38</v>
      </c>
      <c r="G6" s="4"/>
      <c r="N6" s="1">
        <f>190+120</f>
        <v>310</v>
      </c>
    </row>
    <row r="7" spans="1:16">
      <c r="A7" s="4">
        <v>4</v>
      </c>
      <c r="B7" s="4" t="s">
        <v>7</v>
      </c>
      <c r="C7" s="4"/>
      <c r="D7" s="4"/>
      <c r="E7" s="4">
        <v>4</v>
      </c>
      <c r="F7" s="4" t="s">
        <v>39</v>
      </c>
      <c r="G7" s="4">
        <v>173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284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98</v>
      </c>
      <c r="C10" s="4"/>
      <c r="D10" s="4"/>
      <c r="E10" s="4">
        <v>7</v>
      </c>
      <c r="F10" s="4" t="s">
        <v>20</v>
      </c>
      <c r="G10" s="4">
        <v>320</v>
      </c>
      <c r="K10" s="1">
        <v>180</v>
      </c>
      <c r="M10" s="1">
        <f>7*15</f>
        <v>105</v>
      </c>
    </row>
    <row r="11" spans="1:16">
      <c r="A11" s="4">
        <v>8</v>
      </c>
      <c r="B11" s="4" t="s">
        <v>287</v>
      </c>
      <c r="C11" s="4">
        <v>56690</v>
      </c>
      <c r="D11" s="4"/>
      <c r="E11" s="4">
        <v>8</v>
      </c>
      <c r="F11" s="4" t="s">
        <v>273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233</v>
      </c>
      <c r="C12" s="4">
        <v>28500</v>
      </c>
      <c r="D12" s="4"/>
      <c r="E12" s="4">
        <v>9</v>
      </c>
      <c r="F12" s="8" t="s">
        <v>186</v>
      </c>
      <c r="G12" s="4">
        <v>10000</v>
      </c>
      <c r="I12" s="1">
        <f>C6-10430</f>
        <v>137343</v>
      </c>
      <c r="K12" s="1">
        <f>27-33</f>
        <v>-6</v>
      </c>
    </row>
    <row r="13" spans="1:16">
      <c r="A13" s="4">
        <v>10</v>
      </c>
      <c r="B13" s="4" t="s">
        <v>127</v>
      </c>
      <c r="C13" s="4">
        <v>12000</v>
      </c>
      <c r="D13" s="4"/>
      <c r="E13" s="4">
        <v>10</v>
      </c>
      <c r="F13" s="4" t="s">
        <v>71</v>
      </c>
      <c r="G13" s="4">
        <v>9000</v>
      </c>
      <c r="K13" s="1">
        <f>591*13</f>
        <v>7683</v>
      </c>
    </row>
    <row r="14" spans="1:16">
      <c r="A14" s="4">
        <v>11</v>
      </c>
      <c r="B14" s="4" t="s">
        <v>50</v>
      </c>
      <c r="C14" s="4">
        <v>30000</v>
      </c>
      <c r="D14" s="4"/>
      <c r="E14" s="4">
        <v>11</v>
      </c>
      <c r="F14" s="4" t="s">
        <v>82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239</v>
      </c>
      <c r="C15" s="4"/>
      <c r="D15" s="4"/>
      <c r="E15" s="4">
        <v>12</v>
      </c>
      <c r="F15" s="6" t="s">
        <v>285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104657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920463</v>
      </c>
      <c r="D19" s="5"/>
      <c r="E19" s="5"/>
      <c r="F19" s="5"/>
      <c r="G19" s="5">
        <f>SUM(G4:G18)</f>
        <v>919400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</row>
    <row r="22" spans="1:15">
      <c r="A22" s="5"/>
      <c r="B22" s="5" t="s">
        <v>12</v>
      </c>
      <c r="C22" s="5">
        <f>C19-G19</f>
        <v>1063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P34"/>
  <sheetViews>
    <sheetView zoomScale="145" zoomScaleNormal="145" workbookViewId="0">
      <selection activeCell="F20" sqref="F2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293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217800</v>
      </c>
      <c r="D4" s="4"/>
      <c r="E4" s="4">
        <v>1</v>
      </c>
      <c r="F4" s="4" t="s">
        <v>5</v>
      </c>
      <c r="G4" s="4">
        <v>100000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>
        <v>250000</v>
      </c>
      <c r="K5" s="1">
        <f>103+85+160</f>
        <v>348</v>
      </c>
    </row>
    <row r="6" spans="1:16">
      <c r="A6" s="4">
        <v>3</v>
      </c>
      <c r="B6" s="4" t="s">
        <v>6</v>
      </c>
      <c r="C6" s="4">
        <v>132926</v>
      </c>
      <c r="D6" s="4"/>
      <c r="E6" s="4">
        <v>3</v>
      </c>
      <c r="F6" s="4" t="s">
        <v>38</v>
      </c>
      <c r="G6" s="4">
        <v>150000</v>
      </c>
      <c r="N6" s="1">
        <f>190+120</f>
        <v>310</v>
      </c>
    </row>
    <row r="7" spans="1:16">
      <c r="A7" s="4">
        <v>4</v>
      </c>
      <c r="B7" s="4" t="s">
        <v>7</v>
      </c>
      <c r="C7" s="4">
        <v>40000</v>
      </c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19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292</v>
      </c>
      <c r="C9" s="4">
        <v>100000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98</v>
      </c>
      <c r="C10" s="4"/>
      <c r="D10" s="4"/>
      <c r="E10" s="4">
        <v>7</v>
      </c>
      <c r="F10" s="4" t="s">
        <v>20</v>
      </c>
      <c r="G10" s="4"/>
      <c r="K10" s="1">
        <v>180</v>
      </c>
      <c r="M10" s="1">
        <f>7*15</f>
        <v>105</v>
      </c>
    </row>
    <row r="11" spans="1:16">
      <c r="A11" s="4">
        <v>8</v>
      </c>
      <c r="B11" s="4" t="s">
        <v>288</v>
      </c>
      <c r="C11" s="4"/>
      <c r="D11" s="4"/>
      <c r="E11" s="4">
        <v>8</v>
      </c>
      <c r="F11" s="4" t="s">
        <v>294</v>
      </c>
      <c r="G11" s="4">
        <v>36000</v>
      </c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289</v>
      </c>
      <c r="C12" s="4">
        <v>37000</v>
      </c>
      <c r="D12" s="4"/>
      <c r="E12" s="4">
        <v>9</v>
      </c>
      <c r="F12" s="8" t="s">
        <v>291</v>
      </c>
      <c r="G12" s="4">
        <v>100000</v>
      </c>
      <c r="I12" s="1">
        <f>C6-10430</f>
        <v>122496</v>
      </c>
      <c r="K12" s="1">
        <f>27-33</f>
        <v>-6</v>
      </c>
    </row>
    <row r="13" spans="1:16">
      <c r="A13" s="4">
        <v>10</v>
      </c>
      <c r="B13" s="4" t="s">
        <v>290</v>
      </c>
      <c r="C13" s="4">
        <v>110000</v>
      </c>
      <c r="D13" s="4"/>
      <c r="E13" s="4">
        <v>10</v>
      </c>
      <c r="F13" s="4" t="s">
        <v>169</v>
      </c>
      <c r="G13" s="4">
        <v>750</v>
      </c>
      <c r="K13" s="1">
        <f>591*13</f>
        <v>7683</v>
      </c>
    </row>
    <row r="14" spans="1:16">
      <c r="A14" s="4">
        <v>11</v>
      </c>
      <c r="B14" s="4" t="s">
        <v>129</v>
      </c>
      <c r="C14" s="4">
        <v>28000</v>
      </c>
      <c r="D14" s="4"/>
      <c r="E14" s="4">
        <v>11</v>
      </c>
      <c r="F14" s="4" t="s">
        <v>263</v>
      </c>
      <c r="G14" s="4">
        <v>750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>
        <v>22000</v>
      </c>
      <c r="D15" s="4"/>
      <c r="E15" s="4">
        <v>12</v>
      </c>
      <c r="F15" s="6" t="s">
        <v>295</v>
      </c>
      <c r="G15" s="4">
        <v>14000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35121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687726</v>
      </c>
      <c r="D19" s="5"/>
      <c r="E19" s="5"/>
      <c r="F19" s="5"/>
      <c r="G19" s="5">
        <f>SUM(G4:G18)</f>
        <v>686971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755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P34"/>
  <sheetViews>
    <sheetView zoomScale="145" zoomScaleNormal="145" workbookViewId="0">
      <selection activeCell="C10" sqref="C10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296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475000</v>
      </c>
      <c r="D4" s="4"/>
      <c r="E4" s="4">
        <v>1</v>
      </c>
      <c r="F4" s="4" t="s">
        <v>5</v>
      </c>
      <c r="G4" s="4">
        <v>610000</v>
      </c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234556</v>
      </c>
      <c r="D6" s="4"/>
      <c r="E6" s="4">
        <v>3</v>
      </c>
      <c r="F6" s="4" t="s">
        <v>38</v>
      </c>
      <c r="G6" s="4">
        <v>100000</v>
      </c>
      <c r="N6" s="1">
        <f>190+120</f>
        <v>310</v>
      </c>
    </row>
    <row r="7" spans="1:16">
      <c r="A7" s="4">
        <v>4</v>
      </c>
      <c r="B7" s="4" t="s">
        <v>124</v>
      </c>
      <c r="C7" s="4">
        <v>65550</v>
      </c>
      <c r="D7" s="4"/>
      <c r="E7" s="4">
        <v>4</v>
      </c>
      <c r="F7" s="4" t="s">
        <v>39</v>
      </c>
      <c r="G7" s="4">
        <v>273</v>
      </c>
    </row>
    <row r="8" spans="1:16">
      <c r="A8" s="4">
        <v>5</v>
      </c>
      <c r="B8" s="4" t="s">
        <v>23</v>
      </c>
      <c r="C8" s="4">
        <v>15000</v>
      </c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24</v>
      </c>
      <c r="C9" s="4">
        <v>32500</v>
      </c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133</v>
      </c>
      <c r="C10" s="4">
        <v>15000</v>
      </c>
      <c r="D10" s="4"/>
      <c r="E10" s="4">
        <v>7</v>
      </c>
      <c r="F10" s="4" t="s">
        <v>20</v>
      </c>
      <c r="G10" s="4">
        <v>300</v>
      </c>
      <c r="K10" s="1">
        <v>180</v>
      </c>
      <c r="M10" s="1">
        <f>7*15</f>
        <v>105</v>
      </c>
    </row>
    <row r="11" spans="1:16">
      <c r="A11" s="4">
        <v>8</v>
      </c>
      <c r="B11" s="4" t="s">
        <v>288</v>
      </c>
      <c r="C11" s="4"/>
      <c r="D11" s="4"/>
      <c r="E11" s="4">
        <v>8</v>
      </c>
      <c r="F11" s="4" t="s">
        <v>294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289</v>
      </c>
      <c r="C12" s="4"/>
      <c r="D12" s="4"/>
      <c r="E12" s="4">
        <v>9</v>
      </c>
      <c r="F12" s="8" t="s">
        <v>204</v>
      </c>
      <c r="G12" s="4">
        <v>80</v>
      </c>
      <c r="I12" s="1">
        <f>C6-10430</f>
        <v>224126</v>
      </c>
      <c r="K12" s="1">
        <f>27-33</f>
        <v>-6</v>
      </c>
    </row>
    <row r="13" spans="1:16">
      <c r="A13" s="4">
        <v>10</v>
      </c>
      <c r="B13" s="4" t="s">
        <v>290</v>
      </c>
      <c r="C13" s="4"/>
      <c r="D13" s="4"/>
      <c r="E13" s="4">
        <v>10</v>
      </c>
      <c r="F13" s="4" t="s">
        <v>169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184</v>
      </c>
      <c r="G14" s="4">
        <v>500</v>
      </c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297</v>
      </c>
      <c r="G15" s="4">
        <v>500</v>
      </c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125527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837606</v>
      </c>
      <c r="D19" s="5"/>
      <c r="E19" s="5"/>
      <c r="F19" s="5"/>
      <c r="G19" s="5">
        <f>SUM(G4:G18)</f>
        <v>837430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176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P34"/>
  <sheetViews>
    <sheetView zoomScale="145" zoomScaleNormal="145" workbookViewId="0">
      <selection activeCell="C9" sqref="C9"/>
    </sheetView>
  </sheetViews>
  <sheetFormatPr defaultColWidth="9.140625" defaultRowHeight="15.75"/>
  <cols>
    <col min="1" max="1" width="6.85546875" style="1" customWidth="1"/>
    <col min="2" max="2" width="17.42578125" style="1" customWidth="1"/>
    <col min="3" max="3" width="9.5703125" style="1" customWidth="1"/>
    <col min="4" max="4" width="5" style="1" customWidth="1"/>
    <col min="5" max="5" width="5.7109375" style="1" customWidth="1"/>
    <col min="6" max="6" width="19.28515625" style="1" customWidth="1"/>
    <col min="7" max="7" width="16.140625" style="1" customWidth="1"/>
    <col min="8" max="16384" width="9.140625" style="1"/>
  </cols>
  <sheetData>
    <row r="1" spans="1:16" ht="17.25">
      <c r="B1" s="1" t="s">
        <v>21</v>
      </c>
      <c r="F1" s="2" t="s">
        <v>14</v>
      </c>
      <c r="G1" s="3" t="s">
        <v>298</v>
      </c>
    </row>
    <row r="3" spans="1:16">
      <c r="A3" s="4" t="s">
        <v>0</v>
      </c>
      <c r="B3" s="4" t="s">
        <v>1</v>
      </c>
      <c r="C3" s="4" t="s">
        <v>2</v>
      </c>
      <c r="D3" s="4"/>
      <c r="E3" s="4" t="s">
        <v>3</v>
      </c>
      <c r="F3" s="4" t="s">
        <v>1</v>
      </c>
      <c r="G3" s="4" t="s">
        <v>2</v>
      </c>
    </row>
    <row r="4" spans="1:16">
      <c r="A4" s="4">
        <v>1</v>
      </c>
      <c r="B4" s="4" t="s">
        <v>4</v>
      </c>
      <c r="C4" s="4">
        <v>346300</v>
      </c>
      <c r="D4" s="4"/>
      <c r="E4" s="4">
        <v>1</v>
      </c>
      <c r="F4" s="4" t="s">
        <v>5</v>
      </c>
      <c r="G4" s="4"/>
    </row>
    <row r="5" spans="1:16">
      <c r="A5" s="4">
        <v>2</v>
      </c>
      <c r="B5" s="4" t="s">
        <v>17</v>
      </c>
      <c r="C5" s="4"/>
      <c r="D5" s="4"/>
      <c r="E5" s="4">
        <v>2</v>
      </c>
      <c r="F5" s="4" t="s">
        <v>43</v>
      </c>
      <c r="G5" s="4"/>
      <c r="K5" s="1">
        <f>103+85+160</f>
        <v>348</v>
      </c>
    </row>
    <row r="6" spans="1:16">
      <c r="A6" s="4">
        <v>3</v>
      </c>
      <c r="B6" s="4" t="s">
        <v>6</v>
      </c>
      <c r="C6" s="4">
        <v>152491</v>
      </c>
      <c r="D6" s="4"/>
      <c r="E6" s="4">
        <v>3</v>
      </c>
      <c r="F6" s="4" t="s">
        <v>38</v>
      </c>
      <c r="G6" s="4">
        <v>350000</v>
      </c>
      <c r="N6" s="1">
        <f>190+120</f>
        <v>310</v>
      </c>
    </row>
    <row r="7" spans="1:16">
      <c r="A7" s="4">
        <v>4</v>
      </c>
      <c r="B7" s="4" t="s">
        <v>124</v>
      </c>
      <c r="C7" s="4"/>
      <c r="D7" s="4"/>
      <c r="E7" s="4">
        <v>4</v>
      </c>
      <c r="F7" s="4" t="s">
        <v>39</v>
      </c>
      <c r="G7" s="4">
        <v>100</v>
      </c>
    </row>
    <row r="8" spans="1:16">
      <c r="A8" s="4">
        <v>5</v>
      </c>
      <c r="B8" s="4" t="s">
        <v>23</v>
      </c>
      <c r="C8" s="4"/>
      <c r="D8" s="4"/>
      <c r="E8" s="4">
        <v>5</v>
      </c>
      <c r="F8" s="4" t="s">
        <v>9</v>
      </c>
      <c r="G8" s="4">
        <v>250</v>
      </c>
      <c r="K8" s="1">
        <f>310+200</f>
        <v>510</v>
      </c>
    </row>
    <row r="9" spans="1:16">
      <c r="A9" s="4">
        <v>6</v>
      </c>
      <c r="B9" s="4" t="s">
        <v>24</v>
      </c>
      <c r="C9" s="4"/>
      <c r="D9" s="4"/>
      <c r="E9" s="4">
        <v>6</v>
      </c>
      <c r="F9" s="4" t="s">
        <v>52</v>
      </c>
      <c r="G9" s="4"/>
      <c r="K9" s="1">
        <v>80</v>
      </c>
    </row>
    <row r="10" spans="1:16">
      <c r="A10" s="4">
        <v>7</v>
      </c>
      <c r="B10" s="4" t="s">
        <v>133</v>
      </c>
      <c r="C10" s="4"/>
      <c r="D10" s="4"/>
      <c r="E10" s="4">
        <v>7</v>
      </c>
      <c r="F10" s="4" t="s">
        <v>20</v>
      </c>
      <c r="G10" s="4">
        <v>135</v>
      </c>
      <c r="J10" s="1">
        <f>20+75+40</f>
        <v>135</v>
      </c>
      <c r="K10" s="1">
        <v>180</v>
      </c>
      <c r="M10" s="1">
        <f>7*15</f>
        <v>105</v>
      </c>
    </row>
    <row r="11" spans="1:16">
      <c r="A11" s="4">
        <v>8</v>
      </c>
      <c r="B11" s="4" t="s">
        <v>241</v>
      </c>
      <c r="C11" s="4">
        <v>50000</v>
      </c>
      <c r="D11" s="4"/>
      <c r="E11" s="4">
        <v>8</v>
      </c>
      <c r="F11" s="4" t="s">
        <v>294</v>
      </c>
      <c r="G11" s="4"/>
      <c r="K11" s="1">
        <f>510+80+180</f>
        <v>770</v>
      </c>
      <c r="M11" s="1">
        <f>105+70+20</f>
        <v>195</v>
      </c>
    </row>
    <row r="12" spans="1:16">
      <c r="A12" s="4">
        <v>9</v>
      </c>
      <c r="B12" s="4" t="s">
        <v>289</v>
      </c>
      <c r="C12" s="4"/>
      <c r="D12" s="4"/>
      <c r="E12" s="4">
        <v>9</v>
      </c>
      <c r="F12" s="8" t="s">
        <v>144</v>
      </c>
      <c r="G12" s="4">
        <v>2000</v>
      </c>
      <c r="I12" s="1">
        <f>C6-10430</f>
        <v>142061</v>
      </c>
      <c r="K12" s="1">
        <f>27-33</f>
        <v>-6</v>
      </c>
    </row>
    <row r="13" spans="1:16">
      <c r="A13" s="4">
        <v>10</v>
      </c>
      <c r="B13" s="4" t="s">
        <v>299</v>
      </c>
      <c r="C13" s="4">
        <v>5000</v>
      </c>
      <c r="D13" s="4"/>
      <c r="E13" s="4">
        <v>10</v>
      </c>
      <c r="F13" s="4" t="s">
        <v>169</v>
      </c>
      <c r="G13" s="4"/>
      <c r="K13" s="1">
        <f>591*13</f>
        <v>7683</v>
      </c>
    </row>
    <row r="14" spans="1:16">
      <c r="A14" s="4">
        <v>11</v>
      </c>
      <c r="B14" s="4" t="s">
        <v>129</v>
      </c>
      <c r="C14" s="4"/>
      <c r="D14" s="4"/>
      <c r="E14" s="4">
        <v>11</v>
      </c>
      <c r="F14" s="4" t="s">
        <v>184</v>
      </c>
      <c r="G14" s="4"/>
      <c r="K14" s="1">
        <f>620*12</f>
        <v>7440</v>
      </c>
      <c r="P14" s="1">
        <f>14855-3620</f>
        <v>11235</v>
      </c>
    </row>
    <row r="15" spans="1:16">
      <c r="A15" s="4">
        <v>12</v>
      </c>
      <c r="B15" s="4" t="s">
        <v>50</v>
      </c>
      <c r="C15" s="4"/>
      <c r="D15" s="4"/>
      <c r="E15" s="4">
        <v>12</v>
      </c>
      <c r="F15" s="6" t="s">
        <v>297</v>
      </c>
      <c r="G15" s="4"/>
      <c r="K15" s="1">
        <f>7440+7683</f>
        <v>15123</v>
      </c>
    </row>
    <row r="16" spans="1:16">
      <c r="A16" s="4">
        <v>13</v>
      </c>
      <c r="B16" s="4"/>
      <c r="C16" s="4"/>
      <c r="D16" s="4"/>
      <c r="E16" s="4">
        <v>13</v>
      </c>
      <c r="F16" s="4" t="s">
        <v>135</v>
      </c>
      <c r="G16" s="4">
        <v>149067</v>
      </c>
      <c r="H16" s="1">
        <v>112975</v>
      </c>
      <c r="M16" s="1">
        <f>40+30+30+40+30+50</f>
        <v>220</v>
      </c>
    </row>
    <row r="17" spans="1:15">
      <c r="A17" s="4">
        <v>14</v>
      </c>
      <c r="B17" s="4"/>
      <c r="C17" s="4"/>
      <c r="D17" s="4"/>
      <c r="E17" s="4">
        <v>14</v>
      </c>
      <c r="F17" s="4"/>
      <c r="G17" s="4"/>
      <c r="O17" s="1">
        <f>336*3%</f>
        <v>10.08</v>
      </c>
    </row>
    <row r="18" spans="1:15">
      <c r="A18" s="4">
        <v>15</v>
      </c>
      <c r="B18" s="4"/>
      <c r="C18" s="4"/>
      <c r="D18" s="4"/>
      <c r="E18" s="4">
        <v>15</v>
      </c>
      <c r="F18" s="4"/>
      <c r="G18" s="4"/>
      <c r="K18" s="1">
        <v>6800</v>
      </c>
      <c r="O18" s="1">
        <f>326</f>
        <v>326</v>
      </c>
    </row>
    <row r="19" spans="1:15">
      <c r="A19" s="5"/>
      <c r="B19" s="5"/>
      <c r="C19" s="5">
        <f>SUM(C4:C18)</f>
        <v>553791</v>
      </c>
      <c r="D19" s="5"/>
      <c r="E19" s="5"/>
      <c r="F19" s="5"/>
      <c r="G19" s="5">
        <f>SUM(G4:G18)</f>
        <v>501552</v>
      </c>
      <c r="K19" s="1">
        <v>13860</v>
      </c>
      <c r="N19" s="1">
        <f>24871-7000</f>
        <v>17871</v>
      </c>
    </row>
    <row r="20" spans="1:15">
      <c r="A20" s="5"/>
      <c r="B20" s="5"/>
      <c r="C20" s="5"/>
      <c r="D20" s="5"/>
      <c r="E20" s="5"/>
      <c r="F20" s="5"/>
      <c r="G20" s="5"/>
      <c r="I20" s="1">
        <f>6240+4160+5952</f>
        <v>16352</v>
      </c>
      <c r="K20" s="1">
        <v>15240</v>
      </c>
      <c r="O20" s="1">
        <f>19800-13000</f>
        <v>6800</v>
      </c>
    </row>
    <row r="21" spans="1:15">
      <c r="A21" s="5"/>
      <c r="B21" s="5"/>
      <c r="C21" s="5"/>
      <c r="D21" s="5"/>
      <c r="E21" s="5"/>
      <c r="F21" s="5"/>
      <c r="G21" s="5"/>
      <c r="I21" s="1">
        <f>16352+5800</f>
        <v>22152</v>
      </c>
      <c r="K21" s="1">
        <v>2000</v>
      </c>
      <c r="L21" s="1">
        <f>30281-27500</f>
        <v>2781</v>
      </c>
    </row>
    <row r="22" spans="1:15">
      <c r="A22" s="5"/>
      <c r="B22" s="5" t="s">
        <v>12</v>
      </c>
      <c r="C22" s="5">
        <f>C19-G19</f>
        <v>52239</v>
      </c>
      <c r="D22" s="5"/>
      <c r="E22" s="5"/>
      <c r="F22" s="5"/>
      <c r="G22" s="5"/>
      <c r="K22" s="1">
        <v>4455</v>
      </c>
    </row>
    <row r="23" spans="1:15">
      <c r="K23" s="1">
        <v>6450</v>
      </c>
    </row>
    <row r="24" spans="1:15">
      <c r="H24" s="1">
        <f>75469-6800</f>
        <v>68669</v>
      </c>
      <c r="I24" s="1">
        <f>6300+3400</f>
        <v>9700</v>
      </c>
      <c r="K24" s="1">
        <v>14809</v>
      </c>
      <c r="M24" s="1">
        <f>5800+6000+3860</f>
        <v>15660</v>
      </c>
    </row>
    <row r="25" spans="1:15">
      <c r="K25" s="1">
        <v>14685</v>
      </c>
    </row>
    <row r="26" spans="1:15">
      <c r="K26" s="1">
        <v>22924</v>
      </c>
    </row>
    <row r="27" spans="1:15">
      <c r="K27" s="1">
        <f>SUM(K18:K26)</f>
        <v>101223</v>
      </c>
      <c r="N27" s="1">
        <f>6450+14809+4455</f>
        <v>25714</v>
      </c>
    </row>
    <row r="31" spans="1:15">
      <c r="N31" s="1">
        <f>591*6</f>
        <v>3546</v>
      </c>
    </row>
    <row r="32" spans="1:15">
      <c r="N32" s="1">
        <f>SUM(N29:N31)</f>
        <v>3546</v>
      </c>
    </row>
    <row r="34" spans="14:14">
      <c r="N34" s="1">
        <f>792-853</f>
        <v>-61</v>
      </c>
    </row>
  </sheetData>
  <printOptions horizontalCentere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498</vt:i4>
      </vt:variant>
    </vt:vector>
  </HeadingPairs>
  <TitlesOfParts>
    <vt:vector size="49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Sheet1 (18)</vt:lpstr>
      <vt:lpstr>Sheet1 (19)</vt:lpstr>
      <vt:lpstr>Sheet1 (20)</vt:lpstr>
      <vt:lpstr>Sheet1 (21)</vt:lpstr>
      <vt:lpstr>Sheet1 (22)</vt:lpstr>
      <vt:lpstr>Sheet1 (23)</vt:lpstr>
      <vt:lpstr>Sheet1 (24)</vt:lpstr>
      <vt:lpstr>Sheet1 (25)</vt:lpstr>
      <vt:lpstr>Sheet1 (26)</vt:lpstr>
      <vt:lpstr>Sheet1 (27)</vt:lpstr>
      <vt:lpstr>Sheet1 (28)</vt:lpstr>
      <vt:lpstr>Sheet1 (29)</vt:lpstr>
      <vt:lpstr>Sheet1 (30)</vt:lpstr>
      <vt:lpstr>Sheet1 (31)</vt:lpstr>
      <vt:lpstr>Sheet1 (32)</vt:lpstr>
      <vt:lpstr>Sheet1 (33)</vt:lpstr>
      <vt:lpstr>Sheet1 (34)</vt:lpstr>
      <vt:lpstr>Sheet1 (35)</vt:lpstr>
      <vt:lpstr>Sheet1 (36)</vt:lpstr>
      <vt:lpstr>Sheet1 (37)</vt:lpstr>
      <vt:lpstr>Sheet1 (38)</vt:lpstr>
      <vt:lpstr>Sheet1 (39)</vt:lpstr>
      <vt:lpstr>Sheet1 (40)</vt:lpstr>
      <vt:lpstr>Sheet1 (41)</vt:lpstr>
      <vt:lpstr>Sheet1 (42)</vt:lpstr>
      <vt:lpstr>Sheet1 (43)</vt:lpstr>
      <vt:lpstr>Sheet1 (44)</vt:lpstr>
      <vt:lpstr>Sheet1 (45)</vt:lpstr>
      <vt:lpstr>Sheet1 (46)</vt:lpstr>
      <vt:lpstr>Sheet1 (47)</vt:lpstr>
      <vt:lpstr>Sheet1 (48)</vt:lpstr>
      <vt:lpstr>Sheet1 (49)</vt:lpstr>
      <vt:lpstr>Sheet1 (50)</vt:lpstr>
      <vt:lpstr>Sheet1 (51)</vt:lpstr>
      <vt:lpstr>Sheet1 (52)</vt:lpstr>
      <vt:lpstr>Sheet1 (53)</vt:lpstr>
      <vt:lpstr>Sheet1 (54)</vt:lpstr>
      <vt:lpstr>Sheet1 (55)</vt:lpstr>
      <vt:lpstr>Sheet1 (56)</vt:lpstr>
      <vt:lpstr>Sheet1 (57)</vt:lpstr>
      <vt:lpstr>Sheet1 (59)</vt:lpstr>
      <vt:lpstr>Sheet1 (58)</vt:lpstr>
      <vt:lpstr>Sheet1 (60)</vt:lpstr>
      <vt:lpstr>Sheet1 (61)</vt:lpstr>
      <vt:lpstr>Sheet1 (62)</vt:lpstr>
      <vt:lpstr>Sheet1 (63)</vt:lpstr>
      <vt:lpstr>Sheet1 (64)</vt:lpstr>
      <vt:lpstr>Sheet1 (65)</vt:lpstr>
      <vt:lpstr>Sheet1 (66)</vt:lpstr>
      <vt:lpstr>Sheet1 (67)</vt:lpstr>
      <vt:lpstr>Sheet1 (68)</vt:lpstr>
      <vt:lpstr>Sheet1 (69)</vt:lpstr>
      <vt:lpstr>Sheet1 (70)</vt:lpstr>
      <vt:lpstr>Sheet1 (71)</vt:lpstr>
      <vt:lpstr>Sheet1 (72)</vt:lpstr>
      <vt:lpstr>Sheet1 (73)</vt:lpstr>
      <vt:lpstr>Sheet1 (74)</vt:lpstr>
      <vt:lpstr>Sheet1 (75)</vt:lpstr>
      <vt:lpstr>Sheet1 (76)</vt:lpstr>
      <vt:lpstr>Sheet1 (77)</vt:lpstr>
      <vt:lpstr>Sheet1 (78)</vt:lpstr>
      <vt:lpstr>Sheet1 (80)</vt:lpstr>
      <vt:lpstr>Sheet1 (81)</vt:lpstr>
      <vt:lpstr>Sheet1 (82)</vt:lpstr>
      <vt:lpstr>Sheet1 (83)</vt:lpstr>
      <vt:lpstr>Sheet1 (84)</vt:lpstr>
      <vt:lpstr>Sheet1 (85)</vt:lpstr>
      <vt:lpstr>Sheet1 (86)</vt:lpstr>
      <vt:lpstr>Sheet1 (87)</vt:lpstr>
      <vt:lpstr>Sheet1 (88)</vt:lpstr>
      <vt:lpstr>Sheet1 (89)</vt:lpstr>
      <vt:lpstr>Sheet1 (90)</vt:lpstr>
      <vt:lpstr>Sheet1 (91)</vt:lpstr>
      <vt:lpstr>Sheet1 (92)</vt:lpstr>
      <vt:lpstr>Sheet1 (93)</vt:lpstr>
      <vt:lpstr>Sheet1 (94)</vt:lpstr>
      <vt:lpstr>Sheet1 (95)</vt:lpstr>
      <vt:lpstr>Sheet1 (96)</vt:lpstr>
      <vt:lpstr>Sheet1 (97)</vt:lpstr>
      <vt:lpstr>Sheet1 (98)</vt:lpstr>
      <vt:lpstr>Sheet1 (99)</vt:lpstr>
      <vt:lpstr>Sheet1 (100)</vt:lpstr>
      <vt:lpstr>Sheet1 (101)</vt:lpstr>
      <vt:lpstr>Sheet1 (102)</vt:lpstr>
      <vt:lpstr>Sheet1 (103)</vt:lpstr>
      <vt:lpstr>Sheet1 (104)</vt:lpstr>
      <vt:lpstr>Sheet1 (105)</vt:lpstr>
      <vt:lpstr>Sheet1 (106)</vt:lpstr>
      <vt:lpstr>Sheet1 (107)</vt:lpstr>
      <vt:lpstr>Sheet1 (108)</vt:lpstr>
      <vt:lpstr>Sheet1 (109)</vt:lpstr>
      <vt:lpstr>Sheet1 (110)</vt:lpstr>
      <vt:lpstr>Sheet1 (111)</vt:lpstr>
      <vt:lpstr>Sheet1 (112)</vt:lpstr>
      <vt:lpstr>Sheet1 (113)</vt:lpstr>
      <vt:lpstr>Sheet1 (114)</vt:lpstr>
      <vt:lpstr>Sheet1 (115)</vt:lpstr>
      <vt:lpstr>Sheet1 (116)</vt:lpstr>
      <vt:lpstr>Sheet1 (117)</vt:lpstr>
      <vt:lpstr>Sheet1 (118)</vt:lpstr>
      <vt:lpstr>Sheet1 (119)</vt:lpstr>
      <vt:lpstr>Sheet1 (120)</vt:lpstr>
      <vt:lpstr>Sheet1 (121)</vt:lpstr>
      <vt:lpstr>Sheet1 (122)</vt:lpstr>
      <vt:lpstr>Sheet1 (123)</vt:lpstr>
      <vt:lpstr>Sheet1 (124)</vt:lpstr>
      <vt:lpstr>Sheet1 (125)</vt:lpstr>
      <vt:lpstr>Sheet1 (126)</vt:lpstr>
      <vt:lpstr>Sheet1 (129)</vt:lpstr>
      <vt:lpstr>Sheet1 (130)</vt:lpstr>
      <vt:lpstr>Sheet1 (131)</vt:lpstr>
      <vt:lpstr>Sheet1 (132)</vt:lpstr>
      <vt:lpstr>Sheet1 (133)</vt:lpstr>
      <vt:lpstr>Sheet1 (134)</vt:lpstr>
      <vt:lpstr>Sheet1 (127)</vt:lpstr>
      <vt:lpstr>Sheet1 (128)</vt:lpstr>
      <vt:lpstr>Sheet1 (135)</vt:lpstr>
      <vt:lpstr>Sheet1 (136)</vt:lpstr>
      <vt:lpstr>Sheet1 (137)</vt:lpstr>
      <vt:lpstr>Sheet1 (138)</vt:lpstr>
      <vt:lpstr>Sheet1 (139)</vt:lpstr>
      <vt:lpstr>Sheet1 (140)</vt:lpstr>
      <vt:lpstr>Sheet1 (141)</vt:lpstr>
      <vt:lpstr>Sheet1 (142)</vt:lpstr>
      <vt:lpstr>Sheet1 (143)</vt:lpstr>
      <vt:lpstr>Sheet1 (144)</vt:lpstr>
      <vt:lpstr>Sheet1 (145)</vt:lpstr>
      <vt:lpstr>Sheet1 (146)</vt:lpstr>
      <vt:lpstr>Sheet1 (148)</vt:lpstr>
      <vt:lpstr>Sheet1 (149)</vt:lpstr>
      <vt:lpstr>Sheet1 (150)</vt:lpstr>
      <vt:lpstr>Sheet1 (151)</vt:lpstr>
      <vt:lpstr>Sheet1 (152)</vt:lpstr>
      <vt:lpstr>Sheet1 (153)</vt:lpstr>
      <vt:lpstr>Sheet1 (154)</vt:lpstr>
      <vt:lpstr>Sheet1 (155)</vt:lpstr>
      <vt:lpstr>Sheet1 (156)</vt:lpstr>
      <vt:lpstr>Sheet1 (157)</vt:lpstr>
      <vt:lpstr>Sheet1 (158)</vt:lpstr>
      <vt:lpstr>Sheet1 (159)</vt:lpstr>
      <vt:lpstr>Sheet1 (160)</vt:lpstr>
      <vt:lpstr>Sheet1 (161)</vt:lpstr>
      <vt:lpstr>Sheet1 (162)</vt:lpstr>
      <vt:lpstr>Sheet1 (163)</vt:lpstr>
      <vt:lpstr>Sheet1 (164)</vt:lpstr>
      <vt:lpstr>Sheet1 (165)</vt:lpstr>
      <vt:lpstr>Sheet1 (166)</vt:lpstr>
      <vt:lpstr>Sheet1 (167)</vt:lpstr>
      <vt:lpstr>Sheet1 (168)</vt:lpstr>
      <vt:lpstr>Sheet1 (169)</vt:lpstr>
      <vt:lpstr>Sheet1 (170)</vt:lpstr>
      <vt:lpstr>Sheet1 (171)</vt:lpstr>
      <vt:lpstr>Sheet1 (172)</vt:lpstr>
      <vt:lpstr>Sheet1 (173)</vt:lpstr>
      <vt:lpstr>Sheet1 (174)</vt:lpstr>
      <vt:lpstr>Sheet1 (175)</vt:lpstr>
      <vt:lpstr>Sheet1 (176)</vt:lpstr>
      <vt:lpstr>Sheet1 (177)</vt:lpstr>
      <vt:lpstr>Sheet1 (178)</vt:lpstr>
      <vt:lpstr>Sheet1 (179)</vt:lpstr>
      <vt:lpstr>Sheet1 (180)</vt:lpstr>
      <vt:lpstr>Sheet1 (181)</vt:lpstr>
      <vt:lpstr>Sheet1 (182)</vt:lpstr>
      <vt:lpstr>Sheet1 (183)</vt:lpstr>
      <vt:lpstr>Sheet1 (184)</vt:lpstr>
      <vt:lpstr>Sheet1 (185)</vt:lpstr>
      <vt:lpstr>Sheet1 (186)</vt:lpstr>
      <vt:lpstr>Sheet1 (187)</vt:lpstr>
      <vt:lpstr>Sheet1 (188)</vt:lpstr>
      <vt:lpstr>Sheet1 (189)</vt:lpstr>
      <vt:lpstr>Sheet1 (190)</vt:lpstr>
      <vt:lpstr>Sheet1 (191)</vt:lpstr>
      <vt:lpstr>Sheet1 (192)</vt:lpstr>
      <vt:lpstr>Sheet1 (193)</vt:lpstr>
      <vt:lpstr>Sheet1 (194)</vt:lpstr>
      <vt:lpstr>Sheet1 (195)</vt:lpstr>
      <vt:lpstr>Sheet1 (196)</vt:lpstr>
      <vt:lpstr>Sheet1 (197)</vt:lpstr>
      <vt:lpstr>Sheet1 (198)</vt:lpstr>
      <vt:lpstr>Sheet1 (199)</vt:lpstr>
      <vt:lpstr>Sheet1 (200)</vt:lpstr>
      <vt:lpstr>Sheet1 (201)</vt:lpstr>
      <vt:lpstr>Sheet1 (202)</vt:lpstr>
      <vt:lpstr>Sheet1 (203)</vt:lpstr>
      <vt:lpstr>Sheet1 (204)</vt:lpstr>
      <vt:lpstr>Sheet1 (205)</vt:lpstr>
      <vt:lpstr>Sheet1 (206)</vt:lpstr>
      <vt:lpstr>Sheet1 (207)</vt:lpstr>
      <vt:lpstr>Sheet1 (208)</vt:lpstr>
      <vt:lpstr>Sheet1 (209)</vt:lpstr>
      <vt:lpstr>Sheet1 (210)</vt:lpstr>
      <vt:lpstr>Sheet1 (211)</vt:lpstr>
      <vt:lpstr>Sheet1 (212)</vt:lpstr>
      <vt:lpstr>Sheet1 (213)</vt:lpstr>
      <vt:lpstr>Sheet1 (214)</vt:lpstr>
      <vt:lpstr>Sheet1 (215)</vt:lpstr>
      <vt:lpstr>Sheet1 (216)</vt:lpstr>
      <vt:lpstr>Sheet1 (217)</vt:lpstr>
      <vt:lpstr>Sheet1 (218)</vt:lpstr>
      <vt:lpstr>Sheet1 (219)</vt:lpstr>
      <vt:lpstr>Sheet1 (220)</vt:lpstr>
      <vt:lpstr>Sheet1 (221)</vt:lpstr>
      <vt:lpstr>Sheet1 (222)</vt:lpstr>
      <vt:lpstr>Sheet1 (223)</vt:lpstr>
      <vt:lpstr>Sheet1 (224)</vt:lpstr>
      <vt:lpstr>Sheet1 (225)</vt:lpstr>
      <vt:lpstr>Sheet1 (226)</vt:lpstr>
      <vt:lpstr>Sheet1 (227)</vt:lpstr>
      <vt:lpstr>Sheet1 (228)</vt:lpstr>
      <vt:lpstr>Sheet1 (229)</vt:lpstr>
      <vt:lpstr>Sheet1 (230)</vt:lpstr>
      <vt:lpstr>Sheet1 (231)</vt:lpstr>
      <vt:lpstr>Sheet1 (232)</vt:lpstr>
      <vt:lpstr>Sheet1 (233)</vt:lpstr>
      <vt:lpstr>Sheet1 (234)</vt:lpstr>
      <vt:lpstr>Sheet1 (235)</vt:lpstr>
      <vt:lpstr>Sheet1 (236)</vt:lpstr>
      <vt:lpstr>Sheet1 (237)</vt:lpstr>
      <vt:lpstr>Sheet1 (238)</vt:lpstr>
      <vt:lpstr>Sheet1 (239)</vt:lpstr>
      <vt:lpstr>Sheet1 (240)</vt:lpstr>
      <vt:lpstr>Sheet1 (241)</vt:lpstr>
      <vt:lpstr>Sheet1 (242)</vt:lpstr>
      <vt:lpstr>Sheet1 (243)</vt:lpstr>
      <vt:lpstr>Sheet1 (244)</vt:lpstr>
      <vt:lpstr>Sheet1 (245)</vt:lpstr>
      <vt:lpstr>Sheet1 (246)</vt:lpstr>
      <vt:lpstr>Sheet1 (247)</vt:lpstr>
      <vt:lpstr>Sheet1 (248)</vt:lpstr>
      <vt:lpstr>Sheet1 (249)</vt:lpstr>
      <vt:lpstr>Sheet1 (250)</vt:lpstr>
      <vt:lpstr>Sheet1 (251)</vt:lpstr>
      <vt:lpstr>Sheet1 (252)</vt:lpstr>
      <vt:lpstr>Sheet1 (253)</vt:lpstr>
      <vt:lpstr>Sheet1 (254)</vt:lpstr>
      <vt:lpstr>Sheet1 (255)</vt:lpstr>
      <vt:lpstr>Sheet1 (256)</vt:lpstr>
      <vt:lpstr>Sheet1 (257)</vt:lpstr>
      <vt:lpstr>Sheet1 (258)</vt:lpstr>
      <vt:lpstr>Sheet1 (259)</vt:lpstr>
      <vt:lpstr>Sheet1 (260)</vt:lpstr>
      <vt:lpstr>Sheet1 (261)</vt:lpstr>
      <vt:lpstr>Sheet1 (262)</vt:lpstr>
      <vt:lpstr>Sheet1 (263)</vt:lpstr>
      <vt:lpstr>Sheet1 (264)</vt:lpstr>
      <vt:lpstr>Sheet1 (265)</vt:lpstr>
      <vt:lpstr>Sheet1 (266)</vt:lpstr>
      <vt:lpstr>Sheet1 (267)</vt:lpstr>
      <vt:lpstr>Sheet1 (268)</vt:lpstr>
      <vt:lpstr>Sheet1 (269)</vt:lpstr>
      <vt:lpstr>Sheet1 (270)</vt:lpstr>
      <vt:lpstr>Sheet1 (271)</vt:lpstr>
      <vt:lpstr>Sheet1 (272)</vt:lpstr>
      <vt:lpstr>Sheet1 (273)</vt:lpstr>
      <vt:lpstr>Sheet1 (274)</vt:lpstr>
      <vt:lpstr>Sheet1 (275)</vt:lpstr>
      <vt:lpstr>Sheet1 (276)</vt:lpstr>
      <vt:lpstr>Sheet1 (277)</vt:lpstr>
      <vt:lpstr>Sheet1 (278)</vt:lpstr>
      <vt:lpstr>Sheet1 (279)</vt:lpstr>
      <vt:lpstr>Sheet1 (280)</vt:lpstr>
      <vt:lpstr>Sheet1 (281)</vt:lpstr>
      <vt:lpstr>Sheet1 (282)</vt:lpstr>
      <vt:lpstr>Sheet1 (283)</vt:lpstr>
      <vt:lpstr>Sheet1 (284)</vt:lpstr>
      <vt:lpstr>Sheet1 (285)</vt:lpstr>
      <vt:lpstr>Sheet1 (286)</vt:lpstr>
      <vt:lpstr>Sheet1 (287)</vt:lpstr>
      <vt:lpstr>Sheet1 (288)</vt:lpstr>
      <vt:lpstr>Sheet1 (289)</vt:lpstr>
      <vt:lpstr>Sheet1 (290)</vt:lpstr>
      <vt:lpstr>Sheet1 (291)</vt:lpstr>
      <vt:lpstr>Sheet1 (292)</vt:lpstr>
      <vt:lpstr>Sheet1 (293)</vt:lpstr>
      <vt:lpstr>Sheet1 (294)</vt:lpstr>
      <vt:lpstr>Sheet1 (295)</vt:lpstr>
      <vt:lpstr>1.1.24</vt:lpstr>
      <vt:lpstr>2.1.24 </vt:lpstr>
      <vt:lpstr>3.1.24</vt:lpstr>
      <vt:lpstr>4.1.24</vt:lpstr>
      <vt:lpstr>6.1.24</vt:lpstr>
      <vt:lpstr>8.1.24 </vt:lpstr>
      <vt:lpstr>9.1.24</vt:lpstr>
      <vt:lpstr>11.1.24</vt:lpstr>
      <vt:lpstr>14.1.24</vt:lpstr>
      <vt:lpstr>16.1.24</vt:lpstr>
      <vt:lpstr>16.1.24 (2)</vt:lpstr>
      <vt:lpstr>18.1.24</vt:lpstr>
      <vt:lpstr>21.1.24</vt:lpstr>
      <vt:lpstr>24.1.24</vt:lpstr>
      <vt:lpstr>25.1.24</vt:lpstr>
      <vt:lpstr>28.1.24</vt:lpstr>
      <vt:lpstr>28.1.24 (2)</vt:lpstr>
      <vt:lpstr>30.1.24</vt:lpstr>
      <vt:lpstr>31.1.24</vt:lpstr>
      <vt:lpstr>1.2.24</vt:lpstr>
      <vt:lpstr>4.2.24 (2)</vt:lpstr>
      <vt:lpstr>5.2.24</vt:lpstr>
      <vt:lpstr>5.2.24 (2)</vt:lpstr>
      <vt:lpstr>7.2.24 (3)</vt:lpstr>
      <vt:lpstr>8.2.24</vt:lpstr>
      <vt:lpstr>11.2.24</vt:lpstr>
      <vt:lpstr>12.2.24 (2)</vt:lpstr>
      <vt:lpstr>13.2.24</vt:lpstr>
      <vt:lpstr>14.2.24</vt:lpstr>
      <vt:lpstr>15.2.24 (2)</vt:lpstr>
      <vt:lpstr>15.2.24 (3)</vt:lpstr>
      <vt:lpstr>18.2.24</vt:lpstr>
      <vt:lpstr>19.2.24 (2)</vt:lpstr>
      <vt:lpstr>20.2.24</vt:lpstr>
      <vt:lpstr>22.2.24</vt:lpstr>
      <vt:lpstr>24.2.24 (2)</vt:lpstr>
      <vt:lpstr>26.2.24 (3)</vt:lpstr>
      <vt:lpstr>27.2.24 (4)</vt:lpstr>
      <vt:lpstr>28.2.24 (5)</vt:lpstr>
      <vt:lpstr>29.2.24 (6)</vt:lpstr>
      <vt:lpstr>03.3.24</vt:lpstr>
      <vt:lpstr>04.3.24</vt:lpstr>
      <vt:lpstr>5.3.24</vt:lpstr>
      <vt:lpstr>6.3.24</vt:lpstr>
      <vt:lpstr>7.3.24</vt:lpstr>
      <vt:lpstr>11.3.24</vt:lpstr>
      <vt:lpstr>12.3.24 (2)</vt:lpstr>
      <vt:lpstr>13.3.24</vt:lpstr>
      <vt:lpstr>14.3.24</vt:lpstr>
      <vt:lpstr>17.3.24</vt:lpstr>
      <vt:lpstr>18.3.24</vt:lpstr>
      <vt:lpstr>18.3.24 (2)</vt:lpstr>
      <vt:lpstr>18.3.24 (3)</vt:lpstr>
      <vt:lpstr>18.3.24 (4)</vt:lpstr>
      <vt:lpstr>24.3.24 (5)</vt:lpstr>
      <vt:lpstr>25.3.24 (6)</vt:lpstr>
      <vt:lpstr>27.3.24 (7)</vt:lpstr>
      <vt:lpstr>27.3.24 (8)</vt:lpstr>
      <vt:lpstr>31.3.24</vt:lpstr>
      <vt:lpstr>01.04.24</vt:lpstr>
      <vt:lpstr>02.04.24 (2)</vt:lpstr>
      <vt:lpstr>03.04.24 (3)</vt:lpstr>
      <vt:lpstr>04.04.24 </vt:lpstr>
      <vt:lpstr>05.04.24  (2)</vt:lpstr>
      <vt:lpstr>06.04.24  (3)</vt:lpstr>
      <vt:lpstr>06.04.24  (4)</vt:lpstr>
      <vt:lpstr>06.04.24  (5)</vt:lpstr>
      <vt:lpstr>06.04.24  (6)</vt:lpstr>
      <vt:lpstr>21.4.24</vt:lpstr>
      <vt:lpstr>22.4.24 </vt:lpstr>
      <vt:lpstr>23.4.24</vt:lpstr>
      <vt:lpstr>24.4.24</vt:lpstr>
      <vt:lpstr>25.4.24 (2)</vt:lpstr>
      <vt:lpstr>26.4.24 (3)</vt:lpstr>
      <vt:lpstr>27.4.24 (4)</vt:lpstr>
      <vt:lpstr>28.4.24 (5)</vt:lpstr>
      <vt:lpstr>29.4.24 </vt:lpstr>
      <vt:lpstr>30.4.24</vt:lpstr>
      <vt:lpstr>1.5.24</vt:lpstr>
      <vt:lpstr>2.5.24</vt:lpstr>
      <vt:lpstr>4.5.24</vt:lpstr>
      <vt:lpstr>5.5.24 (2)</vt:lpstr>
      <vt:lpstr>6.5.24</vt:lpstr>
      <vt:lpstr>7.5.24</vt:lpstr>
      <vt:lpstr>7.5.24 (2)</vt:lpstr>
      <vt:lpstr>9.5.24 </vt:lpstr>
      <vt:lpstr>12.5.24</vt:lpstr>
      <vt:lpstr>13.5.24</vt:lpstr>
      <vt:lpstr>14.5.24</vt:lpstr>
      <vt:lpstr>15.5.24</vt:lpstr>
      <vt:lpstr>16.5.24 </vt:lpstr>
      <vt:lpstr>18.5.24</vt:lpstr>
      <vt:lpstr>26.5.24</vt:lpstr>
      <vt:lpstr>27.5.24</vt:lpstr>
      <vt:lpstr>29.5.24</vt:lpstr>
      <vt:lpstr>7.7.24</vt:lpstr>
      <vt:lpstr>8.7.24</vt:lpstr>
      <vt:lpstr>9.7.24</vt:lpstr>
      <vt:lpstr>15.7.24</vt:lpstr>
      <vt:lpstr>16.7.24</vt:lpstr>
      <vt:lpstr>18.7.24</vt:lpstr>
      <vt:lpstr>21.7.24</vt:lpstr>
      <vt:lpstr>23.7.24</vt:lpstr>
      <vt:lpstr>24.7.24</vt:lpstr>
      <vt:lpstr>25.7.24</vt:lpstr>
      <vt:lpstr>26.7.24</vt:lpstr>
      <vt:lpstr>28.7.24</vt:lpstr>
      <vt:lpstr>29.7.24</vt:lpstr>
      <vt:lpstr>30.7.24</vt:lpstr>
      <vt:lpstr>31.7.24</vt:lpstr>
      <vt:lpstr>1.8.24</vt:lpstr>
      <vt:lpstr>4.8.24</vt:lpstr>
      <vt:lpstr>5.8.24</vt:lpstr>
      <vt:lpstr>6.8.24</vt:lpstr>
      <vt:lpstr>8.8.24</vt:lpstr>
      <vt:lpstr>10.8.24</vt:lpstr>
      <vt:lpstr>10.8.24 (2)</vt:lpstr>
      <vt:lpstr>11.8.24</vt:lpstr>
      <vt:lpstr>12.8.24</vt:lpstr>
      <vt:lpstr>13.8.24</vt:lpstr>
      <vt:lpstr>14.8.24</vt:lpstr>
      <vt:lpstr>15.8.24</vt:lpstr>
      <vt:lpstr>17.8.24</vt:lpstr>
      <vt:lpstr>18.8.24</vt:lpstr>
      <vt:lpstr>19.8.24</vt:lpstr>
      <vt:lpstr>20.8.24</vt:lpstr>
      <vt:lpstr>21.8.24</vt:lpstr>
      <vt:lpstr>22.8.24</vt:lpstr>
      <vt:lpstr>25.8.24</vt:lpstr>
      <vt:lpstr>26.8.24</vt:lpstr>
      <vt:lpstr>27.8.24</vt:lpstr>
      <vt:lpstr>28.8.24</vt:lpstr>
      <vt:lpstr>29.8.24</vt:lpstr>
      <vt:lpstr>01.09.24</vt:lpstr>
      <vt:lpstr>2.9.24</vt:lpstr>
      <vt:lpstr>3.9.24</vt:lpstr>
      <vt:lpstr>4.9.24</vt:lpstr>
      <vt:lpstr>5.9.24</vt:lpstr>
      <vt:lpstr>8.9.24</vt:lpstr>
      <vt:lpstr>9.9.24</vt:lpstr>
      <vt:lpstr>10.9.24</vt:lpstr>
      <vt:lpstr>11.9.24</vt:lpstr>
      <vt:lpstr>12.9.24</vt:lpstr>
      <vt:lpstr>15.9.24</vt:lpstr>
      <vt:lpstr>17.9.24</vt:lpstr>
      <vt:lpstr>18.9.24</vt:lpstr>
      <vt:lpstr>19.9.24</vt:lpstr>
      <vt:lpstr>22.9.24</vt:lpstr>
      <vt:lpstr>23.9.24</vt:lpstr>
      <vt:lpstr>24.9.24</vt:lpstr>
      <vt:lpstr>25.9.24</vt:lpstr>
      <vt:lpstr>26.9.24</vt:lpstr>
      <vt:lpstr>29.9.24</vt:lpstr>
      <vt:lpstr>30.9.24</vt:lpstr>
      <vt:lpstr>1.10.24</vt:lpstr>
      <vt:lpstr>2.10.24</vt:lpstr>
      <vt:lpstr>3.10.24</vt:lpstr>
      <vt:lpstr>6.10.24</vt:lpstr>
      <vt:lpstr>7.10.24</vt:lpstr>
      <vt:lpstr>14.10.24</vt:lpstr>
      <vt:lpstr>15.10.24</vt:lpstr>
      <vt:lpstr>16.10.24</vt:lpstr>
      <vt:lpstr>17.10.24</vt:lpstr>
      <vt:lpstr>20.10.24</vt:lpstr>
      <vt:lpstr>21.10.24</vt:lpstr>
      <vt:lpstr>22.10.24 </vt:lpstr>
      <vt:lpstr>23.10.24</vt:lpstr>
      <vt:lpstr>24.10.24</vt:lpstr>
      <vt:lpstr>26.10.26</vt:lpstr>
      <vt:lpstr>27.10.24</vt:lpstr>
      <vt:lpstr>28.10.24</vt:lpstr>
      <vt:lpstr>29.10.24</vt:lpstr>
      <vt:lpstr>30.10.24</vt:lpstr>
      <vt:lpstr>31.10.24</vt:lpstr>
      <vt:lpstr>3.11.24</vt:lpstr>
      <vt:lpstr>4.11.24</vt:lpstr>
      <vt:lpstr>5.11.24</vt:lpstr>
      <vt:lpstr>6.11.24</vt:lpstr>
      <vt:lpstr>7.11.24</vt:lpstr>
      <vt:lpstr>9.11.24</vt:lpstr>
      <vt:lpstr>10.11.24</vt:lpstr>
      <vt:lpstr>11.11.24</vt:lpstr>
      <vt:lpstr>12.11.24</vt:lpstr>
      <vt:lpstr>13.11.24</vt:lpstr>
      <vt:lpstr>14.11.24</vt:lpstr>
      <vt:lpstr>16.11.24</vt:lpstr>
      <vt:lpstr>17.11.24</vt:lpstr>
      <vt:lpstr>18.11.24</vt:lpstr>
      <vt:lpstr>19.11.24</vt:lpstr>
      <vt:lpstr>20.11.24</vt:lpstr>
      <vt:lpstr>21.11.24</vt:lpstr>
      <vt:lpstr>23.11.24</vt:lpstr>
      <vt:lpstr>24.11.24</vt:lpstr>
      <vt:lpstr>25.11.24</vt:lpstr>
      <vt:lpstr>26.11.24</vt:lpstr>
      <vt:lpstr>27.11.24</vt:lpstr>
      <vt:lpstr>28.11.24</vt:lpstr>
      <vt:lpstr>30.11.24</vt:lpstr>
      <vt:lpstr>1.12.24</vt:lpstr>
      <vt:lpstr>2.12.24</vt:lpstr>
      <vt:lpstr>3.12.24</vt:lpstr>
      <vt:lpstr>4.12.24</vt:lpstr>
      <vt:lpstr>5.12.24</vt:lpstr>
      <vt:lpstr>Zillu MiA</vt:lpstr>
      <vt:lpstr>Total Sales &amp; Expensess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MONJURUL</dc:creator>
  <cp:lastModifiedBy>VISION</cp:lastModifiedBy>
  <cp:lastPrinted>2024-12-04T15:30:42Z</cp:lastPrinted>
  <dcterms:created xsi:type="dcterms:W3CDTF">2022-08-14T15:21:00Z</dcterms:created>
  <dcterms:modified xsi:type="dcterms:W3CDTF">2024-12-05T14:53:35Z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1366EDFA7CFD4818A6394BB869CE1AB1</vt:lpwstr>
  </property>
  <property fmtid="{D5CDD505-2E9C-101B-9397-08002B2CF9AE}" pid="3" name="KSOProductBuildVer">
    <vt:lpwstr>1033-11.2.0.11380</vt:lpwstr>
  </property>
</Properties>
</file>