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1">
      <go:sheetsCustomData xmlns:go="http://customooxmlschemas.google.com/" r:id="rId5" roundtripDataSignature="AMtx7miC7Ok1Co7cmOd11vlhBL2CqTRjNw=="/>
    </ext>
  </extLst>
</workbook>
</file>

<file path=xl/sharedStrings.xml><?xml version="1.0" encoding="utf-8"?>
<sst xmlns="http://schemas.openxmlformats.org/spreadsheetml/2006/main" count="108" uniqueCount="87">
  <si>
    <t>General parameters</t>
  </si>
  <si>
    <t>Rocket parameters</t>
  </si>
  <si>
    <t>Stage 1 characteristics</t>
  </si>
  <si>
    <t>Stage 2 characteristics</t>
  </si>
  <si>
    <t>General rocket parameters</t>
  </si>
  <si>
    <t>Reentry parameters</t>
  </si>
  <si>
    <t>Rearth (km)</t>
  </si>
  <si>
    <t>Δvtot (km/s)</t>
  </si>
  <si>
    <t>Δv1(km/s)</t>
  </si>
  <si>
    <t>Δv2(km/s)</t>
  </si>
  <si>
    <t>Δvseparation</t>
  </si>
  <si>
    <t>Mission Altitude (Km)</t>
  </si>
  <si>
    <t>Number of stage</t>
  </si>
  <si>
    <t>Specific impulsec (s)</t>
  </si>
  <si>
    <t>ISP1</t>
  </si>
  <si>
    <t>ISP2</t>
  </si>
  <si>
    <t>mass after separation (kg)</t>
  </si>
  <si>
    <t>μearth</t>
  </si>
  <si>
    <t>Total mass</t>
  </si>
  <si>
    <t>Payload mass (kg)</t>
  </si>
  <si>
    <t>m*</t>
  </si>
  <si>
    <t>Total mass (kg)</t>
  </si>
  <si>
    <t>Reentry time</t>
  </si>
  <si>
    <t>g0 (m/s^2)</t>
  </si>
  <si>
    <t>Dry mass</t>
  </si>
  <si>
    <t>Structure mass (kg)</t>
  </si>
  <si>
    <t>ms1</t>
  </si>
  <si>
    <t>ms2</t>
  </si>
  <si>
    <t>Dry mass (kg)</t>
  </si>
  <si>
    <t>Δvgrav (km/s)</t>
  </si>
  <si>
    <t>Mission Payload (kg)</t>
  </si>
  <si>
    <t>Propellant mass</t>
  </si>
  <si>
    <t>Propellant mass (kg)</t>
  </si>
  <si>
    <t>mp1</t>
  </si>
  <si>
    <t>mp2</t>
  </si>
  <si>
    <t>Δvdrag</t>
  </si>
  <si>
    <t>Lox density (kg/m3)</t>
  </si>
  <si>
    <r>
      <t>%</t>
    </r>
    <r>
      <rPr>
        <rFont val="Calibri"/>
        <color theme="1"/>
        <sz val="11.0"/>
      </rPr>
      <t>ΔV1</t>
    </r>
  </si>
  <si>
    <t>Initial mass (kg)</t>
  </si>
  <si>
    <t>m01</t>
  </si>
  <si>
    <t>m02</t>
  </si>
  <si>
    <t>LOX mass (kg)</t>
  </si>
  <si>
    <t>Δvmax rocket</t>
  </si>
  <si>
    <t>Rp-1 density</t>
  </si>
  <si>
    <t>%ΔV2</t>
  </si>
  <si>
    <t xml:space="preserve">Mass ratio </t>
  </si>
  <si>
    <t>μ1</t>
  </si>
  <si>
    <t>μ2</t>
  </si>
  <si>
    <t>RP1 mass (kg)</t>
  </si>
  <si>
    <t>a</t>
  </si>
  <si>
    <t>mass % Lox</t>
  </si>
  <si>
    <t>b : Percent of fuel necessary to get 1st stage back</t>
  </si>
  <si>
    <t>Payload ratio</t>
  </si>
  <si>
    <t>π1</t>
  </si>
  <si>
    <t>π2</t>
  </si>
  <si>
    <t>Propellant height (h)</t>
  </si>
  <si>
    <t>t</t>
  </si>
  <si>
    <t>%height propeller</t>
  </si>
  <si>
    <t>Structure ratio</t>
  </si>
  <si>
    <t>ξ1</t>
  </si>
  <si>
    <t>ξ2</t>
  </si>
  <si>
    <t>Fairing height (m)</t>
  </si>
  <si>
    <t>Thrust/mass ratio Falcon 9 Ft</t>
  </si>
  <si>
    <t>Propellant ratio</t>
  </si>
  <si>
    <t>Total height (propellant height + fairing + 2 engines) (m)</t>
  </si>
  <si>
    <t>Merlin Engine Thrust (Sea lvl) (Kn)</t>
  </si>
  <si>
    <t>LOX Volume (m3)</t>
  </si>
  <si>
    <t>Total Thrust (N)</t>
  </si>
  <si>
    <t>Global propellant fraction (%)</t>
  </si>
  <si>
    <t>Rocket diameter</t>
  </si>
  <si>
    <t>Rp1 Volume (m3)</t>
  </si>
  <si>
    <t>Mass flow (kg/s)</t>
  </si>
  <si>
    <t>Gravity loss</t>
  </si>
  <si>
    <t>Propellant height</t>
  </si>
  <si>
    <t>Burning time (s)</t>
  </si>
  <si>
    <t>Drag loss</t>
  </si>
  <si>
    <t>Fairing (nose) height (m)</t>
  </si>
  <si>
    <t>Thrust to mass ratio</t>
  </si>
  <si>
    <t>Earth rotational speed</t>
  </si>
  <si>
    <t>Total height (propellant height + fairing + 2 engines)</t>
  </si>
  <si>
    <t>Earth angular velocity [rad/s]</t>
  </si>
  <si>
    <t>empty</t>
  </si>
  <si>
    <t>Orbit velocity</t>
  </si>
  <si>
    <t>prop</t>
  </si>
  <si>
    <t>Earth mass</t>
  </si>
  <si>
    <t>tot</t>
  </si>
  <si>
    <t>Gravitational constant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</si>
</sst>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000000"/>
    <numFmt numFmtId="166" formatCode="0.0"/>
    <numFmt numFmtId="167" formatCode="0.000000000"/>
  </numFmts>
  <fonts count="10">
    <font>
      <sz val="11.0"/>
      <color theme="1"/>
      <name val="Arial"/>
    </font>
    <font>
      <sz val="11.0"/>
      <color theme="1"/>
      <name val="Calibri"/>
    </font>
    <font/>
    <font>
      <sz val="11.0"/>
      <color theme="1"/>
    </font>
    <font>
      <sz val="11.0"/>
      <color rgb="FF000000"/>
      <name val="Calibri"/>
    </font>
    <font>
      <sz val="11.0"/>
      <color theme="4"/>
      <name val="Calibri"/>
    </font>
    <font>
      <i/>
      <sz val="11.0"/>
      <color theme="1"/>
      <name val="Georgia"/>
    </font>
    <font>
      <sz val="11.0"/>
      <color rgb="FF000000"/>
    </font>
    <font>
      <sz val="11.0"/>
      <color rgb="FF1155CC"/>
      <name val="Arial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7">
    <border/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6" fillId="5" fontId="1" numFmtId="0" xfId="0" applyAlignment="1" applyBorder="1" applyFill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6" fontId="1" numFmtId="0" xfId="0" applyAlignment="1" applyBorder="1" applyFill="1" applyFont="1">
      <alignment horizontal="center" shrinkToFit="0" vertical="center" wrapText="1"/>
    </xf>
    <xf borderId="6" fillId="0" fontId="1" numFmtId="164" xfId="0" applyAlignment="1" applyBorder="1" applyFont="1" applyNumberFormat="1">
      <alignment horizontal="center" shrinkToFit="0" vertical="center" wrapText="1"/>
    </xf>
    <xf borderId="6" fillId="7" fontId="1" numFmtId="0" xfId="0" applyAlignment="1" applyBorder="1" applyFill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6" fillId="0" fontId="1" numFmtId="2" xfId="0" applyAlignment="1" applyBorder="1" applyFont="1" applyNumberFormat="1">
      <alignment horizontal="center" shrinkToFit="0" vertical="center" wrapText="1"/>
    </xf>
    <xf borderId="6" fillId="8" fontId="1" numFmtId="0" xfId="0" applyAlignment="1" applyBorder="1" applyFill="1" applyFont="1">
      <alignment horizontal="center" shrinkToFit="0" vertical="center" wrapText="1"/>
    </xf>
    <xf borderId="6" fillId="9" fontId="3" numFmtId="0" xfId="0" applyAlignment="1" applyBorder="1" applyFill="1" applyFont="1">
      <alignment horizontal="center" shrinkToFit="0" vertical="center" wrapText="1"/>
    </xf>
    <xf borderId="6" fillId="0" fontId="1" numFmtId="1" xfId="0" applyAlignment="1" applyBorder="1" applyFont="1" applyNumberFormat="1">
      <alignment horizontal="center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6" fillId="0" fontId="1" numFmtId="165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1" numFmtId="166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wrapText="1"/>
    </xf>
    <xf borderId="0" fillId="10" fontId="8" numFmtId="0" xfId="0" applyAlignment="1" applyFill="1" applyFont="1">
      <alignment horizontal="right" readingOrder="0" vertical="bottom"/>
    </xf>
    <xf borderId="0" fillId="0" fontId="1" numFmtId="0" xfId="0" applyAlignment="1" applyFont="1">
      <alignment horizontal="center" shrinkToFit="0" wrapText="1"/>
    </xf>
    <xf borderId="0" fillId="0" fontId="1" numFmtId="167" xfId="0" applyAlignment="1" applyFont="1" applyNumberFormat="1">
      <alignment horizontal="center" shrinkToFit="0" vertical="center" wrapText="1"/>
    </xf>
    <xf borderId="0" fillId="10" fontId="9" numFmtId="0" xfId="0" applyAlignment="1" applyFont="1">
      <alignment horizontal="right" vertical="bottom"/>
    </xf>
    <xf borderId="0" fillId="0" fontId="1" numFmtId="11" xfId="0" applyAlignment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4" width="10.0"/>
    <col customWidth="1" min="5" max="5" width="16.63"/>
    <col customWidth="1" min="6" max="7" width="10.0"/>
    <col customWidth="1" min="8" max="8" width="12.25"/>
    <col customWidth="1" min="9" max="9" width="10.0"/>
    <col customWidth="1" min="10" max="10" width="12.63"/>
    <col customWidth="1" min="11" max="11" width="10.0"/>
    <col customWidth="1" min="12" max="12" width="12.38"/>
    <col customWidth="1" min="13" max="13" width="10.0"/>
    <col customWidth="1" min="14" max="15" width="10.75"/>
    <col customWidth="1" min="16" max="16" width="10.0"/>
    <col customWidth="1" min="17" max="17" width="13.25"/>
    <col customWidth="1" min="18" max="18" width="15.13"/>
    <col customWidth="1" min="19" max="19" width="12.25"/>
    <col customWidth="1" min="20" max="20" width="13.88"/>
    <col customWidth="1" min="21" max="26" width="9.38"/>
  </cols>
  <sheetData>
    <row r="1" ht="15.0" customHeight="1">
      <c r="A1" s="1" t="s">
        <v>0</v>
      </c>
      <c r="B1" s="2"/>
      <c r="C1" s="3"/>
      <c r="D1" s="4"/>
      <c r="E1" s="5" t="s">
        <v>1</v>
      </c>
      <c r="F1" s="6"/>
      <c r="G1" s="4"/>
      <c r="H1" s="1" t="s">
        <v>2</v>
      </c>
      <c r="I1" s="2"/>
      <c r="J1" s="3"/>
      <c r="K1" s="4"/>
      <c r="L1" s="1" t="s">
        <v>3</v>
      </c>
      <c r="M1" s="2"/>
      <c r="N1" s="3"/>
      <c r="O1" s="4"/>
      <c r="P1" s="7" t="s">
        <v>4</v>
      </c>
      <c r="Q1" s="6"/>
      <c r="R1" s="4"/>
      <c r="S1" s="8" t="s">
        <v>5</v>
      </c>
      <c r="T1" s="3"/>
      <c r="U1" s="4"/>
      <c r="V1" s="4"/>
      <c r="W1" s="4"/>
      <c r="X1" s="4"/>
      <c r="Y1" s="4"/>
      <c r="Z1" s="4"/>
    </row>
    <row r="2">
      <c r="A2" s="4" t="s">
        <v>6</v>
      </c>
      <c r="B2" s="4">
        <v>6371.0</v>
      </c>
      <c r="C2" s="4"/>
      <c r="D2" s="4"/>
      <c r="E2" s="9" t="s">
        <v>7</v>
      </c>
      <c r="F2" s="10">
        <f> (B18) + B14 + B15 </f>
        <v>10.38369176</v>
      </c>
      <c r="G2" s="4"/>
      <c r="H2" s="11"/>
      <c r="I2" s="10" t="s">
        <v>8</v>
      </c>
      <c r="J2" s="12">
        <f>F7*F2</f>
        <v>4.135718948</v>
      </c>
      <c r="K2" s="4"/>
      <c r="L2" s="13"/>
      <c r="M2" s="10" t="s">
        <v>9</v>
      </c>
      <c r="N2" s="12">
        <f>F2*F8</f>
        <v>6.247972814</v>
      </c>
      <c r="O2" s="14"/>
      <c r="P2" s="9" t="s">
        <v>7</v>
      </c>
      <c r="Q2" s="15">
        <f>F2</f>
        <v>10.38369176</v>
      </c>
      <c r="R2" s="4"/>
      <c r="S2" s="16" t="s">
        <v>10</v>
      </c>
      <c r="T2" s="12">
        <f>J2</f>
        <v>4.135718948</v>
      </c>
      <c r="U2" s="4"/>
      <c r="V2" s="4"/>
      <c r="W2" s="4"/>
      <c r="X2" s="4"/>
      <c r="Y2" s="4"/>
      <c r="Z2" s="4"/>
    </row>
    <row r="3">
      <c r="A3" s="4" t="s">
        <v>11</v>
      </c>
      <c r="B3" s="4">
        <v>600.0</v>
      </c>
      <c r="C3" s="4"/>
      <c r="D3" s="4"/>
      <c r="E3" s="9" t="s">
        <v>12</v>
      </c>
      <c r="F3" s="10">
        <v>2.0</v>
      </c>
      <c r="G3" s="4"/>
      <c r="H3" s="11" t="s">
        <v>13</v>
      </c>
      <c r="I3" s="17" t="s">
        <v>14</v>
      </c>
      <c r="J3" s="10">
        <f>(283+312)/2</f>
        <v>297.5</v>
      </c>
      <c r="K3" s="4"/>
      <c r="L3" s="13" t="s">
        <v>13</v>
      </c>
      <c r="M3" s="10" t="s">
        <v>15</v>
      </c>
      <c r="N3" s="10">
        <v>348.0</v>
      </c>
      <c r="O3" s="4"/>
      <c r="P3" s="9" t="s">
        <v>12</v>
      </c>
      <c r="Q3" s="10">
        <v>2.0</v>
      </c>
      <c r="R3" s="4"/>
      <c r="S3" s="16" t="s">
        <v>16</v>
      </c>
      <c r="T3" s="10">
        <f>J5+F9*J6</f>
        <v>10599.33611</v>
      </c>
      <c r="U3" s="4"/>
      <c r="V3" s="4"/>
      <c r="W3" s="4"/>
      <c r="X3" s="4"/>
      <c r="Y3" s="4"/>
      <c r="Z3" s="4"/>
    </row>
    <row r="4">
      <c r="A4" s="4" t="s">
        <v>17</v>
      </c>
      <c r="B4" s="4">
        <v>398000.0</v>
      </c>
      <c r="C4" s="4"/>
      <c r="D4" s="4"/>
      <c r="E4" s="9" t="s">
        <v>18</v>
      </c>
      <c r="F4" s="10">
        <f>J7</f>
        <v>76331.95086</v>
      </c>
      <c r="G4" s="4"/>
      <c r="H4" s="11" t="s">
        <v>19</v>
      </c>
      <c r="I4" s="10" t="s">
        <v>20</v>
      </c>
      <c r="J4" s="10">
        <f>B6</f>
        <v>1000</v>
      </c>
      <c r="K4" s="4"/>
      <c r="L4" s="13" t="s">
        <v>19</v>
      </c>
      <c r="M4" s="10" t="s">
        <v>20</v>
      </c>
      <c r="N4" s="10">
        <f>B6</f>
        <v>1000</v>
      </c>
      <c r="O4" s="4"/>
      <c r="P4" s="9" t="s">
        <v>21</v>
      </c>
      <c r="Q4" s="18">
        <f t="shared" ref="Q4:Q6" si="1">F4</f>
        <v>76331.95086</v>
      </c>
      <c r="R4" s="4"/>
      <c r="S4" s="16" t="s">
        <v>22</v>
      </c>
      <c r="T4" s="19">
        <v>0.0</v>
      </c>
      <c r="U4" s="4"/>
      <c r="V4" s="4"/>
      <c r="W4" s="4"/>
      <c r="X4" s="4"/>
      <c r="Y4" s="4"/>
      <c r="Z4" s="4"/>
    </row>
    <row r="5">
      <c r="A5" s="4" t="s">
        <v>23</v>
      </c>
      <c r="B5" s="4">
        <v>9.81</v>
      </c>
      <c r="C5" s="4"/>
      <c r="D5" s="4"/>
      <c r="E5" s="9" t="s">
        <v>24</v>
      </c>
      <c r="F5" s="10">
        <f t="shared" ref="F5:F6" si="2">J5+N5</f>
        <v>4441.923951</v>
      </c>
      <c r="G5" s="4"/>
      <c r="H5" s="11" t="s">
        <v>25</v>
      </c>
      <c r="I5" s="17" t="s">
        <v>26</v>
      </c>
      <c r="J5" s="10">
        <f>(N7*(1-J8))/((J8/J10)-1+F9-F9/J10)</f>
        <v>4174.054467</v>
      </c>
      <c r="K5" s="4"/>
      <c r="L5" s="13" t="s">
        <v>25</v>
      </c>
      <c r="M5" s="10" t="s">
        <v>27</v>
      </c>
      <c r="N5" s="10">
        <f>(N4*(N8-1))/(1-(N8/N10))</f>
        <v>267.8694832</v>
      </c>
      <c r="O5" s="4"/>
      <c r="P5" s="9" t="s">
        <v>28</v>
      </c>
      <c r="Q5" s="18">
        <f t="shared" si="1"/>
        <v>4441.923951</v>
      </c>
      <c r="R5" s="4"/>
      <c r="S5" s="16" t="s">
        <v>29</v>
      </c>
      <c r="T5" s="10">
        <f>B5*T4/1000</f>
        <v>0</v>
      </c>
      <c r="U5" s="4"/>
      <c r="V5" s="4"/>
      <c r="W5" s="4"/>
      <c r="X5" s="4"/>
      <c r="Y5" s="4"/>
      <c r="Z5" s="4"/>
    </row>
    <row r="6">
      <c r="A6" s="4" t="s">
        <v>30</v>
      </c>
      <c r="B6" s="4">
        <v>1000.0</v>
      </c>
      <c r="C6" s="4"/>
      <c r="D6" s="4"/>
      <c r="E6" s="9" t="s">
        <v>31</v>
      </c>
      <c r="F6" s="10">
        <f t="shared" si="2"/>
        <v>70890.02691</v>
      </c>
      <c r="G6" s="4"/>
      <c r="H6" s="11" t="s">
        <v>32</v>
      </c>
      <c r="I6" s="17" t="s">
        <v>33</v>
      </c>
      <c r="J6" s="10">
        <f>J5*(-1+1/J10)</f>
        <v>64252.81638</v>
      </c>
      <c r="K6" s="4"/>
      <c r="L6" s="13" t="s">
        <v>32</v>
      </c>
      <c r="M6" s="10" t="s">
        <v>34</v>
      </c>
      <c r="N6" s="10">
        <f>N5*(-1+1/N10)</f>
        <v>6637.210527</v>
      </c>
      <c r="O6" s="4"/>
      <c r="P6" s="9" t="s">
        <v>32</v>
      </c>
      <c r="Q6" s="18">
        <f t="shared" si="1"/>
        <v>70890.02691</v>
      </c>
      <c r="R6" s="4"/>
      <c r="S6" s="16" t="s">
        <v>35</v>
      </c>
      <c r="T6" s="10">
        <v>0.4</v>
      </c>
      <c r="U6" s="4"/>
      <c r="V6" s="4"/>
      <c r="W6" s="4"/>
      <c r="X6" s="4"/>
      <c r="Y6" s="4"/>
      <c r="Z6" s="4"/>
    </row>
    <row r="7">
      <c r="A7" s="4" t="s">
        <v>36</v>
      </c>
      <c r="B7" s="4">
        <v>1140.0</v>
      </c>
      <c r="C7" s="4"/>
      <c r="D7" s="4"/>
      <c r="E7" s="9" t="s">
        <v>37</v>
      </c>
      <c r="F7" s="10">
        <f>J19</f>
        <v>0.3982898417</v>
      </c>
      <c r="G7" s="4"/>
      <c r="H7" s="11" t="s">
        <v>38</v>
      </c>
      <c r="I7" s="10" t="s">
        <v>39</v>
      </c>
      <c r="J7" s="10">
        <f>J5+J6+N7</f>
        <v>76331.95086</v>
      </c>
      <c r="K7" s="4"/>
      <c r="L7" s="13" t="s">
        <v>38</v>
      </c>
      <c r="M7" s="10" t="s">
        <v>40</v>
      </c>
      <c r="N7" s="10">
        <f>N6+N5+N4</f>
        <v>7905.08001</v>
      </c>
      <c r="O7" s="4"/>
      <c r="P7" s="9" t="s">
        <v>41</v>
      </c>
      <c r="Q7" s="18">
        <f t="shared" ref="Q7:Q8" si="3">F10</f>
        <v>49573.39582</v>
      </c>
      <c r="R7" s="4"/>
      <c r="S7" s="16" t="s">
        <v>42</v>
      </c>
      <c r="T7" s="10">
        <f>-J3*B5*LN(J5/T3)</f>
        <v>2719.737096</v>
      </c>
      <c r="U7" s="4"/>
      <c r="V7" s="4"/>
      <c r="W7" s="4"/>
      <c r="X7" s="4"/>
      <c r="Y7" s="4"/>
      <c r="Z7" s="4"/>
    </row>
    <row r="8">
      <c r="A8" s="4" t="s">
        <v>43</v>
      </c>
      <c r="B8" s="4">
        <v>820.0</v>
      </c>
      <c r="C8" s="4"/>
      <c r="D8" s="4"/>
      <c r="E8" s="9" t="s">
        <v>44</v>
      </c>
      <c r="F8" s="10">
        <f>1-F7</f>
        <v>0.6017101583</v>
      </c>
      <c r="G8" s="4"/>
      <c r="H8" s="11" t="s">
        <v>45</v>
      </c>
      <c r="I8" s="10" t="s">
        <v>46</v>
      </c>
      <c r="J8" s="20">
        <f>EXP(-(J2*1000/(B5*J3)))</f>
        <v>0.2424203221</v>
      </c>
      <c r="K8" s="4"/>
      <c r="L8" s="13" t="s">
        <v>45</v>
      </c>
      <c r="M8" s="10" t="s">
        <v>47</v>
      </c>
      <c r="N8" s="10">
        <f>EXP(-(N2*1000/(B5*N3)))</f>
        <v>0.1603866731</v>
      </c>
      <c r="O8" s="4"/>
      <c r="P8" s="9" t="s">
        <v>48</v>
      </c>
      <c r="Q8" s="18">
        <f t="shared" si="3"/>
        <v>21316.63109</v>
      </c>
      <c r="R8" s="4"/>
      <c r="S8" s="21" t="s">
        <v>49</v>
      </c>
      <c r="T8" s="4">
        <f>N12/T3</f>
        <v>5.021054423</v>
      </c>
      <c r="U8" s="4"/>
      <c r="V8" s="4"/>
      <c r="W8" s="4"/>
      <c r="X8" s="4"/>
      <c r="Y8" s="4"/>
      <c r="Z8" s="4"/>
    </row>
    <row r="9">
      <c r="A9" s="4" t="s">
        <v>50</v>
      </c>
      <c r="B9" s="4">
        <v>69.93</v>
      </c>
      <c r="C9" s="4"/>
      <c r="D9" s="4"/>
      <c r="E9" s="9" t="s">
        <v>51</v>
      </c>
      <c r="F9" s="10">
        <v>0.1</v>
      </c>
      <c r="G9" s="4"/>
      <c r="H9" s="11" t="s">
        <v>52</v>
      </c>
      <c r="I9" s="10" t="s">
        <v>53</v>
      </c>
      <c r="J9" s="22">
        <f>N7/J7</f>
        <v>0.1035618758</v>
      </c>
      <c r="K9" s="4"/>
      <c r="L9" s="13" t="s">
        <v>52</v>
      </c>
      <c r="M9" s="10" t="s">
        <v>54</v>
      </c>
      <c r="N9" s="22">
        <f>N4/N7</f>
        <v>0.1265009334</v>
      </c>
      <c r="O9" s="4"/>
      <c r="P9" s="9" t="s">
        <v>55</v>
      </c>
      <c r="Q9" s="23">
        <f>F14</f>
        <v>14.1546196</v>
      </c>
      <c r="R9" s="4"/>
      <c r="S9" s="21" t="s">
        <v>56</v>
      </c>
      <c r="T9" s="4">
        <f>2700/T8</f>
        <v>537.7356572</v>
      </c>
      <c r="U9" s="4"/>
      <c r="V9" s="4"/>
      <c r="W9" s="4"/>
      <c r="X9" s="4"/>
      <c r="Y9" s="4"/>
      <c r="Z9" s="4"/>
    </row>
    <row r="10">
      <c r="A10" s="4" t="s">
        <v>57</v>
      </c>
      <c r="B10" s="4">
        <v>0.685</v>
      </c>
      <c r="C10" s="4"/>
      <c r="D10" s="4"/>
      <c r="E10" s="9" t="s">
        <v>41</v>
      </c>
      <c r="F10" s="10">
        <f>F6*B9/100</f>
        <v>49573.39582</v>
      </c>
      <c r="G10" s="4"/>
      <c r="H10" s="11" t="s">
        <v>58</v>
      </c>
      <c r="I10" s="10" t="s">
        <v>59</v>
      </c>
      <c r="J10" s="10">
        <f>27.2/(27.2+418.7)</f>
        <v>0.06100022427</v>
      </c>
      <c r="K10" s="4"/>
      <c r="L10" s="13" t="s">
        <v>58</v>
      </c>
      <c r="M10" s="10" t="s">
        <v>60</v>
      </c>
      <c r="N10" s="10">
        <f>4.5/(4.5+111.5)</f>
        <v>0.03879310345</v>
      </c>
      <c r="O10" s="4"/>
      <c r="P10" s="9" t="s">
        <v>61</v>
      </c>
      <c r="Q10" s="10">
        <v>4.0</v>
      </c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62</v>
      </c>
      <c r="B11" s="4">
        <f>7.607/5.5</f>
        <v>1.383090909</v>
      </c>
      <c r="C11" s="4"/>
      <c r="D11" s="4"/>
      <c r="E11" s="9" t="s">
        <v>48</v>
      </c>
      <c r="F11" s="10">
        <f>(100-B9)*F6/100</f>
        <v>21316.63109</v>
      </c>
      <c r="G11" s="24"/>
      <c r="H11" s="11" t="s">
        <v>63</v>
      </c>
      <c r="I11" s="10"/>
      <c r="J11" s="10">
        <f>(J6+N6)/J7</f>
        <v>0.9287071287</v>
      </c>
      <c r="K11" s="4"/>
      <c r="L11" s="13" t="s">
        <v>63</v>
      </c>
      <c r="M11" s="10"/>
      <c r="N11" s="10">
        <f>N6/N7</f>
        <v>0.8396133269</v>
      </c>
      <c r="O11" s="4"/>
      <c r="P11" s="9" t="s">
        <v>64</v>
      </c>
      <c r="Q11" s="23">
        <f>F16</f>
        <v>22.1546196</v>
      </c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65</v>
      </c>
      <c r="B12" s="4">
        <v>845.0</v>
      </c>
      <c r="C12" s="4"/>
      <c r="D12" s="4"/>
      <c r="E12" s="9" t="s">
        <v>66</v>
      </c>
      <c r="F12" s="10">
        <f t="shared" ref="F12:F13" si="4">F10/B7</f>
        <v>43.48543493</v>
      </c>
      <c r="G12" s="4"/>
      <c r="H12" s="11" t="s">
        <v>67</v>
      </c>
      <c r="I12" s="10"/>
      <c r="J12" s="18">
        <f>J15*J7*B5</f>
        <v>1038411.302</v>
      </c>
      <c r="K12" s="4"/>
      <c r="L12" s="13" t="s">
        <v>67</v>
      </c>
      <c r="M12" s="10"/>
      <c r="N12" s="18">
        <f>N15*N7*B5</f>
        <v>53219.84343</v>
      </c>
      <c r="O12" s="4"/>
      <c r="P12" s="9" t="s">
        <v>68</v>
      </c>
      <c r="Q12" s="23">
        <f>(Q6/Q4)*100</f>
        <v>92.87071287</v>
      </c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69</v>
      </c>
      <c r="B13" s="25">
        <v>2.5</v>
      </c>
      <c r="C13" s="4"/>
      <c r="D13" s="4"/>
      <c r="E13" s="9" t="s">
        <v>70</v>
      </c>
      <c r="F13" s="10">
        <f t="shared" si="4"/>
        <v>25.99589157</v>
      </c>
      <c r="G13" s="4"/>
      <c r="H13" s="11" t="s">
        <v>71</v>
      </c>
      <c r="I13" s="10"/>
      <c r="J13" s="10">
        <f>J12/(J3*B5)</f>
        <v>355.8061323</v>
      </c>
      <c r="K13" s="4"/>
      <c r="L13" s="13" t="s">
        <v>71</v>
      </c>
      <c r="M13" s="10"/>
      <c r="N13" s="10">
        <f>N12/(N3*B5)</f>
        <v>15.58925429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6" t="s">
        <v>72</v>
      </c>
      <c r="B14" s="27">
        <v>2.78</v>
      </c>
      <c r="C14" s="4"/>
      <c r="D14" s="4"/>
      <c r="E14" s="9" t="s">
        <v>73</v>
      </c>
      <c r="F14" s="10">
        <f>(F12+F13)/(PI()*(B13^2)/4)</f>
        <v>14.1546196</v>
      </c>
      <c r="G14" s="4"/>
      <c r="H14" s="11" t="s">
        <v>74</v>
      </c>
      <c r="I14" s="17"/>
      <c r="J14" s="18">
        <f>(J6*(1-F9))/J13</f>
        <v>162.5254022</v>
      </c>
      <c r="K14" s="4"/>
      <c r="L14" s="13" t="s">
        <v>74</v>
      </c>
      <c r="M14" s="10"/>
      <c r="N14" s="18">
        <f>N6/N13</f>
        <v>425.7554854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6" t="s">
        <v>75</v>
      </c>
      <c r="B15" s="27">
        <v>0.042</v>
      </c>
      <c r="C15" s="4"/>
      <c r="D15" s="4"/>
      <c r="E15" s="9" t="s">
        <v>76</v>
      </c>
      <c r="F15" s="10">
        <v>4.0</v>
      </c>
      <c r="G15" s="4"/>
      <c r="H15" s="11" t="s">
        <v>77</v>
      </c>
      <c r="I15" s="10"/>
      <c r="J15" s="10">
        <v>1.3867367880964578</v>
      </c>
      <c r="K15" s="4"/>
      <c r="L15" s="13" t="s">
        <v>77</v>
      </c>
      <c r="M15" s="10"/>
      <c r="N15" s="10">
        <v>0.686275216138328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6" t="s">
        <v>78</v>
      </c>
      <c r="B16" s="28">
        <f>B17*B2</f>
        <v>0.4631717</v>
      </c>
      <c r="C16" s="4"/>
      <c r="D16" s="4"/>
      <c r="E16" s="9" t="s">
        <v>79</v>
      </c>
      <c r="F16" s="23">
        <f>F15+F14+2*2</f>
        <v>22.1546196</v>
      </c>
      <c r="G16" s="4"/>
      <c r="H16" s="4"/>
      <c r="I16" s="4"/>
      <c r="J16" s="29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6" t="s">
        <v>80</v>
      </c>
      <c r="B17" s="26">
        <f>7.27*10^-5</f>
        <v>0.0000727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81</v>
      </c>
      <c r="Q17" s="4">
        <v>27.2</v>
      </c>
      <c r="R17" s="4">
        <v>4.5</v>
      </c>
      <c r="S17" s="4"/>
      <c r="T17" s="4"/>
      <c r="U17" s="4"/>
      <c r="V17" s="4"/>
      <c r="W17" s="4"/>
      <c r="X17" s="4"/>
      <c r="Y17" s="4"/>
      <c r="Z17" s="4"/>
    </row>
    <row r="18">
      <c r="A18" s="26" t="s">
        <v>82</v>
      </c>
      <c r="B18" s="30">
        <f>SQRT(B19*B20/((B3+B2)*1000))/1000</f>
        <v>7.561691762</v>
      </c>
      <c r="C18" s="4"/>
      <c r="D18" s="4"/>
      <c r="E18" s="4"/>
      <c r="F18" s="4"/>
      <c r="G18" s="4"/>
      <c r="H18" s="4"/>
      <c r="I18" s="4" t="s">
        <v>8</v>
      </c>
      <c r="J18" s="4">
        <f>-J3*B5*LN((22800+27200+116000)/(116000+445900+22800))</f>
        <v>3674.684287</v>
      </c>
      <c r="K18" s="4"/>
      <c r="L18" s="4"/>
      <c r="M18" s="4" t="s">
        <v>9</v>
      </c>
      <c r="N18" s="4">
        <f>-N3*B5*LN((22800+4500)/(22800+116000))</f>
        <v>5551.471901</v>
      </c>
      <c r="O18" s="4">
        <f>J18+N18</f>
        <v>9226.156189</v>
      </c>
      <c r="P18" s="4" t="s">
        <v>83</v>
      </c>
      <c r="Q18" s="4">
        <v>418.7</v>
      </c>
      <c r="R18" s="4">
        <v>111.5</v>
      </c>
      <c r="S18" s="4"/>
      <c r="T18" s="4"/>
      <c r="U18" s="4"/>
      <c r="V18" s="4"/>
      <c r="W18" s="4"/>
      <c r="X18" s="4"/>
      <c r="Y18" s="4"/>
      <c r="Z18" s="4"/>
    </row>
    <row r="19">
      <c r="A19" s="26" t="s">
        <v>84</v>
      </c>
      <c r="B19" s="31">
        <f>5.9723*10^24</f>
        <v>5.9723E+24</v>
      </c>
      <c r="C19" s="4"/>
      <c r="D19" s="4"/>
      <c r="E19" s="4"/>
      <c r="F19" s="4"/>
      <c r="G19" s="4"/>
      <c r="H19" s="4"/>
      <c r="I19" s="4"/>
      <c r="J19" s="4">
        <f>J18/O18</f>
        <v>0.3982898417</v>
      </c>
      <c r="K19" s="4"/>
      <c r="L19" s="4"/>
      <c r="M19" s="4"/>
      <c r="N19" s="4">
        <f>N18/O18</f>
        <v>0.6017101583</v>
      </c>
      <c r="O19" s="4"/>
      <c r="P19" s="4" t="s">
        <v>85</v>
      </c>
      <c r="Q19" s="4">
        <v>445.9</v>
      </c>
      <c r="R19" s="4">
        <v>116.0</v>
      </c>
      <c r="S19" s="4"/>
      <c r="T19" s="4"/>
      <c r="U19" s="4"/>
      <c r="V19" s="4"/>
      <c r="W19" s="4"/>
      <c r="X19" s="4"/>
      <c r="Y19" s="4"/>
      <c r="Z19" s="4"/>
    </row>
    <row r="20">
      <c r="A20" s="26" t="s">
        <v>86</v>
      </c>
      <c r="B20" s="31">
        <f>6.67408*10^-11</f>
        <v>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26"/>
      <c r="B21" s="31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26"/>
      <c r="B22" s="31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S1:T1"/>
    <mergeCell ref="P1:Q1"/>
    <mergeCell ref="A1:C1"/>
    <mergeCell ref="H1:J1"/>
    <mergeCell ref="L1:N1"/>
    <mergeCell ref="E1:F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2019-09-20T18:41:39Z</dcterms:created>
  <dc:creator>Cyril</dc:creator>
</cp:coreProperties>
</file>