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</sheets>
  <definedNames/>
  <calcPr/>
  <extLst>
    <ext uri="GoogleSheetsCustomDataVersion1">
      <go:sheetsCustomData xmlns:go="http://customooxmlschemas.google.com/" r:id="rId5" roundtripDataSignature="AMtx7mg4KCs52nBKI9NsPHYTknX03QakLg=="/>
    </ext>
  </extLst>
</workbook>
</file>

<file path=xl/sharedStrings.xml><?xml version="1.0" encoding="utf-8"?>
<sst xmlns="http://schemas.openxmlformats.org/spreadsheetml/2006/main" count="125" uniqueCount="92">
  <si>
    <t>General parameters</t>
  </si>
  <si>
    <t>Rocket parameters</t>
  </si>
  <si>
    <t>Stage 1 characteristics</t>
  </si>
  <si>
    <t>Stage 2 characteristics</t>
  </si>
  <si>
    <t>Stage 3 characteristics</t>
  </si>
  <si>
    <t>General rocket parameters</t>
  </si>
  <si>
    <t>Rearth (km)</t>
  </si>
  <si>
    <t>Δvtot (km/s)</t>
  </si>
  <si>
    <t>Δv1(km/s)</t>
  </si>
  <si>
    <t>Δv2(km/s)</t>
  </si>
  <si>
    <t>Δv(km/s)</t>
  </si>
  <si>
    <t>Mission Altitude (Km)</t>
  </si>
  <si>
    <t>Number of stage</t>
  </si>
  <si>
    <t>Specific impulsec (s)</t>
  </si>
  <si>
    <t>ISP1</t>
  </si>
  <si>
    <t>ISP2</t>
  </si>
  <si>
    <t>ISP3</t>
  </si>
  <si>
    <t>μearth</t>
  </si>
  <si>
    <t>Total mass</t>
  </si>
  <si>
    <t>Payload mass (kg)</t>
  </si>
  <si>
    <t>m*</t>
  </si>
  <si>
    <t>Total mass (kg)</t>
  </si>
  <si>
    <t>g0 (m/s^2)</t>
  </si>
  <si>
    <t>Dry mass</t>
  </si>
  <si>
    <t>Structure mass (kg)</t>
  </si>
  <si>
    <t>ms1</t>
  </si>
  <si>
    <t>ms2</t>
  </si>
  <si>
    <t>ms3</t>
  </si>
  <si>
    <t>Dry mass (kg)</t>
  </si>
  <si>
    <t>Mission Payload (kg)</t>
  </si>
  <si>
    <t>Propellant mass</t>
  </si>
  <si>
    <t>Propellant mass (kg)</t>
  </si>
  <si>
    <t>mp1</t>
  </si>
  <si>
    <t>mp2</t>
  </si>
  <si>
    <t>mp3</t>
  </si>
  <si>
    <t>Lox density (kg/m3)</t>
  </si>
  <si>
    <r>
      <t>%</t>
    </r>
    <r>
      <rPr>
        <rFont val="Calibri"/>
        <color theme="1"/>
        <sz val="11.0"/>
      </rPr>
      <t>ΔV1</t>
    </r>
  </si>
  <si>
    <t>Initial mass (kg)</t>
  </si>
  <si>
    <t>m01</t>
  </si>
  <si>
    <t>m02</t>
  </si>
  <si>
    <t>m03</t>
  </si>
  <si>
    <t>LOX mass (kg)</t>
  </si>
  <si>
    <t>Rp-1 density</t>
  </si>
  <si>
    <t>%ΔV2</t>
  </si>
  <si>
    <t xml:space="preserve">Mass ratio </t>
  </si>
  <si>
    <t>μ1</t>
  </si>
  <si>
    <t>μ2</t>
  </si>
  <si>
    <t>μ3</t>
  </si>
  <si>
    <t>RP1 mass (kg)</t>
  </si>
  <si>
    <t>mass % Lox</t>
  </si>
  <si>
    <t>%ΔV3</t>
  </si>
  <si>
    <t>Payload ratio</t>
  </si>
  <si>
    <t>π1</t>
  </si>
  <si>
    <t>π2</t>
  </si>
  <si>
    <t>π3</t>
  </si>
  <si>
    <t>Propellant height (h)</t>
  </si>
  <si>
    <t>%height propeller</t>
  </si>
  <si>
    <t>Structure ratio</t>
  </si>
  <si>
    <t>ξ1</t>
  </si>
  <si>
    <t>ξ2</t>
  </si>
  <si>
    <t>ξ3</t>
  </si>
  <si>
    <t>Fairing height (m)</t>
  </si>
  <si>
    <t>Thrust/mass ratio Falcon 9 Ft</t>
  </si>
  <si>
    <t>Propellant ratio</t>
  </si>
  <si>
    <t>Total height (propellant height + fairing + 3 engines) (m)</t>
  </si>
  <si>
    <t>Merlin Engine Thrust (Sea lvl) (Kn)</t>
  </si>
  <si>
    <t>LOX Volume (m3)</t>
  </si>
  <si>
    <t>Total Thrust (N)</t>
  </si>
  <si>
    <t>Global propellant fraction (%)</t>
  </si>
  <si>
    <t>Rocket diameter</t>
  </si>
  <si>
    <t>Rp1 Volume (m3)</t>
  </si>
  <si>
    <t>Mass flow (kg/s)</t>
  </si>
  <si>
    <t>Gravity loss</t>
  </si>
  <si>
    <t>Propellant height</t>
  </si>
  <si>
    <t>Burning time (s)</t>
  </si>
  <si>
    <t>Drag loss</t>
  </si>
  <si>
    <t>Fairing (nose) height (m)</t>
  </si>
  <si>
    <t>Thrust to mass ratio</t>
  </si>
  <si>
    <t>Earth rotational speed</t>
  </si>
  <si>
    <t>Total height (propellant height + fairing + 3 engines)</t>
  </si>
  <si>
    <t>Earth angular velocity [rad/s]</t>
  </si>
  <si>
    <t>Δv</t>
  </si>
  <si>
    <t>Orbit velocity</t>
  </si>
  <si>
    <t>Earth mass</t>
  </si>
  <si>
    <t>Gravitational constant</t>
  </si>
  <si>
    <t>450.01 t</t>
  </si>
  <si>
    <t>167.513 t</t>
  </si>
  <si>
    <t>50.262 t</t>
  </si>
  <si>
    <t>Falcon 9</t>
  </si>
  <si>
    <t>https://www.spacelaunchreport.com/falcon9ft.html?fbclid=IwAR1eHCc3clJF2eB-mmd-Nx2fMHDTpcBtrkirHD6ye07AgBp6CzX2WfID2uM</t>
  </si>
  <si>
    <t>Proton</t>
  </si>
  <si>
    <t>https://www.spacelaunchreport.com/proton.html?fbclid=IwAR0vmC2ACP9RIG0SehgPFbziCfplgAvHLcEWnNAAwjepRagj5EFJG-Dag4o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</si>
</sst>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"/>
    <numFmt numFmtId="165" formatCode="0.0000000"/>
    <numFmt numFmtId="166" formatCode="0.0"/>
    <numFmt numFmtId="167" formatCode="0.000000000"/>
  </numFmts>
  <fonts count="11">
    <font>
      <sz val="11.0"/>
      <color theme="1"/>
      <name val="Arial"/>
    </font>
    <font>
      <sz val="11.0"/>
      <color theme="1"/>
      <name val="Calibri"/>
    </font>
    <font/>
    <font>
      <sz val="11.0"/>
      <color rgb="FF000000"/>
      <name val="Calibri"/>
    </font>
    <font>
      <sz val="11.0"/>
      <color theme="4"/>
      <name val="Calibri"/>
    </font>
    <font>
      <i/>
      <sz val="11.0"/>
      <color theme="1"/>
      <name val="Georgia"/>
    </font>
    <font>
      <sz val="11.0"/>
      <color rgb="FF1155CC"/>
      <name val="Arial"/>
    </font>
    <font>
      <sz val="11.0"/>
      <color rgb="FF000000"/>
      <name val="Inconsolata"/>
    </font>
    <font>
      <sz val="10.0"/>
      <color theme="1"/>
      <name val="Arial"/>
    </font>
    <font>
      <u/>
      <sz val="11.0"/>
      <color theme="10"/>
    </font>
    <font>
      <u/>
      <sz val="11.0"/>
      <color theme="1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C55A11"/>
        <bgColor rgb="FFC55A11"/>
      </patternFill>
    </fill>
    <fill>
      <patternFill patternType="solid">
        <fgColor theme="9"/>
        <bgColor theme="9"/>
      </patternFill>
    </fill>
    <fill>
      <patternFill patternType="solid">
        <fgColor rgb="FFAEABAB"/>
        <bgColor rgb="FFAEABAB"/>
      </patternFill>
    </fill>
    <fill>
      <patternFill patternType="solid">
        <fgColor rgb="FFFFC000"/>
        <bgColor rgb="FFFFC000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</fills>
  <borders count="7">
    <border/>
    <border>
      <left/>
      <top/>
      <bottom/>
    </border>
    <border>
      <top/>
      <bottom/>
    </border>
    <border>
      <right/>
      <top/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5" fillId="0" fontId="2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6" fillId="4" fontId="1" numFmtId="0" xfId="0" applyAlignment="1" applyBorder="1" applyFill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6" fillId="5" fontId="1" numFmtId="0" xfId="0" applyAlignment="1" applyBorder="1" applyFill="1" applyFont="1">
      <alignment horizontal="center" shrinkToFit="0" vertical="center" wrapText="1"/>
    </xf>
    <xf borderId="6" fillId="0" fontId="1" numFmtId="164" xfId="0" applyAlignment="1" applyBorder="1" applyFont="1" applyNumberFormat="1">
      <alignment horizontal="center" shrinkToFit="0" vertical="center" wrapText="1"/>
    </xf>
    <xf borderId="6" fillId="6" fontId="1" numFmtId="0" xfId="0" applyAlignment="1" applyBorder="1" applyFill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6" fillId="7" fontId="1" numFmtId="0" xfId="0" applyAlignment="1" applyBorder="1" applyFill="1" applyFont="1">
      <alignment horizontal="center" shrinkToFit="0" vertical="center" wrapText="1"/>
    </xf>
    <xf borderId="6" fillId="0" fontId="1" numFmtId="2" xfId="0" applyAlignment="1" applyBorder="1" applyFont="1" applyNumberFormat="1">
      <alignment horizontal="center" shrinkToFit="0" vertical="center" wrapText="1"/>
    </xf>
    <xf borderId="6" fillId="0" fontId="3" numFmtId="0" xfId="0" applyAlignment="1" applyBorder="1" applyFont="1">
      <alignment horizontal="center" readingOrder="0" shrinkToFit="0" vertical="center" wrapText="1"/>
    </xf>
    <xf borderId="6" fillId="0" fontId="1" numFmtId="1" xfId="0" applyAlignment="1" applyBorder="1" applyFont="1" applyNumberFormat="1">
      <alignment horizontal="center" shrinkToFit="0" vertical="center" wrapText="1"/>
    </xf>
    <xf borderId="6" fillId="0" fontId="1" numFmtId="165" xfId="0" applyAlignment="1" applyBorder="1" applyFont="1" applyNumberFormat="1">
      <alignment horizontal="center"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6" fillId="0" fontId="1" numFmtId="166" xfId="0" applyAlignment="1" applyBorder="1" applyFont="1" applyNumberForma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6" fillId="4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8" fontId="6" numFmtId="0" xfId="0" applyAlignment="1" applyFill="1" applyFont="1">
      <alignment readingOrder="0"/>
    </xf>
    <xf borderId="0" fillId="0" fontId="1" numFmtId="167" xfId="0" applyAlignment="1" applyFont="1" applyNumberFormat="1">
      <alignment horizontal="center" shrinkToFit="0" vertical="center" wrapText="1"/>
    </xf>
    <xf borderId="0" fillId="0" fontId="1" numFmtId="1" xfId="0" applyAlignment="1" applyFont="1" applyNumberFormat="1">
      <alignment horizontal="center" shrinkToFit="0" vertical="center" wrapText="1"/>
    </xf>
    <xf borderId="0" fillId="8" fontId="7" numFmtId="0" xfId="0" applyAlignment="1" applyFont="1">
      <alignment readingOrder="0"/>
    </xf>
    <xf borderId="0" fillId="0" fontId="1" numFmtId="11" xfId="0" applyAlignment="1" applyFont="1" applyNumberFormat="1">
      <alignment horizontal="center" readingOrder="0" shrinkToFit="0" vertical="center" wrapText="1"/>
    </xf>
    <xf borderId="6" fillId="0" fontId="8" numFmtId="0" xfId="0" applyAlignment="1" applyBorder="1" applyFont="1">
      <alignment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pacelaunchreport.com/falcon9ft.html?fbclid=IwAR1eHCc3clJF2eB-mmd-Nx2fMHDTpcBtrkirHD6ye07AgBp6CzX2WfID2uM" TargetMode="External"/><Relationship Id="rId2" Type="http://schemas.openxmlformats.org/officeDocument/2006/relationships/hyperlink" Target="https://www.spacelaunchreport.com/proton.html?fbclid=IwAR0vmC2ACP9RIG0SehgPFbziCfplgAvHLcEWnNAAwjepRagj5EFJG-Dag4o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75"/>
    <col customWidth="1" min="2" max="4" width="10.0"/>
    <col customWidth="1" min="5" max="5" width="19.25"/>
    <col customWidth="1" min="6" max="7" width="10.0"/>
    <col customWidth="1" min="8" max="8" width="12.25"/>
    <col customWidth="1" min="9" max="9" width="10.0"/>
    <col customWidth="1" min="10" max="10" width="12.63"/>
    <col customWidth="1" min="11" max="11" width="10.0"/>
    <col customWidth="1" min="12" max="12" width="12.38"/>
    <col customWidth="1" min="13" max="13" width="10.0"/>
    <col customWidth="1" min="14" max="15" width="10.75"/>
    <col customWidth="1" min="16" max="16" width="10.0"/>
    <col customWidth="1" min="17" max="17" width="13.25"/>
    <col customWidth="1" min="18" max="18" width="15.13"/>
    <col customWidth="1" min="19" max="19" width="10.0"/>
    <col customWidth="1" min="20" max="20" width="13.88"/>
    <col customWidth="1" min="21" max="21" width="13.25"/>
    <col customWidth="1" min="22" max="26" width="9.38"/>
  </cols>
  <sheetData>
    <row r="1" ht="15.0" customHeight="1">
      <c r="A1" s="1" t="s">
        <v>0</v>
      </c>
      <c r="B1" s="2"/>
      <c r="C1" s="3"/>
      <c r="D1" s="4"/>
      <c r="E1" s="5" t="s">
        <v>1</v>
      </c>
      <c r="F1" s="6"/>
      <c r="G1" s="4"/>
      <c r="H1" s="1" t="s">
        <v>2</v>
      </c>
      <c r="I1" s="2"/>
      <c r="J1" s="3"/>
      <c r="K1" s="4"/>
      <c r="L1" s="1" t="s">
        <v>3</v>
      </c>
      <c r="M1" s="2"/>
      <c r="N1" s="3"/>
      <c r="O1" s="4"/>
      <c r="P1" s="1" t="s">
        <v>4</v>
      </c>
      <c r="Q1" s="2"/>
      <c r="R1" s="3"/>
      <c r="S1" s="4"/>
      <c r="T1" s="7" t="s">
        <v>5</v>
      </c>
      <c r="U1" s="6"/>
      <c r="V1" s="4"/>
      <c r="W1" s="4"/>
      <c r="X1" s="4"/>
      <c r="Y1" s="4"/>
      <c r="Z1" s="4"/>
    </row>
    <row r="2">
      <c r="A2" s="4" t="s">
        <v>6</v>
      </c>
      <c r="B2" s="4">
        <v>6371.0</v>
      </c>
      <c r="C2" s="4"/>
      <c r="D2" s="4"/>
      <c r="E2" s="8" t="s">
        <v>7</v>
      </c>
      <c r="F2" s="9">
        <f> (B18 ) + B14 + B15 </f>
        <v>10.45869176</v>
      </c>
      <c r="G2" s="4"/>
      <c r="H2" s="10"/>
      <c r="I2" s="9" t="s">
        <v>8</v>
      </c>
      <c r="J2" s="11">
        <f>F7*F2</f>
        <v>3.032948505</v>
      </c>
      <c r="K2" s="4"/>
      <c r="L2" s="12"/>
      <c r="M2" s="9" t="s">
        <v>9</v>
      </c>
      <c r="N2" s="11">
        <f>F2*F8</f>
        <v>3.749922292</v>
      </c>
      <c r="O2" s="13"/>
      <c r="P2" s="14"/>
      <c r="Q2" s="9" t="s">
        <v>10</v>
      </c>
      <c r="R2" s="11">
        <f>F2*F9</f>
        <v>3.675820965</v>
      </c>
      <c r="S2" s="4"/>
      <c r="T2" s="8" t="s">
        <v>7</v>
      </c>
      <c r="U2" s="15">
        <f>F2</f>
        <v>10.45869176</v>
      </c>
      <c r="V2" s="4"/>
      <c r="W2" s="4"/>
      <c r="X2" s="4"/>
      <c r="Y2" s="4"/>
      <c r="Z2" s="4"/>
    </row>
    <row r="3">
      <c r="A3" s="4" t="s">
        <v>11</v>
      </c>
      <c r="B3" s="4">
        <v>600.0</v>
      </c>
      <c r="C3" s="4"/>
      <c r="D3" s="4"/>
      <c r="E3" s="8" t="s">
        <v>12</v>
      </c>
      <c r="F3" s="16">
        <v>3.0</v>
      </c>
      <c r="G3" s="4"/>
      <c r="H3" s="10" t="s">
        <v>13</v>
      </c>
      <c r="I3" s="9" t="s">
        <v>14</v>
      </c>
      <c r="J3" s="9">
        <f>(285+316)/2</f>
        <v>300.5</v>
      </c>
      <c r="K3" s="4"/>
      <c r="L3" s="12" t="s">
        <v>13</v>
      </c>
      <c r="M3" s="9" t="s">
        <v>15</v>
      </c>
      <c r="N3" s="9">
        <v>327.0</v>
      </c>
      <c r="O3" s="4"/>
      <c r="P3" s="14" t="s">
        <v>13</v>
      </c>
      <c r="Q3" s="9" t="s">
        <v>16</v>
      </c>
      <c r="R3" s="9">
        <v>327.0</v>
      </c>
      <c r="S3" s="4"/>
      <c r="T3" s="8" t="s">
        <v>12</v>
      </c>
      <c r="U3" s="9">
        <v>3.0</v>
      </c>
      <c r="V3" s="4"/>
      <c r="W3" s="4"/>
      <c r="X3" s="4"/>
      <c r="Y3" s="4"/>
      <c r="Z3" s="4"/>
    </row>
    <row r="4">
      <c r="A4" s="4" t="s">
        <v>17</v>
      </c>
      <c r="B4" s="4">
        <v>398000.0</v>
      </c>
      <c r="C4" s="4"/>
      <c r="D4" s="4"/>
      <c r="E4" s="8" t="s">
        <v>18</v>
      </c>
      <c r="F4" s="9">
        <f>J7</f>
        <v>45134.99477</v>
      </c>
      <c r="G4" s="4"/>
      <c r="H4" s="10" t="s">
        <v>19</v>
      </c>
      <c r="I4" s="9" t="s">
        <v>20</v>
      </c>
      <c r="J4" s="9">
        <f>B6</f>
        <v>1000</v>
      </c>
      <c r="K4" s="4"/>
      <c r="L4" s="12" t="s">
        <v>19</v>
      </c>
      <c r="M4" s="9" t="s">
        <v>20</v>
      </c>
      <c r="N4" s="9">
        <f>B6</f>
        <v>1000</v>
      </c>
      <c r="O4" s="4"/>
      <c r="P4" s="14" t="s">
        <v>19</v>
      </c>
      <c r="Q4" s="9" t="s">
        <v>20</v>
      </c>
      <c r="R4" s="9">
        <f>B6</f>
        <v>1000</v>
      </c>
      <c r="S4" s="4"/>
      <c r="T4" s="8" t="s">
        <v>21</v>
      </c>
      <c r="U4" s="17">
        <f t="shared" ref="U4:U6" si="1">F4</f>
        <v>45134.99477</v>
      </c>
      <c r="V4" s="4"/>
      <c r="W4" s="4"/>
      <c r="X4" s="4"/>
      <c r="Y4" s="4"/>
      <c r="Z4" s="4"/>
    </row>
    <row r="5">
      <c r="A5" s="4" t="s">
        <v>22</v>
      </c>
      <c r="B5" s="4">
        <v>9.81</v>
      </c>
      <c r="C5" s="4"/>
      <c r="D5" s="4"/>
      <c r="E5" s="8" t="s">
        <v>23</v>
      </c>
      <c r="F5" s="9">
        <f>J5+N5</f>
        <v>2636.409914</v>
      </c>
      <c r="G5" s="4"/>
      <c r="H5" s="10" t="s">
        <v>24</v>
      </c>
      <c r="I5" s="9" t="s">
        <v>25</v>
      </c>
      <c r="J5" s="9">
        <f>(N7*(J8-1))/(1-(J8/J10))</f>
        <v>1972.155199</v>
      </c>
      <c r="K5" s="4"/>
      <c r="L5" s="12" t="s">
        <v>24</v>
      </c>
      <c r="M5" s="9" t="s">
        <v>26</v>
      </c>
      <c r="N5" s="9">
        <f>(R7*(N8-1))/(1-(N8/N10))</f>
        <v>664.2547152</v>
      </c>
      <c r="O5" s="4"/>
      <c r="P5" s="14" t="s">
        <v>24</v>
      </c>
      <c r="Q5" s="9" t="s">
        <v>27</v>
      </c>
      <c r="R5" s="9">
        <f>(R4*(R8-1))/(1-(R8/R10))</f>
        <v>187.5313252</v>
      </c>
      <c r="S5" s="4"/>
      <c r="T5" s="8" t="s">
        <v>28</v>
      </c>
      <c r="U5" s="17">
        <f t="shared" si="1"/>
        <v>2636.409914</v>
      </c>
      <c r="V5" s="4"/>
      <c r="W5" s="4"/>
      <c r="X5" s="4"/>
      <c r="Y5" s="4"/>
      <c r="Z5" s="4"/>
    </row>
    <row r="6">
      <c r="A6" s="4" t="s">
        <v>29</v>
      </c>
      <c r="B6" s="4">
        <v>1000.0</v>
      </c>
      <c r="C6" s="4"/>
      <c r="D6" s="4"/>
      <c r="E6" s="8" t="s">
        <v>30</v>
      </c>
      <c r="F6" s="9">
        <f>J6+N6+R6</f>
        <v>41311.05353</v>
      </c>
      <c r="G6" s="4"/>
      <c r="H6" s="10" t="s">
        <v>31</v>
      </c>
      <c r="I6" s="9" t="s">
        <v>32</v>
      </c>
      <c r="J6" s="9">
        <f>J5*(-1+1/J10)</f>
        <v>29002.92683</v>
      </c>
      <c r="K6" s="4"/>
      <c r="L6" s="12" t="s">
        <v>31</v>
      </c>
      <c r="M6" s="9" t="s">
        <v>33</v>
      </c>
      <c r="N6" s="9">
        <f>N5*(-1+1/N10)</f>
        <v>9760.64036</v>
      </c>
      <c r="O6" s="4"/>
      <c r="P6" s="14" t="s">
        <v>31</v>
      </c>
      <c r="Q6" s="9" t="s">
        <v>34</v>
      </c>
      <c r="R6" s="9">
        <f>R5*(-1+1/R10)</f>
        <v>2547.486342</v>
      </c>
      <c r="S6" s="4"/>
      <c r="T6" s="8" t="s">
        <v>31</v>
      </c>
      <c r="U6" s="17">
        <f t="shared" si="1"/>
        <v>41311.05353</v>
      </c>
      <c r="V6" s="4"/>
      <c r="W6" s="4"/>
      <c r="X6" s="4"/>
      <c r="Y6" s="4"/>
      <c r="Z6" s="4"/>
    </row>
    <row r="7">
      <c r="A7" s="4" t="s">
        <v>35</v>
      </c>
      <c r="B7" s="4">
        <v>1140.0</v>
      </c>
      <c r="C7" s="4"/>
      <c r="D7" s="4"/>
      <c r="E7" s="8" t="s">
        <v>36</v>
      </c>
      <c r="F7" s="9">
        <f>J18</f>
        <v>0.2899931056</v>
      </c>
      <c r="G7" s="4"/>
      <c r="H7" s="10" t="s">
        <v>37</v>
      </c>
      <c r="I7" s="9" t="s">
        <v>38</v>
      </c>
      <c r="J7" s="9">
        <f>J5+J6+N7</f>
        <v>45134.99477</v>
      </c>
      <c r="K7" s="4"/>
      <c r="L7" s="12" t="s">
        <v>37</v>
      </c>
      <c r="M7" s="9" t="s">
        <v>39</v>
      </c>
      <c r="N7" s="9">
        <f>N6+N5+R7</f>
        <v>14159.91274</v>
      </c>
      <c r="O7" s="4"/>
      <c r="P7" s="14" t="s">
        <v>37</v>
      </c>
      <c r="Q7" s="9" t="s">
        <v>40</v>
      </c>
      <c r="R7" s="9">
        <f>R6+R5+R4</f>
        <v>3735.017667</v>
      </c>
      <c r="S7" s="4"/>
      <c r="T7" s="8" t="s">
        <v>41</v>
      </c>
      <c r="U7" s="17">
        <f t="shared" ref="U7:U8" si="2">F10</f>
        <v>28888.81974</v>
      </c>
      <c r="V7" s="4"/>
      <c r="W7" s="4"/>
      <c r="X7" s="4"/>
      <c r="Y7" s="4"/>
      <c r="Z7" s="4"/>
    </row>
    <row r="8">
      <c r="A8" s="4" t="s">
        <v>42</v>
      </c>
      <c r="B8" s="4">
        <v>820.0</v>
      </c>
      <c r="C8" s="4"/>
      <c r="D8" s="4"/>
      <c r="E8" s="8" t="s">
        <v>43</v>
      </c>
      <c r="F8" s="9">
        <f>N18</f>
        <v>0.3585460187</v>
      </c>
      <c r="G8" s="4"/>
      <c r="H8" s="10" t="s">
        <v>44</v>
      </c>
      <c r="I8" s="9" t="s">
        <v>45</v>
      </c>
      <c r="J8" s="18">
        <f>EXP(-(J2*1000/(B5*J3)))</f>
        <v>0.3574181857</v>
      </c>
      <c r="K8" s="4"/>
      <c r="L8" s="12" t="s">
        <v>44</v>
      </c>
      <c r="M8" s="9" t="s">
        <v>46</v>
      </c>
      <c r="N8" s="9">
        <f>EXP(-(N2*1000/(B5*N3)))</f>
        <v>0.3106849924</v>
      </c>
      <c r="O8" s="4"/>
      <c r="P8" s="14" t="s">
        <v>44</v>
      </c>
      <c r="Q8" s="9" t="s">
        <v>47</v>
      </c>
      <c r="R8" s="9">
        <f>EXP(-(R2*1000/(B5*R3)))</f>
        <v>0.3179453033</v>
      </c>
      <c r="S8" s="4"/>
      <c r="T8" s="8" t="s">
        <v>48</v>
      </c>
      <c r="U8" s="17">
        <f t="shared" si="2"/>
        <v>12422.2338</v>
      </c>
      <c r="V8" s="4"/>
      <c r="W8" s="4"/>
      <c r="X8" s="4"/>
      <c r="Y8" s="4"/>
      <c r="Z8" s="4"/>
    </row>
    <row r="9">
      <c r="A9" s="4" t="s">
        <v>49</v>
      </c>
      <c r="B9" s="4">
        <v>69.93</v>
      </c>
      <c r="C9" s="4"/>
      <c r="D9" s="4"/>
      <c r="E9" s="8" t="s">
        <v>50</v>
      </c>
      <c r="F9" s="9">
        <f>R18</f>
        <v>0.3514608757</v>
      </c>
      <c r="G9" s="4"/>
      <c r="H9" s="10" t="s">
        <v>51</v>
      </c>
      <c r="I9" s="9" t="s">
        <v>52</v>
      </c>
      <c r="J9" s="19">
        <f>N7/J7</f>
        <v>0.3137235933</v>
      </c>
      <c r="K9" s="4"/>
      <c r="L9" s="12" t="s">
        <v>51</v>
      </c>
      <c r="M9" s="9" t="s">
        <v>53</v>
      </c>
      <c r="N9" s="19">
        <f>N4/N7</f>
        <v>0.07062190412</v>
      </c>
      <c r="O9" s="4"/>
      <c r="P9" s="14" t="s">
        <v>51</v>
      </c>
      <c r="Q9" s="9" t="s">
        <v>54</v>
      </c>
      <c r="R9" s="19">
        <f>R4/R7</f>
        <v>0.2677363507</v>
      </c>
      <c r="S9" s="4"/>
      <c r="T9" s="8" t="s">
        <v>55</v>
      </c>
      <c r="U9" s="20">
        <f>F14</f>
        <v>8.24858268</v>
      </c>
      <c r="V9" s="4"/>
      <c r="W9" s="4"/>
      <c r="X9" s="4"/>
      <c r="Y9" s="4"/>
      <c r="Z9" s="4"/>
    </row>
    <row r="10">
      <c r="A10" s="4" t="s">
        <v>56</v>
      </c>
      <c r="B10" s="4">
        <v>0.685</v>
      </c>
      <c r="C10" s="4"/>
      <c r="D10" s="4"/>
      <c r="E10" s="8" t="s">
        <v>41</v>
      </c>
      <c r="F10" s="9">
        <f>F6*B9/100</f>
        <v>28888.81974</v>
      </c>
      <c r="G10" s="4"/>
      <c r="H10" s="10" t="s">
        <v>57</v>
      </c>
      <c r="I10" s="9" t="s">
        <v>58</v>
      </c>
      <c r="J10" s="9">
        <f>(450010-419410)/(450010+(450010-419410))</f>
        <v>0.0636690872</v>
      </c>
      <c r="K10" s="4"/>
      <c r="L10" s="12" t="s">
        <v>57</v>
      </c>
      <c r="M10" s="9" t="s">
        <v>59</v>
      </c>
      <c r="N10" s="9">
        <f>(167513-156113)/(167513+(167513-156113))</f>
        <v>0.06371811998</v>
      </c>
      <c r="O10" s="4"/>
      <c r="P10" s="14" t="s">
        <v>57</v>
      </c>
      <c r="Q10" s="9" t="s">
        <v>60</v>
      </c>
      <c r="R10" s="9">
        <f>(50262-46562)/(50262+(50262-46562))</f>
        <v>0.06856676921</v>
      </c>
      <c r="S10" s="4"/>
      <c r="T10" s="8" t="s">
        <v>61</v>
      </c>
      <c r="U10" s="9">
        <v>4.0</v>
      </c>
      <c r="V10" s="4"/>
      <c r="W10" s="4"/>
      <c r="X10" s="4"/>
      <c r="Y10" s="4"/>
      <c r="Z10" s="4"/>
    </row>
    <row r="11">
      <c r="A11" s="4" t="s">
        <v>62</v>
      </c>
      <c r="B11" s="4">
        <f>7.607/5.5</f>
        <v>1.383090909</v>
      </c>
      <c r="C11" s="4"/>
      <c r="D11" s="4"/>
      <c r="E11" s="8" t="s">
        <v>48</v>
      </c>
      <c r="F11" s="9">
        <f>(100-B9)*F6/100</f>
        <v>12422.2338</v>
      </c>
      <c r="G11" s="21"/>
      <c r="H11" s="10" t="s">
        <v>63</v>
      </c>
      <c r="I11" s="9"/>
      <c r="J11" s="9">
        <f>(J6+N6)/J7</f>
        <v>0.8588361954</v>
      </c>
      <c r="K11" s="4"/>
      <c r="L11" s="12" t="s">
        <v>63</v>
      </c>
      <c r="M11" s="9"/>
      <c r="N11" s="9">
        <f>N6/N7</f>
        <v>0.6893150076</v>
      </c>
      <c r="O11" s="4"/>
      <c r="P11" s="14" t="s">
        <v>63</v>
      </c>
      <c r="Q11" s="9"/>
      <c r="R11" s="9">
        <f>R6/R7</f>
        <v>0.6820546967</v>
      </c>
      <c r="S11" s="4"/>
      <c r="T11" s="22" t="s">
        <v>64</v>
      </c>
      <c r="U11" s="20">
        <f>F16</f>
        <v>18.24858268</v>
      </c>
      <c r="V11" s="4"/>
      <c r="W11" s="4"/>
      <c r="X11" s="4"/>
      <c r="Y11" s="4"/>
      <c r="Z11" s="4"/>
    </row>
    <row r="12">
      <c r="A12" s="4" t="s">
        <v>65</v>
      </c>
      <c r="B12" s="4">
        <v>845.0</v>
      </c>
      <c r="C12" s="4"/>
      <c r="D12" s="4"/>
      <c r="E12" s="8" t="s">
        <v>66</v>
      </c>
      <c r="F12" s="9">
        <f t="shared" ref="F12:F13" si="3">F10/B7</f>
        <v>25.34106994</v>
      </c>
      <c r="G12" s="4"/>
      <c r="H12" s="10" t="s">
        <v>67</v>
      </c>
      <c r="I12" s="9"/>
      <c r="J12" s="17">
        <f>J15*J7*B5</f>
        <v>684393.9871</v>
      </c>
      <c r="K12" s="4"/>
      <c r="L12" s="12" t="s">
        <v>67</v>
      </c>
      <c r="M12" s="9"/>
      <c r="N12" s="17">
        <f>N15*N7*B5</f>
        <v>142652.7997</v>
      </c>
      <c r="O12" s="4"/>
      <c r="P12" s="14" t="s">
        <v>67</v>
      </c>
      <c r="Q12" s="9"/>
      <c r="R12" s="17">
        <f>R15*R7*B5</f>
        <v>32861.39096</v>
      </c>
      <c r="S12" s="4"/>
      <c r="T12" s="8" t="s">
        <v>68</v>
      </c>
      <c r="U12" s="20">
        <f>U6/U4*100</f>
        <v>91.52776851</v>
      </c>
      <c r="V12" s="4"/>
      <c r="W12" s="4"/>
      <c r="X12" s="4"/>
      <c r="Y12" s="4"/>
      <c r="Z12" s="4"/>
    </row>
    <row r="13">
      <c r="A13" s="4" t="s">
        <v>69</v>
      </c>
      <c r="B13" s="23">
        <v>2.5</v>
      </c>
      <c r="C13" s="4"/>
      <c r="D13" s="4"/>
      <c r="E13" s="8" t="s">
        <v>70</v>
      </c>
      <c r="F13" s="9">
        <f t="shared" si="3"/>
        <v>15.14906561</v>
      </c>
      <c r="G13" s="4"/>
      <c r="H13" s="10" t="s">
        <v>71</v>
      </c>
      <c r="I13" s="9"/>
      <c r="J13" s="9">
        <f>J12/(J3*B5)</f>
        <v>232.1628367</v>
      </c>
      <c r="K13" s="4"/>
      <c r="L13" s="12" t="s">
        <v>71</v>
      </c>
      <c r="M13" s="9"/>
      <c r="N13" s="9">
        <f>N12/(N3*B5)</f>
        <v>44.46963239</v>
      </c>
      <c r="O13" s="4"/>
      <c r="P13" s="14" t="s">
        <v>71</v>
      </c>
      <c r="Q13" s="9"/>
      <c r="R13" s="9">
        <f>R12/(R3*B5)</f>
        <v>10.24399086</v>
      </c>
      <c r="S13" s="4"/>
      <c r="T13" s="4"/>
      <c r="U13" s="4"/>
      <c r="V13" s="4"/>
      <c r="W13" s="4"/>
      <c r="X13" s="4"/>
      <c r="Y13" s="4"/>
      <c r="Z13" s="4"/>
    </row>
    <row r="14">
      <c r="A14" s="23" t="s">
        <v>72</v>
      </c>
      <c r="B14" s="24">
        <v>2.82</v>
      </c>
      <c r="C14" s="4"/>
      <c r="D14" s="4"/>
      <c r="E14" s="8" t="s">
        <v>73</v>
      </c>
      <c r="F14" s="9">
        <f>(F12+F13)/(PI()*(B13^2)/4)</f>
        <v>8.24858268</v>
      </c>
      <c r="G14" s="4"/>
      <c r="H14" s="10" t="s">
        <v>74</v>
      </c>
      <c r="I14" s="9"/>
      <c r="J14" s="17">
        <f>J6/J13</f>
        <v>124.924933</v>
      </c>
      <c r="K14" s="4"/>
      <c r="L14" s="12" t="s">
        <v>74</v>
      </c>
      <c r="M14" s="9"/>
      <c r="N14" s="17">
        <f>N6/N13</f>
        <v>219.4900168</v>
      </c>
      <c r="O14" s="4"/>
      <c r="P14" s="14" t="s">
        <v>74</v>
      </c>
      <c r="Q14" s="9"/>
      <c r="R14" s="17">
        <f>R6/R13</f>
        <v>248.681044</v>
      </c>
      <c r="S14" s="4"/>
      <c r="T14" s="4"/>
      <c r="U14" s="4"/>
      <c r="V14" s="4"/>
      <c r="W14" s="4"/>
      <c r="X14" s="4"/>
      <c r="Y14" s="4"/>
      <c r="Z14" s="4"/>
    </row>
    <row r="15">
      <c r="A15" s="23" t="s">
        <v>75</v>
      </c>
      <c r="B15" s="24">
        <v>0.077</v>
      </c>
      <c r="C15" s="4"/>
      <c r="D15" s="4"/>
      <c r="E15" s="8" t="s">
        <v>76</v>
      </c>
      <c r="F15" s="9">
        <v>4.0</v>
      </c>
      <c r="G15" s="4"/>
      <c r="H15" s="10" t="s">
        <v>77</v>
      </c>
      <c r="I15" s="9"/>
      <c r="J15" s="9">
        <v>1.5456949265774742</v>
      </c>
      <c r="K15" s="4"/>
      <c r="L15" s="12" t="s">
        <v>77</v>
      </c>
      <c r="M15" s="9"/>
      <c r="N15" s="9">
        <v>1.026953347477826</v>
      </c>
      <c r="O15" s="4"/>
      <c r="P15" s="14" t="s">
        <v>77</v>
      </c>
      <c r="Q15" s="9"/>
      <c r="R15" s="9">
        <v>0.8968592145667804</v>
      </c>
      <c r="S15" s="4"/>
      <c r="T15" s="4"/>
      <c r="U15" s="4"/>
      <c r="V15" s="4"/>
      <c r="W15" s="4"/>
      <c r="X15" s="4"/>
      <c r="Y15" s="4"/>
      <c r="Z15" s="4"/>
    </row>
    <row r="16">
      <c r="A16" s="23" t="s">
        <v>78</v>
      </c>
      <c r="B16" s="4">
        <f>B17*B2</f>
        <v>0.4631717</v>
      </c>
      <c r="C16" s="4"/>
      <c r="D16" s="4"/>
      <c r="E16" s="22" t="s">
        <v>79</v>
      </c>
      <c r="F16" s="20">
        <f>F15+F14+2*3</f>
        <v>18.24858268</v>
      </c>
      <c r="G16" s="4"/>
      <c r="H16" s="4"/>
      <c r="I16" s="4"/>
      <c r="J16" s="25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23" t="s">
        <v>80</v>
      </c>
      <c r="B17" s="23">
        <f>7.27*10^-5</f>
        <v>0.0000727</v>
      </c>
      <c r="C17" s="4"/>
      <c r="D17" s="4"/>
      <c r="E17" s="4"/>
      <c r="F17" s="4"/>
      <c r="G17" s="4"/>
      <c r="H17" s="4" t="s">
        <v>81</v>
      </c>
      <c r="I17" s="4"/>
      <c r="J17" s="4">
        <f>-J3*$B$5*LN((450000-419000+167513+50262+21000)/(450000+167513+50262+21000))</f>
        <v>2763.14912</v>
      </c>
      <c r="K17" s="4"/>
      <c r="L17" s="4"/>
      <c r="M17" s="4"/>
      <c r="N17" s="4">
        <f>-N3*$B$5*LN((167000-156000+50262+21000)/(167000+50626+21000))</f>
        <v>3416.343688</v>
      </c>
      <c r="O17" s="4"/>
      <c r="P17" s="4"/>
      <c r="Q17" s="4"/>
      <c r="R17" s="4">
        <f>-N3*$B$5*LN((50262-46562+21600)/(50262+21600))</f>
        <v>3348.834129</v>
      </c>
      <c r="S17" s="26">
        <f>R17+N17+J17</f>
        <v>9528.326937</v>
      </c>
      <c r="T17" s="4"/>
      <c r="U17" s="4"/>
      <c r="V17" s="4"/>
      <c r="W17" s="4"/>
      <c r="X17" s="4"/>
      <c r="Y17" s="4"/>
      <c r="Z17" s="4"/>
    </row>
    <row r="18">
      <c r="A18" s="23" t="s">
        <v>82</v>
      </c>
      <c r="B18" s="27">
        <f>SQRT(B19*B20/((B3+B2)*1000))/1000</f>
        <v>7.561691762</v>
      </c>
      <c r="C18" s="4"/>
      <c r="D18" s="4"/>
      <c r="E18" s="4"/>
      <c r="F18" s="4"/>
      <c r="G18" s="4"/>
      <c r="H18" s="4"/>
      <c r="I18" s="4"/>
      <c r="J18" s="4">
        <f>J17/S17</f>
        <v>0.2899931056</v>
      </c>
      <c r="K18" s="4"/>
      <c r="L18" s="4"/>
      <c r="M18" s="4"/>
      <c r="N18" s="4">
        <f>N17/S17</f>
        <v>0.3585460187</v>
      </c>
      <c r="O18" s="4"/>
      <c r="P18" s="4"/>
      <c r="Q18" s="4"/>
      <c r="R18" s="4">
        <f>R17/S17</f>
        <v>0.3514608757</v>
      </c>
      <c r="S18" s="4"/>
      <c r="T18" s="4"/>
      <c r="U18" s="4"/>
      <c r="V18" s="4"/>
      <c r="W18" s="4"/>
      <c r="X18" s="4"/>
      <c r="Y18" s="4"/>
      <c r="Z18" s="4"/>
    </row>
    <row r="19">
      <c r="A19" s="23" t="s">
        <v>83</v>
      </c>
      <c r="B19" s="28">
        <f>5.9723*10^24</f>
        <v>5.9723E+24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23" t="s">
        <v>84</v>
      </c>
      <c r="B20" s="28">
        <f>6.67408*10^-11</f>
        <v>0</v>
      </c>
      <c r="C20" s="4"/>
      <c r="D20" s="4"/>
      <c r="E20" s="4"/>
      <c r="F20" s="4"/>
      <c r="G20" s="4"/>
      <c r="H20" s="4"/>
      <c r="I20" s="29" t="s">
        <v>85</v>
      </c>
      <c r="J20" s="29" t="s">
        <v>86</v>
      </c>
      <c r="K20" s="29" t="s">
        <v>87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 t="s">
        <v>88</v>
      </c>
      <c r="B21" s="30" t="s">
        <v>89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31" t="s">
        <v>90</v>
      </c>
      <c r="B22" s="30" t="s">
        <v>91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6">
    <mergeCell ref="T1:U1"/>
    <mergeCell ref="A1:C1"/>
    <mergeCell ref="H1:J1"/>
    <mergeCell ref="L1:N1"/>
    <mergeCell ref="E1:F1"/>
    <mergeCell ref="P1:R1"/>
  </mergeCells>
  <hyperlinks>
    <hyperlink r:id="rId1" ref="B21"/>
    <hyperlink r:id="rId2" ref="B22"/>
  </hyperlinks>
  <printOptions/>
  <pageMargins bottom="0.75" footer="0.0" header="0.0" left="0.7" right="0.7" top="0.75"/>
  <pageSetup orientation="landscape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2019-09-20T18:41:39Z</dcterms:created>
  <dc:creator>Cyril</dc:creator>
</cp:coreProperties>
</file>