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ntuac-my.sharepoint.com/personal/n1260092_my_ntu_ac_uk/Documents/Documents/Nottingham Trent University/NTU School of Science and Technology/Transport Systems-M.Sc/ENGG40361 Indiv Ind Res Eng Proj/Assessment/"/>
    </mc:Choice>
  </mc:AlternateContent>
  <xr:revisionPtr revIDLastSave="821" documentId="8_{68ACDA97-48E4-4E2F-88E4-87EF9F10AA43}" xr6:coauthVersionLast="47" xr6:coauthVersionMax="47" xr10:uidLastSave="{1F54CA6E-C3C1-490B-81D5-CB040BA97EE0}"/>
  <bookViews>
    <workbookView xWindow="-108" yWindow="-108" windowWidth="23256" windowHeight="13176" activeTab="2" xr2:uid="{301C9724-4B9B-4814-A069-56A5332363A3}"/>
  </bookViews>
  <sheets>
    <sheet name="Input" sheetId="1" r:id="rId1"/>
    <sheet name="LCOF Calculation" sheetId="2" r:id="rId2"/>
    <sheet name="NPV_IRR_PAYBACK PERIOD" sheetId="4" r:id="rId3"/>
    <sheet name="Sensitivity Analysis" sheetId="5" r:id="rId4"/>
    <sheet name="Comparison 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4" l="1"/>
  <c r="B31" i="4"/>
  <c r="C33" i="4"/>
  <c r="B10" i="4"/>
  <c r="C10" i="4"/>
  <c r="C28" i="2"/>
  <c r="C5" i="4"/>
  <c r="C5" i="6" s="1"/>
  <c r="B5" i="4"/>
  <c r="B5" i="6" s="1"/>
  <c r="C33" i="2"/>
  <c r="B33" i="2"/>
  <c r="C23" i="2"/>
  <c r="C29" i="2" s="1"/>
  <c r="C18" i="2"/>
  <c r="C8" i="4" s="1"/>
  <c r="B18" i="2"/>
  <c r="B8" i="4" s="1"/>
  <c r="C21" i="2"/>
  <c r="C22" i="2" s="1"/>
  <c r="C6" i="4" s="1"/>
  <c r="B21" i="2"/>
  <c r="B22" i="2" s="1"/>
  <c r="B6" i="4" l="1"/>
  <c r="B28" i="2"/>
  <c r="C19" i="2"/>
  <c r="C30" i="2" s="1"/>
  <c r="C7" i="4"/>
  <c r="C6" i="6" s="1"/>
  <c r="B19" i="2"/>
  <c r="B30" i="2" s="1"/>
  <c r="B23" i="2"/>
  <c r="B24" i="2"/>
  <c r="C11" i="4" l="1"/>
  <c r="C24" i="4"/>
  <c r="C18" i="4"/>
  <c r="C12" i="4"/>
  <c r="B29" i="2"/>
  <c r="B7" i="4"/>
  <c r="C13" i="4"/>
  <c r="C21" i="4"/>
  <c r="C22" i="4"/>
  <c r="C19" i="4"/>
  <c r="C16" i="4"/>
  <c r="B25" i="2"/>
  <c r="B32" i="2" s="1"/>
  <c r="B4" i="6"/>
  <c r="B31" i="2"/>
  <c r="C26" i="4"/>
  <c r="C14" i="4"/>
  <c r="C27" i="4"/>
  <c r="C17" i="4"/>
  <c r="C15" i="4"/>
  <c r="C28" i="4"/>
  <c r="C24" i="2"/>
  <c r="C25" i="4"/>
  <c r="C29" i="4"/>
  <c r="C30" i="4"/>
  <c r="C23" i="4"/>
  <c r="C20" i="4"/>
  <c r="C31" i="4"/>
  <c r="C25" i="2"/>
  <c r="C32" i="2" s="1"/>
  <c r="B6" i="6" l="1"/>
  <c r="B28" i="4"/>
  <c r="B12" i="4"/>
  <c r="B15" i="4"/>
  <c r="B14" i="4"/>
  <c r="B26" i="4"/>
  <c r="B20" i="4"/>
  <c r="B23" i="4"/>
  <c r="B25" i="4"/>
  <c r="B21" i="4"/>
  <c r="B19" i="4"/>
  <c r="B22" i="4"/>
  <c r="B13" i="4"/>
  <c r="B24" i="4"/>
  <c r="B27" i="4"/>
  <c r="B11" i="4"/>
  <c r="B29" i="4"/>
  <c r="B18" i="4"/>
  <c r="B30" i="4"/>
  <c r="B16" i="4"/>
  <c r="B17" i="4"/>
  <c r="C4" i="6"/>
  <c r="C31" i="2"/>
  <c r="C3" i="6"/>
  <c r="C2" i="6"/>
  <c r="B33" i="4" l="1"/>
  <c r="B32" i="4"/>
  <c r="B3" i="6" s="1"/>
  <c r="B2" i="6"/>
</calcChain>
</file>

<file path=xl/sharedStrings.xml><?xml version="1.0" encoding="utf-8"?>
<sst xmlns="http://schemas.openxmlformats.org/spreadsheetml/2006/main" count="217" uniqueCount="154">
  <si>
    <t>Category</t>
  </si>
  <si>
    <t>Parameter</t>
  </si>
  <si>
    <t>WCO Biodiesel Value (€)</t>
  </si>
  <si>
    <t>PtL Fuels Value (€)</t>
  </si>
  <si>
    <t>Unit</t>
  </si>
  <si>
    <t>Source</t>
  </si>
  <si>
    <t>General Assumptions</t>
  </si>
  <si>
    <t>Plant Lifetime</t>
  </si>
  <si>
    <t>years</t>
  </si>
  <si>
    <t>TEA standard</t>
  </si>
  <si>
    <t>Discount Rate</t>
  </si>
  <si>
    <t>%</t>
  </si>
  <si>
    <t>Isaacs et al. (2021)</t>
  </si>
  <si>
    <t>Operating Hours</t>
  </si>
  <si>
    <t>hours/year</t>
  </si>
  <si>
    <t>Hambrey (2017)</t>
  </si>
  <si>
    <t>Fuel Properties</t>
  </si>
  <si>
    <t>Energy Content</t>
  </si>
  <si>
    <t>MJ/L</t>
  </si>
  <si>
    <t>Production Scale</t>
  </si>
  <si>
    <t>Production Capacity</t>
  </si>
  <si>
    <t>tons/year</t>
  </si>
  <si>
    <t>Al-Sakkari et al. (2020), Rojas-Michaga et al. (2023)</t>
  </si>
  <si>
    <t>Cost Parameters</t>
  </si>
  <si>
    <t>CAPEX</t>
  </si>
  <si>
    <t>€3.97M</t>
  </si>
  <si>
    <t>€ Million</t>
  </si>
  <si>
    <t>OPEX</t>
  </si>
  <si>
    <t>€0.736/L</t>
  </si>
  <si>
    <t>€3.42/L</t>
  </si>
  <si>
    <t>€/L</t>
  </si>
  <si>
    <t>Feedstock &amp; Energy</t>
  </si>
  <si>
    <t>WCO Feedstock Cost</t>
  </si>
  <si>
    <t>N/A</t>
  </si>
  <si>
    <t>€/ton</t>
  </si>
  <si>
    <t>Electricity Cost</t>
  </si>
  <si>
    <t>€/kWh</t>
  </si>
  <si>
    <t>Herz et al. (2021)</t>
  </si>
  <si>
    <t>Hydrogen Cost</t>
  </si>
  <si>
    <t>€3.64/kg</t>
  </si>
  <si>
    <t>€/kg</t>
  </si>
  <si>
    <t>By-product Revenues</t>
  </si>
  <si>
    <t>Glycerol Credit (WCO)</t>
  </si>
  <si>
    <t>OPEX (€/L)</t>
  </si>
  <si>
    <t>CRF (Capital Recovery Factor)</t>
  </si>
  <si>
    <t>Column A</t>
  </si>
  <si>
    <t>Column B (WCO Biodiesel)</t>
  </si>
  <si>
    <t>Column C (PtL Fuels)</t>
  </si>
  <si>
    <t>General Inputs</t>
  </si>
  <si>
    <t>Years</t>
  </si>
  <si>
    <t>CAPEX &amp; OPEX</t>
  </si>
  <si>
    <t>CAPEX (€M)</t>
  </si>
  <si>
    <t>By-Product Revenues</t>
  </si>
  <si>
    <t>Glycerol Credit</t>
  </si>
  <si>
    <t>Annual Fuel Output</t>
  </si>
  <si>
    <t>Fuel Output (L/year)</t>
  </si>
  <si>
    <t>Annualized CAPEX Calculation</t>
  </si>
  <si>
    <t>Annualized CAPEX (€M/year)</t>
  </si>
  <si>
    <t>Total Annual OPEX (€M/year)</t>
  </si>
  <si>
    <t>LCOF Calculation (€ per MJ)</t>
  </si>
  <si>
    <t>LCOF Calculation (€ per L)</t>
  </si>
  <si>
    <t>Environmental Data</t>
  </si>
  <si>
    <t>CO₂ Emissions</t>
  </si>
  <si>
    <t>gCO₂e/MJ</t>
  </si>
  <si>
    <t>Energy Use</t>
  </si>
  <si>
    <t>MJ</t>
  </si>
  <si>
    <t>OpenLCA LCA report</t>
  </si>
  <si>
    <t>Summary of LCOF</t>
  </si>
  <si>
    <t>€ Million/year</t>
  </si>
  <si>
    <t>Annual OPEX (€M/year)</t>
  </si>
  <si>
    <t>Annual Revenue (€M/year)</t>
  </si>
  <si>
    <t>Year 1</t>
  </si>
  <si>
    <t>Year 2</t>
  </si>
  <si>
    <t>Year 20</t>
  </si>
  <si>
    <t>Payback Period (Years)</t>
  </si>
  <si>
    <t>Hsu et al. (2021), Rojas-Michaga et al. (2023)</t>
  </si>
  <si>
    <t xml:space="preserve"> Rojas-Michaga et al. (2023)</t>
  </si>
  <si>
    <t>Rincón et al., 2014,  Rojas-Michaga et al. (2023)</t>
  </si>
  <si>
    <t>€864/ton</t>
  </si>
  <si>
    <t>Karmee et al. (2015),  Chrysikou et al. (2019)</t>
  </si>
  <si>
    <t>€0.051/kWh</t>
  </si>
  <si>
    <t>Hsu et al. (2021)​</t>
  </si>
  <si>
    <t>Annualized Fuel Output (MJ/year)</t>
  </si>
  <si>
    <t>Annualized CAPEX (€ Million/year)</t>
  </si>
  <si>
    <t>OPEX (€ Million/year)</t>
  </si>
  <si>
    <t>Fuel Output (MJ/year)</t>
  </si>
  <si>
    <t>LCOF (€/MJ)</t>
  </si>
  <si>
    <t>LCOF (€/L)</t>
  </si>
  <si>
    <t>CO₂ Savings per MJ (gCO₂e/MJ)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</si>
  <si>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</si>
  <si>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</si>
  <si>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</si>
  <si>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</si>
  <si>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</si>
  <si>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</si>
  <si>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</si>
  <si>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</si>
  <si>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</si>
  <si>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</si>
  <si>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</si>
  <si>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</si>
  <si>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</si>
  <si>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</si>
  <si>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</si>
  <si>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</si>
  <si>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</si>
  <si>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NPV (€M)</t>
  </si>
  <si>
    <t>Yearly Cash Flow (Revenue - OPEX - Annualized CAPEX)</t>
  </si>
  <si>
    <t>Units</t>
  </si>
  <si>
    <t>PtL Fuels</t>
  </si>
  <si>
    <t>WCO Biodiesel</t>
  </si>
  <si>
    <t>Year 0</t>
  </si>
  <si>
    <t>Scenario</t>
  </si>
  <si>
    <t>MIRR (%)</t>
  </si>
  <si>
    <t>Base Case (Current Model)</t>
  </si>
  <si>
    <t>MIRR WCO (%)</t>
  </si>
  <si>
    <t>LCOF WCO (€/MJ)</t>
  </si>
  <si>
    <t>Fuel Price PtL (€/L)</t>
  </si>
  <si>
    <t>MIRR PtL (%)</t>
  </si>
  <si>
    <t>LCOF PtL (€/MJ)</t>
  </si>
  <si>
    <t>PtL Fuel</t>
  </si>
  <si>
    <t>Explanation</t>
  </si>
  <si>
    <t>WCO is profitable, PtL is not (base case).</t>
  </si>
  <si>
    <t>WCO has high returns, PtL is risky.</t>
  </si>
  <si>
    <t>WCO is cost-effective, PtL is expensive.</t>
  </si>
  <si>
    <t>PtL has extremely high capital costs.</t>
  </si>
  <si>
    <t>OPEX (€M/yr)</t>
  </si>
  <si>
    <t>WCO is much cheaper to operate.</t>
  </si>
  <si>
    <t>Breakeven Fuel Price (€/L)</t>
  </si>
  <si>
    <t>PtL needs very high fuel prices to break even.</t>
  </si>
  <si>
    <t>Sensitivity Findings</t>
  </si>
  <si>
    <t>Feedstock cost &amp; glycerol credit impact most.</t>
  </si>
  <si>
    <t>CAPEX dominates cost sensitivity.</t>
  </si>
  <si>
    <t>WCO is stable, PtL is volatile.</t>
  </si>
  <si>
    <t xml:space="preserve"> N/A</t>
  </si>
  <si>
    <t>&gt;6.50 €/L</t>
  </si>
  <si>
    <t>€-0.06/L</t>
  </si>
  <si>
    <t>€210M</t>
  </si>
  <si>
    <t>CAPEX PtL (M€)</t>
  </si>
  <si>
    <t>OPEX PtL (M€/yr)</t>
  </si>
  <si>
    <t>Carbon Credit (€/tCO₂)</t>
  </si>
  <si>
    <t>NPV PtL (M€)</t>
  </si>
  <si>
    <t>NPV WCO (M€)</t>
  </si>
  <si>
    <t>Scenario 1: CAPEX –30%</t>
  </si>
  <si>
    <t>Scenario 2: CAPEX –50%</t>
  </si>
  <si>
    <t>Scenario 3: OPEX –20%</t>
  </si>
  <si>
    <t>Scenario 4: Carbon Credits</t>
  </si>
  <si>
    <t>–</t>
  </si>
  <si>
    <t>Scenario 5: Fuel Price +30%</t>
  </si>
  <si>
    <t>Scenario 6: Break‑even Carbon Price</t>
  </si>
  <si>
    <t>Scenario 7: Feedstock Cost -20%</t>
  </si>
  <si>
    <t>Scenario 8: Feedstock Cost +20%</t>
  </si>
  <si>
    <t>Scenario 9: Glycerol Credit -20%</t>
  </si>
  <si>
    <t>Scenario 10: Glycerol Credit +20%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</si>
</sst>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0.0000"/>
    <numFmt numFmtId="166" formatCode="#,##0,,\ &quot;M&quot;"/>
    <numFmt numFmtId="167" formatCode="#,##0.0,,\ &quot;M&quot;"/>
    <numFmt numFmtId="168" formatCode="#,##0.00,,\ &quot;M&quot;"/>
    <numFmt numFmtId="169" formatCode="0.0%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7" fontId="1" fillId="0" borderId="0" xfId="0" applyNumberFormat="1" applyFont="1" applyAlignment="1">
      <alignment vertical="center" wrapText="1"/>
    </xf>
    <xf numFmtId="167" fontId="0" fillId="0" borderId="0" xfId="0" applyNumberFormat="1"/>
    <xf numFmtId="168" fontId="1" fillId="0" borderId="0" xfId="0" applyNumberFormat="1" applyFont="1" applyAlignment="1">
      <alignment vertical="center" wrapText="1"/>
    </xf>
    <xf numFmtId="168" fontId="0" fillId="0" borderId="0" xfId="0" applyNumberFormat="1"/>
    <xf numFmtId="167" fontId="0" fillId="0" borderId="0" xfId="1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1" fillId="2" borderId="1" xfId="0" applyFont="1" applyFill="1" applyBorder="1"/>
    <xf numFmtId="4" fontId="0" fillId="0" borderId="0" xfId="0" applyNumberFormat="1"/>
    <xf numFmtId="0" fontId="1" fillId="0" borderId="0" xfId="0" applyFont="1"/>
    <xf numFmtId="168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8" fontId="1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vertical="top" wrapText="1"/>
    </xf>
  </cellXfs>
  <cellStyles count="2">
    <cellStyle name="Comma" xfId="1" builtinId="3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F383B-2E24-40E6-A931-2B46C0E5E917}" name="Table1" displayName="Table1" ref="A1:F14" totalsRowShown="0" headerRowDxfId="20">
  <autoFilter ref="A1:F14" xr:uid="{190F383B-2E24-40E6-A931-2B46C0E5E917}"/>
  <tableColumns count="6">
    <tableColumn id="1" xr3:uid="{968F3FDF-974B-448F-9D75-4DC25ACA2E7F}" name="Category" dataDxfId="19"/>
    <tableColumn id="2" xr3:uid="{BF72C223-FB64-403C-B00E-D6ED2A5ADA31}" name="Parameter" dataDxfId="18"/>
    <tableColumn id="3" xr3:uid="{5E41484B-F515-4F9B-9F7C-31B58006303F}" name="WCO Biodiesel Value (€)" dataDxfId="17"/>
    <tableColumn id="4" xr3:uid="{5C86FD09-98C5-4B99-A20D-90D1A5A53D83}" name="PtL Fuels Value (€)" dataDxfId="16"/>
    <tableColumn id="5" xr3:uid="{2C18FECD-3E82-4924-9FFE-A6BD4E7F6A08}" name="Unit" dataDxfId="15"/>
    <tableColumn id="6" xr3:uid="{7A57A81E-059A-4BB6-8BF5-01C3F74AE3C3}" name="Source" dataDxfId="1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39ACC-C3CF-4742-BFD1-5F74F56BE638}" name="Table3" displayName="Table3" ref="A1:C33" totalsRowShown="0">
  <autoFilter ref="A1:C33" xr:uid="{42239ACC-C3CF-4742-BFD1-5F74F56BE638}"/>
  <tableColumns count="3">
    <tableColumn id="1" xr3:uid="{872FD2A8-5B68-4123-93D9-E15C8C111DCE}" name="Column A" dataDxfId="13"/>
    <tableColumn id="2" xr3:uid="{717A91AE-1F87-44CD-8B08-6B75172BC8EC}" name="Column B (WCO Biodiesel)"/>
    <tableColumn id="3" xr3:uid="{6F648A1A-4BBF-4B62-9249-72958DF93622}" name="Column C (PtL Fuels)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417EA3-AF2F-4DB9-93D2-08B439FC3739}" name="Table7" displayName="Table7" ref="A1:K12" totalsRowShown="0" headerRowDxfId="12" dataDxfId="11">
  <autoFilter ref="A1:K12" xr:uid="{1B417EA3-AF2F-4DB9-93D2-08B439FC3739}"/>
  <tableColumns count="11">
    <tableColumn id="1" xr3:uid="{9469D1C0-87AE-458C-98EE-FD64C0EEA7AF}" name="Scenario" dataDxfId="10"/>
    <tableColumn id="2" xr3:uid="{AE4D8693-A6B8-4770-8913-ACAB35963F5E}" name="CAPEX PtL (M€)" dataDxfId="9"/>
    <tableColumn id="3" xr3:uid="{FEE16412-FCC5-465F-9191-CA92B20A469F}" name="OPEX PtL (M€/yr)" dataDxfId="8"/>
    <tableColumn id="4" xr3:uid="{9F512568-73A2-4A9C-836C-1AF7DD6481DE}" name="Carbon Credit (€/tCO₂)" dataDxfId="7"/>
    <tableColumn id="5" xr3:uid="{BCA3EA14-986A-4E5D-9DCB-32250B46E09E}" name="Fuel Price PtL (€/L)" dataDxfId="6"/>
    <tableColumn id="6" xr3:uid="{9FB51612-7D58-4A27-9A44-24DCD2024AFE}" name="NPV PtL (M€)" dataDxfId="5"/>
    <tableColumn id="7" xr3:uid="{3986086F-FA52-479E-9AE8-7EA639FB0EE0}" name="MIRR PtL (%)" dataDxfId="4"/>
    <tableColumn id="8" xr3:uid="{A1CD2832-ABE3-4D8A-9A6D-3EB5DD96F023}" name="LCOF PtL (€/MJ)" dataDxfId="3"/>
    <tableColumn id="9" xr3:uid="{7D31F1C9-BE87-4F5B-A36D-2AB83E530AA8}" name="NPV WCO (M€)" dataDxfId="2"/>
    <tableColumn id="10" xr3:uid="{6A763650-BB99-43E9-AE4C-5632D6AB0325}" name="MIRR WCO (%)" dataDxfId="1"/>
    <tableColumn id="11" xr3:uid="{339E468E-E861-49E6-8F25-986509F5733A}" name="LCOF WCO (€/MJ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27FA-E4C1-48C0-880C-A079D8FAA961}">
  <dimension ref="A1:F15"/>
  <sheetViews>
    <sheetView workbookViewId="0">
      <selection activeCell="A23" sqref="A23"/>
    </sheetView>
  </sheetViews>
  <sheetFormatPr defaultRowHeight="14.4"/>
  <cols>
    <col min="1" max="1" width="22.44140625" customWidth="1"/>
    <col min="2" max="2" width="19.88671875" customWidth="1"/>
    <col min="3" max="3" width="22.88671875" customWidth="1"/>
    <col min="4" max="4" width="18" customWidth="1"/>
    <col min="5" max="5" width="13.44140625" customWidth="1"/>
    <col min="6" max="6" width="49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6</v>
      </c>
      <c r="B2" s="2" t="s">
        <v>7</v>
      </c>
      <c r="C2" s="7">
        <v>20</v>
      </c>
      <c r="D2" s="7">
        <v>20</v>
      </c>
      <c r="E2" s="7" t="s">
        <v>8</v>
      </c>
      <c r="F2" s="2" t="s">
        <v>9</v>
      </c>
    </row>
    <row r="3" spans="1:6">
      <c r="A3" s="2"/>
      <c r="B3" s="2" t="s">
        <v>10</v>
      </c>
      <c r="C3" s="7">
        <v>8</v>
      </c>
      <c r="D3" s="7">
        <v>8</v>
      </c>
      <c r="E3" s="7" t="s">
        <v>11</v>
      </c>
      <c r="F3" s="2" t="s">
        <v>76</v>
      </c>
    </row>
    <row r="4" spans="1:6">
      <c r="A4" s="2"/>
      <c r="B4" s="2" t="s">
        <v>13</v>
      </c>
      <c r="C4" s="7">
        <v>8000</v>
      </c>
      <c r="D4" s="7">
        <v>8000</v>
      </c>
      <c r="E4" s="7" t="s">
        <v>14</v>
      </c>
      <c r="F4" s="2" t="s">
        <v>15</v>
      </c>
    </row>
    <row r="5" spans="1:6">
      <c r="A5" s="3" t="s">
        <v>16</v>
      </c>
      <c r="B5" s="2" t="s">
        <v>17</v>
      </c>
      <c r="C5" s="7">
        <v>32.74</v>
      </c>
      <c r="D5" s="8">
        <v>33.17</v>
      </c>
      <c r="E5" s="7" t="s">
        <v>18</v>
      </c>
      <c r="F5" s="13" t="s">
        <v>77</v>
      </c>
    </row>
    <row r="6" spans="1:6">
      <c r="A6" s="3" t="s">
        <v>19</v>
      </c>
      <c r="B6" s="2" t="s">
        <v>20</v>
      </c>
      <c r="C6" s="7">
        <v>36500</v>
      </c>
      <c r="D6" s="7">
        <v>21900</v>
      </c>
      <c r="E6" s="7" t="s">
        <v>21</v>
      </c>
      <c r="F6" s="2" t="s">
        <v>75</v>
      </c>
    </row>
    <row r="7" spans="1:6">
      <c r="A7" s="3" t="s">
        <v>23</v>
      </c>
      <c r="B7" s="2" t="s">
        <v>24</v>
      </c>
      <c r="C7" s="1" t="s">
        <v>25</v>
      </c>
      <c r="D7" s="1" t="s">
        <v>137</v>
      </c>
      <c r="E7" s="7" t="s">
        <v>26</v>
      </c>
      <c r="F7" s="2" t="s">
        <v>22</v>
      </c>
    </row>
    <row r="8" spans="1:6">
      <c r="A8" s="2"/>
      <c r="B8" s="2" t="s">
        <v>27</v>
      </c>
      <c r="C8" s="1" t="s">
        <v>28</v>
      </c>
      <c r="D8" s="1" t="s">
        <v>29</v>
      </c>
      <c r="E8" s="7" t="s">
        <v>30</v>
      </c>
      <c r="F8" s="2" t="s">
        <v>22</v>
      </c>
    </row>
    <row r="9" spans="1:6">
      <c r="A9" s="3" t="s">
        <v>31</v>
      </c>
      <c r="B9" s="2" t="s">
        <v>32</v>
      </c>
      <c r="C9" s="1" t="s">
        <v>78</v>
      </c>
      <c r="D9" s="7" t="s">
        <v>33</v>
      </c>
      <c r="E9" s="7" t="s">
        <v>34</v>
      </c>
      <c r="F9" s="2" t="s">
        <v>79</v>
      </c>
    </row>
    <row r="10" spans="1:6">
      <c r="A10" s="2"/>
      <c r="B10" s="2" t="s">
        <v>35</v>
      </c>
      <c r="C10" s="7" t="s">
        <v>33</v>
      </c>
      <c r="D10" s="1" t="s">
        <v>80</v>
      </c>
      <c r="E10" s="7" t="s">
        <v>36</v>
      </c>
      <c r="F10" s="2" t="s">
        <v>37</v>
      </c>
    </row>
    <row r="11" spans="1:6">
      <c r="A11" s="2"/>
      <c r="B11" s="2" t="s">
        <v>38</v>
      </c>
      <c r="C11" s="7" t="s">
        <v>33</v>
      </c>
      <c r="D11" s="1" t="s">
        <v>39</v>
      </c>
      <c r="E11" s="7" t="s">
        <v>40</v>
      </c>
      <c r="F11" s="2" t="s">
        <v>12</v>
      </c>
    </row>
    <row r="12" spans="1:6">
      <c r="A12" s="3" t="s">
        <v>41</v>
      </c>
      <c r="B12" s="13" t="s">
        <v>42</v>
      </c>
      <c r="C12" s="1" t="s">
        <v>136</v>
      </c>
      <c r="D12" s="7" t="s">
        <v>33</v>
      </c>
      <c r="E12" s="7" t="s">
        <v>30</v>
      </c>
      <c r="F12" t="s">
        <v>81</v>
      </c>
    </row>
    <row r="13" spans="1:6">
      <c r="A13" s="3" t="s">
        <v>61</v>
      </c>
      <c r="B13" s="2" t="s">
        <v>62</v>
      </c>
      <c r="C13" s="1">
        <v>213.23</v>
      </c>
      <c r="D13" s="1">
        <v>252.68</v>
      </c>
      <c r="E13" s="7" t="s">
        <v>63</v>
      </c>
      <c r="F13" s="2" t="s">
        <v>66</v>
      </c>
    </row>
    <row r="14" spans="1:6">
      <c r="A14" s="2"/>
      <c r="B14" s="2" t="s">
        <v>64</v>
      </c>
      <c r="C14" s="1">
        <v>3028.61</v>
      </c>
      <c r="D14" s="1">
        <v>3570.72</v>
      </c>
      <c r="E14" s="7" t="s">
        <v>65</v>
      </c>
      <c r="F14" s="2" t="s">
        <v>66</v>
      </c>
    </row>
    <row r="15" spans="1:6">
      <c r="A15" s="2"/>
      <c r="B15" s="2"/>
      <c r="C15" s="1"/>
      <c r="D15" s="1"/>
      <c r="E15" s="7"/>
      <c r="F1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3BE6-D162-435D-9392-A949E0C1EC07}">
  <dimension ref="A1:E47"/>
  <sheetViews>
    <sheetView workbookViewId="0">
      <selection activeCell="E29" sqref="E29"/>
    </sheetView>
  </sheetViews>
  <sheetFormatPr defaultRowHeight="14.4"/>
  <cols>
    <col min="1" max="1" width="28.33203125" customWidth="1"/>
    <col min="2" max="2" width="24.77734375" style="12" customWidth="1"/>
    <col min="3" max="3" width="23.109375" style="12" customWidth="1"/>
    <col min="4" max="4" width="21.6640625" customWidth="1"/>
    <col min="5" max="5" width="19" customWidth="1"/>
  </cols>
  <sheetData>
    <row r="1" spans="1:4">
      <c r="A1" s="1" t="s">
        <v>45</v>
      </c>
      <c r="B1" s="10" t="s">
        <v>46</v>
      </c>
      <c r="C1" s="10" t="s">
        <v>47</v>
      </c>
      <c r="D1" s="1"/>
    </row>
    <row r="2" spans="1:4">
      <c r="A2" s="3" t="s">
        <v>48</v>
      </c>
      <c r="B2" s="8"/>
      <c r="C2" s="8"/>
      <c r="D2" s="3"/>
    </row>
    <row r="3" spans="1:4">
      <c r="A3" s="2" t="s">
        <v>7</v>
      </c>
      <c r="B3" s="8">
        <v>20</v>
      </c>
      <c r="C3" s="8">
        <v>20</v>
      </c>
      <c r="D3" s="2"/>
    </row>
    <row r="4" spans="1:4">
      <c r="A4" s="2" t="s">
        <v>10</v>
      </c>
      <c r="B4" s="8">
        <v>0.08</v>
      </c>
      <c r="C4" s="8">
        <v>0.08</v>
      </c>
      <c r="D4" s="2"/>
    </row>
    <row r="5" spans="1:4">
      <c r="A5" s="2" t="s">
        <v>13</v>
      </c>
      <c r="B5" s="8">
        <v>8000</v>
      </c>
      <c r="C5" s="8">
        <v>8000</v>
      </c>
      <c r="D5" s="2"/>
    </row>
    <row r="6" spans="1:4">
      <c r="A6" s="3" t="s">
        <v>16</v>
      </c>
      <c r="B6" s="8"/>
      <c r="C6" s="8"/>
      <c r="D6" s="2"/>
    </row>
    <row r="7" spans="1:4">
      <c r="A7" s="2" t="s">
        <v>17</v>
      </c>
      <c r="B7" s="8">
        <v>32.74</v>
      </c>
      <c r="C7" s="8">
        <v>33.17</v>
      </c>
      <c r="D7" s="2"/>
    </row>
    <row r="8" spans="1:4">
      <c r="A8" s="2" t="s">
        <v>20</v>
      </c>
      <c r="B8" s="8">
        <v>36500</v>
      </c>
      <c r="C8" s="8">
        <v>21900</v>
      </c>
      <c r="D8" s="2"/>
    </row>
    <row r="9" spans="1:4">
      <c r="A9" s="3" t="s">
        <v>50</v>
      </c>
      <c r="B9" s="8"/>
      <c r="C9" s="8"/>
      <c r="D9" s="2"/>
    </row>
    <row r="10" spans="1:4" s="18" customFormat="1">
      <c r="A10" s="16" t="s">
        <v>51</v>
      </c>
      <c r="B10" s="20">
        <v>3970000</v>
      </c>
      <c r="C10" s="17">
        <v>210000000</v>
      </c>
      <c r="D10" s="16"/>
    </row>
    <row r="11" spans="1:4">
      <c r="A11" s="2" t="s">
        <v>43</v>
      </c>
      <c r="B11" s="14">
        <v>0.73599999999999999</v>
      </c>
      <c r="C11" s="8">
        <v>3.42</v>
      </c>
      <c r="D11" s="4"/>
    </row>
    <row r="12" spans="1:4" s="6" customFormat="1">
      <c r="A12" s="2" t="s">
        <v>32</v>
      </c>
      <c r="B12" s="8">
        <v>864</v>
      </c>
      <c r="C12" s="8" t="s">
        <v>33</v>
      </c>
      <c r="D12" s="5"/>
    </row>
    <row r="13" spans="1:4">
      <c r="A13" s="2" t="s">
        <v>35</v>
      </c>
      <c r="B13" s="8" t="s">
        <v>33</v>
      </c>
      <c r="C13" s="15">
        <v>5.0999999999999997E-2</v>
      </c>
      <c r="D13" s="2"/>
    </row>
    <row r="14" spans="1:4">
      <c r="A14" s="2" t="s">
        <v>38</v>
      </c>
      <c r="B14" s="8" t="s">
        <v>33</v>
      </c>
      <c r="C14" s="8">
        <v>3.64</v>
      </c>
      <c r="D14" s="4"/>
    </row>
    <row r="15" spans="1:4">
      <c r="A15" s="3" t="s">
        <v>52</v>
      </c>
      <c r="B15" s="8"/>
      <c r="C15" s="8"/>
    </row>
    <row r="16" spans="1:4">
      <c r="A16" s="2" t="s">
        <v>53</v>
      </c>
      <c r="B16" s="8">
        <v>6.0999999999999999E-2</v>
      </c>
      <c r="C16" s="8" t="s">
        <v>33</v>
      </c>
    </row>
    <row r="17" spans="1:3">
      <c r="A17" s="3" t="s">
        <v>54</v>
      </c>
      <c r="B17" s="8"/>
      <c r="C17" s="8"/>
    </row>
    <row r="18" spans="1:3">
      <c r="A18" s="2" t="s">
        <v>55</v>
      </c>
      <c r="B18" s="9">
        <f>B8 * 1000 * 1000 / 880</f>
        <v>41477272.727272727</v>
      </c>
      <c r="C18" s="9">
        <f>C8 * 1000 * 1000 / 775</f>
        <v>28258064.516129032</v>
      </c>
    </row>
    <row r="19" spans="1:3" ht="28.8">
      <c r="A19" s="3" t="s">
        <v>82</v>
      </c>
      <c r="B19" s="9">
        <f>B18*B7</f>
        <v>1357965909.0909092</v>
      </c>
      <c r="C19" s="9">
        <f>C18*C7</f>
        <v>937320000</v>
      </c>
    </row>
    <row r="20" spans="1:3">
      <c r="A20" s="3" t="s">
        <v>56</v>
      </c>
      <c r="B20" s="8"/>
      <c r="C20" s="8"/>
    </row>
    <row r="21" spans="1:3">
      <c r="A21" s="2" t="s">
        <v>44</v>
      </c>
      <c r="B21" s="8">
        <f>(B4*(1+B4)^B3)/((1+B4)^B3-1)</f>
        <v>0.10185220882315059</v>
      </c>
      <c r="C21" s="8">
        <f>(C4*(1+C4)^C3)/((1+C4)^C3-1)</f>
        <v>0.10185220882315059</v>
      </c>
    </row>
    <row r="22" spans="1:3" s="24" customFormat="1">
      <c r="A22" s="23" t="s">
        <v>57</v>
      </c>
      <c r="B22" s="20">
        <f>B10 * B21</f>
        <v>404353.26902790787</v>
      </c>
      <c r="C22" s="20">
        <f>C10 * C21</f>
        <v>21388963.852861624</v>
      </c>
    </row>
    <row r="23" spans="1:3" s="22" customFormat="1">
      <c r="A23" s="21" t="s">
        <v>58</v>
      </c>
      <c r="B23" s="19">
        <f>(B11 * B18) - (B16 * B18)</f>
        <v>27997159.09090909</v>
      </c>
      <c r="C23" s="25">
        <f>C11 * C18</f>
        <v>96642580.645161286</v>
      </c>
    </row>
    <row r="24" spans="1:3">
      <c r="A24" s="3" t="s">
        <v>59</v>
      </c>
      <c r="B24" s="14">
        <f>(B22 + B23) / B19</f>
        <v>2.0914746216972709E-2</v>
      </c>
      <c r="C24" s="14">
        <f>(C22 + C23) / C19</f>
        <v>0.1259244916336181</v>
      </c>
    </row>
    <row r="25" spans="1:3">
      <c r="A25" s="3" t="s">
        <v>60</v>
      </c>
      <c r="B25" s="8">
        <f>B24 * B7</f>
        <v>0.68474879114368647</v>
      </c>
      <c r="C25" s="8">
        <f>C24 * C7</f>
        <v>4.1769153874871128</v>
      </c>
    </row>
    <row r="26" spans="1:3">
      <c r="B26" s="11"/>
      <c r="C26" s="11"/>
    </row>
    <row r="27" spans="1:3">
      <c r="A27" s="1" t="s">
        <v>67</v>
      </c>
      <c r="B27" s="1"/>
      <c r="C27" s="1"/>
    </row>
    <row r="28" spans="1:3" ht="28.8">
      <c r="A28" s="3" t="s">
        <v>83</v>
      </c>
      <c r="B28" s="20">
        <f>B22</f>
        <v>404353.26902790787</v>
      </c>
      <c r="C28" s="20">
        <f>C22</f>
        <v>21388963.852861624</v>
      </c>
    </row>
    <row r="29" spans="1:3">
      <c r="A29" s="3" t="s">
        <v>84</v>
      </c>
      <c r="B29" s="19">
        <f>B23</f>
        <v>27997159.09090909</v>
      </c>
      <c r="C29" s="19">
        <f>C23</f>
        <v>96642580.645161286</v>
      </c>
    </row>
    <row r="30" spans="1:3">
      <c r="A30" s="3" t="s">
        <v>85</v>
      </c>
      <c r="B30" s="26">
        <f>B19</f>
        <v>1357965909.0909092</v>
      </c>
      <c r="C30" s="26">
        <f>C19</f>
        <v>937320000</v>
      </c>
    </row>
    <row r="31" spans="1:3">
      <c r="A31" s="3" t="s">
        <v>86</v>
      </c>
      <c r="B31" s="14">
        <f>B24</f>
        <v>2.0914746216972709E-2</v>
      </c>
      <c r="C31" s="14">
        <f>C24</f>
        <v>0.1259244916336181</v>
      </c>
    </row>
    <row r="32" spans="1:3">
      <c r="A32" s="3" t="s">
        <v>87</v>
      </c>
      <c r="B32" s="8">
        <f>B25</f>
        <v>0.68474879114368647</v>
      </c>
      <c r="C32" s="8">
        <f>C25</f>
        <v>4.1769153874871128</v>
      </c>
    </row>
    <row r="33" spans="1:5">
      <c r="A33" s="3" t="s">
        <v>88</v>
      </c>
      <c r="B33" s="7">
        <f>Input!C13</f>
        <v>213.23</v>
      </c>
      <c r="C33" s="7">
        <f>Input!D13</f>
        <v>252.68</v>
      </c>
    </row>
    <row r="34" spans="1:5">
      <c r="A34" s="3"/>
      <c r="B34" s="7"/>
      <c r="C34" s="7"/>
    </row>
    <row r="35" spans="1:5">
      <c r="A35" s="3"/>
      <c r="B35" s="7"/>
      <c r="C35" s="7"/>
    </row>
    <row r="36" spans="1:5">
      <c r="A36" s="1"/>
      <c r="B36" s="1"/>
      <c r="C36" s="1"/>
    </row>
    <row r="37" spans="1:5">
      <c r="A37" s="3"/>
    </row>
    <row r="38" spans="1:5" ht="28.8" customHeight="1">
      <c r="A38" s="1"/>
      <c r="B38" s="1"/>
      <c r="C38" s="1"/>
      <c r="D38" s="1"/>
      <c r="E38" s="1"/>
    </row>
    <row r="39" spans="1:5" ht="72" customHeight="1">
      <c r="A39" s="2"/>
      <c r="B39" s="2"/>
      <c r="C39" s="2"/>
      <c r="D39" s="2"/>
      <c r="E39" s="2"/>
    </row>
    <row r="40" spans="1:5" ht="57.6" customHeight="1">
      <c r="A40" s="2"/>
      <c r="B40" s="2"/>
      <c r="C40" s="2"/>
      <c r="D40" s="2"/>
      <c r="E40" s="2"/>
    </row>
    <row r="41" spans="1:5" ht="28.8" customHeight="1">
      <c r="A41" s="2"/>
      <c r="B41" s="2"/>
      <c r="C41" s="2"/>
      <c r="D41" s="2"/>
      <c r="E41" s="2"/>
    </row>
    <row r="42" spans="1:5">
      <c r="A42" s="3"/>
      <c r="B42" s="2"/>
      <c r="C42" s="2"/>
    </row>
    <row r="43" spans="1:5" ht="43.2" customHeight="1">
      <c r="A43" s="3"/>
      <c r="B43" s="2"/>
      <c r="C43" s="2"/>
    </row>
    <row r="44" spans="1:5">
      <c r="A44" s="3"/>
      <c r="B44" s="2"/>
      <c r="C44" s="2"/>
    </row>
    <row r="45" spans="1:5">
      <c r="A45" s="3"/>
      <c r="B45" s="2"/>
      <c r="C45" s="2"/>
    </row>
    <row r="46" spans="1:5">
      <c r="A46" s="3"/>
      <c r="B46" s="2"/>
      <c r="C46" s="2"/>
    </row>
    <row r="47" spans="1:5">
      <c r="A47" s="3"/>
      <c r="B47" s="2"/>
      <c r="C4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DE46-6DE2-40C8-BA17-5C7527846E39}">
  <dimension ref="A1:D33"/>
  <sheetViews>
    <sheetView tabSelected="1" topLeftCell="A13" workbookViewId="0">
      <selection activeCell="C32" sqref="C32"/>
    </sheetView>
  </sheetViews>
  <sheetFormatPr defaultRowHeight="14.4"/>
  <cols>
    <col min="1" max="1" width="40.6640625" customWidth="1"/>
    <col min="2" max="3" width="20.6640625" style="18" customWidth="1"/>
    <col min="4" max="4" width="15.6640625" customWidth="1"/>
  </cols>
  <sheetData>
    <row r="1" spans="1:4">
      <c r="A1" s="27" t="s">
        <v>1</v>
      </c>
      <c r="B1" s="27" t="s">
        <v>110</v>
      </c>
      <c r="C1" s="27" t="s">
        <v>109</v>
      </c>
      <c r="D1" s="27" t="s">
        <v>108</v>
      </c>
    </row>
    <row r="3" spans="1:4">
      <c r="A3" s="28" t="s">
        <v>7</v>
      </c>
      <c r="B3" s="28">
        <v>20</v>
      </c>
      <c r="C3" s="28">
        <v>20</v>
      </c>
      <c r="D3" s="28" t="s">
        <v>49</v>
      </c>
    </row>
    <row r="4" spans="1:4">
      <c r="A4" s="28" t="s">
        <v>10</v>
      </c>
      <c r="B4" s="28">
        <v>0.08</v>
      </c>
      <c r="C4" s="28">
        <v>0.08</v>
      </c>
      <c r="D4" s="28" t="s">
        <v>11</v>
      </c>
    </row>
    <row r="5" spans="1:4" s="24" customFormat="1">
      <c r="A5" s="24" t="s">
        <v>51</v>
      </c>
      <c r="B5" s="24">
        <f>'LCOF Calculation'!B10</f>
        <v>3970000</v>
      </c>
      <c r="C5" s="24">
        <f>'LCOF Calculation'!C10</f>
        <v>210000000</v>
      </c>
      <c r="D5" s="24" t="s">
        <v>26</v>
      </c>
    </row>
    <row r="6" spans="1:4" s="24" customFormat="1">
      <c r="A6" s="24" t="s">
        <v>57</v>
      </c>
      <c r="B6" s="24">
        <f>'LCOF Calculation'!B22</f>
        <v>404353.26902790787</v>
      </c>
      <c r="C6" s="24">
        <f>'LCOF Calculation'!C22</f>
        <v>21388963.852861624</v>
      </c>
      <c r="D6" s="24" t="s">
        <v>68</v>
      </c>
    </row>
    <row r="7" spans="1:4" s="24" customFormat="1">
      <c r="A7" s="24" t="s">
        <v>69</v>
      </c>
      <c r="B7" s="24">
        <f>'LCOF Calculation'!B23</f>
        <v>27997159.09090909</v>
      </c>
      <c r="C7" s="24">
        <f>'LCOF Calculation'!C23</f>
        <v>96642580.645161286</v>
      </c>
      <c r="D7" s="24" t="s">
        <v>68</v>
      </c>
    </row>
    <row r="8" spans="1:4" s="24" customFormat="1">
      <c r="A8" s="24" t="s">
        <v>70</v>
      </c>
      <c r="B8" s="24">
        <f>'LCOF Calculation'!B18 * 2</f>
        <v>82954545.454545453</v>
      </c>
      <c r="C8" s="24">
        <f>'LCOF Calculation'!C18 * 5</f>
        <v>141290322.58064514</v>
      </c>
      <c r="D8" s="24" t="s">
        <v>68</v>
      </c>
    </row>
    <row r="9" spans="1:4">
      <c r="A9" s="29" t="s">
        <v>107</v>
      </c>
    </row>
    <row r="10" spans="1:4">
      <c r="A10" t="s">
        <v>111</v>
      </c>
      <c r="B10" s="24">
        <f xml:space="preserve"> - 3970000</f>
        <v>-3970000</v>
      </c>
      <c r="C10" s="18">
        <f xml:space="preserve"> -210000000</f>
        <v>-210000000</v>
      </c>
      <c r="D10" s="24" t="s">
        <v>26</v>
      </c>
    </row>
    <row r="11" spans="1:4" s="24" customFormat="1">
      <c r="A11" s="24" t="s">
        <v>71</v>
      </c>
      <c r="B11" s="24">
        <f>B8 - B7</f>
        <v>54957386.36363636</v>
      </c>
      <c r="C11" s="24">
        <f>C8 * 1.05^0 - C7 * 1.05^0</f>
        <v>44647741.935483858</v>
      </c>
      <c r="D11" s="24" t="s">
        <v>26</v>
      </c>
    </row>
    <row r="12" spans="1:4" s="24" customFormat="1">
      <c r="A12" s="24" t="s">
        <v>72</v>
      </c>
      <c r="B12" s="24">
        <f>B8 - B7</f>
        <v>54957386.36363636</v>
      </c>
      <c r="C12" s="24">
        <f>C8 * 1.05^1 - C7 * 1.05^1</f>
        <v>46880129.032258049</v>
      </c>
      <c r="D12" s="24" t="s">
        <v>26</v>
      </c>
    </row>
    <row r="13" spans="1:4" s="24" customFormat="1">
      <c r="A13" s="24" t="s">
        <v>89</v>
      </c>
      <c r="B13" s="24">
        <f>B8 - B7</f>
        <v>54957386.36363636</v>
      </c>
      <c r="C13" s="24">
        <f>C8 * 1.05^2 - C7 * 1.05^2</f>
        <v>49224135.483870953</v>
      </c>
      <c r="D13" s="24" t="s">
        <v>26</v>
      </c>
    </row>
    <row r="14" spans="1:4" s="24" customFormat="1">
      <c r="A14" s="24" t="s">
        <v>90</v>
      </c>
      <c r="B14" s="24">
        <f>B8 - B7</f>
        <v>54957386.36363636</v>
      </c>
      <c r="C14" s="24">
        <f>C8 * 1.05^3 - C7 * 1.05^3</f>
        <v>51685342.258064523</v>
      </c>
      <c r="D14" s="24" t="s">
        <v>26</v>
      </c>
    </row>
    <row r="15" spans="1:4" s="24" customFormat="1">
      <c r="A15" s="24" t="s">
        <v>91</v>
      </c>
      <c r="B15" s="24">
        <f>B8 - B7</f>
        <v>54957386.36363636</v>
      </c>
      <c r="C15" s="24">
        <f>C8 * 1.05^4 - C7 * 1.05^4</f>
        <v>54269609.370967746</v>
      </c>
      <c r="D15" s="24" t="s">
        <v>26</v>
      </c>
    </row>
    <row r="16" spans="1:4" s="24" customFormat="1">
      <c r="A16" s="24" t="s">
        <v>92</v>
      </c>
      <c r="B16" s="24">
        <f>B8 - B7</f>
        <v>54957386.36363636</v>
      </c>
      <c r="C16" s="24">
        <f>C8 * 1.05^5 - C7 * 1.05^5</f>
        <v>56983089.839516103</v>
      </c>
      <c r="D16" s="24" t="s">
        <v>26</v>
      </c>
    </row>
    <row r="17" spans="1:4" s="24" customFormat="1">
      <c r="A17" s="24" t="s">
        <v>93</v>
      </c>
      <c r="B17" s="24">
        <f>B8 - B7</f>
        <v>54957386.36363636</v>
      </c>
      <c r="C17" s="24">
        <f>C8 * 1.05^6 - C7 * 1.05^6</f>
        <v>59832244.331491902</v>
      </c>
      <c r="D17" s="24" t="s">
        <v>26</v>
      </c>
    </row>
    <row r="18" spans="1:4" s="24" customFormat="1">
      <c r="A18" s="24" t="s">
        <v>94</v>
      </c>
      <c r="B18" s="24">
        <f>B8 - B7</f>
        <v>54957386.36363636</v>
      </c>
      <c r="C18" s="24">
        <f>C8 * 1.05^7 - C7 * 1.05^7</f>
        <v>62823856.548066527</v>
      </c>
      <c r="D18" s="24" t="s">
        <v>26</v>
      </c>
    </row>
    <row r="19" spans="1:4" s="24" customFormat="1">
      <c r="A19" s="24" t="s">
        <v>95</v>
      </c>
      <c r="B19" s="24">
        <f>B8 - B7</f>
        <v>54957386.36363636</v>
      </c>
      <c r="C19" s="24">
        <f>C8 * 1.05^8 - C7 * 1.05^8</f>
        <v>65965049.375469834</v>
      </c>
      <c r="D19" s="24" t="s">
        <v>26</v>
      </c>
    </row>
    <row r="20" spans="1:4" s="24" customFormat="1">
      <c r="A20" s="24" t="s">
        <v>96</v>
      </c>
      <c r="B20" s="24">
        <f>B8 - B7</f>
        <v>54957386.36363636</v>
      </c>
      <c r="C20" s="24">
        <f>C8 * 1.05^9 - C7 * 1.05^9</f>
        <v>69263301.844243318</v>
      </c>
      <c r="D20" s="24" t="s">
        <v>26</v>
      </c>
    </row>
    <row r="21" spans="1:4" s="24" customFormat="1">
      <c r="A21" s="24" t="s">
        <v>97</v>
      </c>
      <c r="B21" s="24">
        <f>B8 - B7</f>
        <v>54957386.36363636</v>
      </c>
      <c r="C21" s="24">
        <f>C8 * 1.05^10 - C7 * 1.05^10</f>
        <v>72726466.936455518</v>
      </c>
      <c r="D21" s="24" t="s">
        <v>26</v>
      </c>
    </row>
    <row r="22" spans="1:4" s="24" customFormat="1">
      <c r="A22" s="24" t="s">
        <v>98</v>
      </c>
      <c r="B22" s="24">
        <f>B8 - B7</f>
        <v>54957386.36363636</v>
      </c>
      <c r="C22" s="24">
        <f>C8 * 1.05^11 - C7 * 1.05^11</f>
        <v>76362790.283278286</v>
      </c>
      <c r="D22" s="24" t="s">
        <v>26</v>
      </c>
    </row>
    <row r="23" spans="1:4" s="24" customFormat="1">
      <c r="A23" s="24" t="s">
        <v>99</v>
      </c>
      <c r="B23" s="24">
        <f>B8 - B7</f>
        <v>54957386.36363636</v>
      </c>
      <c r="C23" s="24">
        <f>C8 * 1.05^12 - C7 * 1.05^12</f>
        <v>80180929.797442198</v>
      </c>
      <c r="D23" s="24" t="s">
        <v>26</v>
      </c>
    </row>
    <row r="24" spans="1:4" s="24" customFormat="1">
      <c r="A24" s="24" t="s">
        <v>100</v>
      </c>
      <c r="B24" s="24">
        <f>B8 - B7</f>
        <v>54957386.36363636</v>
      </c>
      <c r="C24" s="24">
        <f>C8 * 1.05^13 - C7 * 1.05^13</f>
        <v>84189976.287314296</v>
      </c>
      <c r="D24" s="24" t="s">
        <v>26</v>
      </c>
    </row>
    <row r="25" spans="1:4" s="24" customFormat="1">
      <c r="A25" s="24" t="s">
        <v>101</v>
      </c>
      <c r="B25" s="24">
        <f>B8 - B7</f>
        <v>54957386.36363636</v>
      </c>
      <c r="C25" s="24">
        <f>C8 * 1.05^14 - C7 * 1.05^14</f>
        <v>88399475.101679981</v>
      </c>
      <c r="D25" s="24" t="s">
        <v>26</v>
      </c>
    </row>
    <row r="26" spans="1:4" s="24" customFormat="1">
      <c r="A26" s="24" t="s">
        <v>102</v>
      </c>
      <c r="B26" s="24">
        <f>B8 - B7</f>
        <v>54957386.36363636</v>
      </c>
      <c r="C26" s="24">
        <f>C8 * 1.05^15 - C7 * 1.05^15</f>
        <v>92819448.856764019</v>
      </c>
      <c r="D26" s="24" t="s">
        <v>26</v>
      </c>
    </row>
    <row r="27" spans="1:4" s="24" customFormat="1">
      <c r="A27" s="24" t="s">
        <v>103</v>
      </c>
      <c r="B27" s="24">
        <f>B8 - B7</f>
        <v>54957386.36363636</v>
      </c>
      <c r="C27" s="24">
        <f>C8 * 1.05^16 - C7 * 1.05^16</f>
        <v>97460421.29960224</v>
      </c>
      <c r="D27" s="24" t="s">
        <v>26</v>
      </c>
    </row>
    <row r="28" spans="1:4" s="24" customFormat="1">
      <c r="A28" s="24" t="s">
        <v>104</v>
      </c>
      <c r="B28" s="24">
        <f>B8 - B7</f>
        <v>54957386.36363636</v>
      </c>
      <c r="C28" s="24">
        <f>C8 * 1.05^17 - C7 * 1.05^17</f>
        <v>102333442.36458236</v>
      </c>
      <c r="D28" s="24" t="s">
        <v>26</v>
      </c>
    </row>
    <row r="29" spans="1:4" s="24" customFormat="1">
      <c r="A29" s="24" t="s">
        <v>105</v>
      </c>
      <c r="B29" s="24">
        <f>B8 - B7</f>
        <v>54957386.36363636</v>
      </c>
      <c r="C29" s="24">
        <f>C8 * 1.05^18 - C7 * 1.05^18</f>
        <v>107450114.48281148</v>
      </c>
      <c r="D29" s="24" t="s">
        <v>26</v>
      </c>
    </row>
    <row r="30" spans="1:4" s="24" customFormat="1">
      <c r="A30" s="24" t="s">
        <v>73</v>
      </c>
      <c r="B30" s="24">
        <f>B8 - B7</f>
        <v>54957386.36363636</v>
      </c>
      <c r="C30" s="24">
        <f>C8 * 1.05^19 - C7 * 1.05^19</f>
        <v>112822620.20695204</v>
      </c>
      <c r="D30" s="24" t="s">
        <v>26</v>
      </c>
    </row>
    <row r="31" spans="1:4" s="24" customFormat="1">
      <c r="A31" s="30" t="s">
        <v>106</v>
      </c>
      <c r="B31" s="30">
        <f>NPV(B4,B10:B30) - B5</f>
        <v>491964926.33918989</v>
      </c>
      <c r="C31" s="30">
        <f>NPV(C4,C10:C30) - C5</f>
        <v>189122113.25469357</v>
      </c>
      <c r="D31" s="30" t="s">
        <v>26</v>
      </c>
    </row>
    <row r="32" spans="1:4">
      <c r="A32" s="29" t="s">
        <v>113</v>
      </c>
      <c r="B32" s="31">
        <f>MIRR(B10:B30, 8%, 8%)</f>
        <v>0.38066085289710028</v>
      </c>
      <c r="C32" s="31">
        <f>MIRR(C10:C30, 8%, 8%)</f>
        <v>0.14197724362830999</v>
      </c>
      <c r="D32" s="29" t="s">
        <v>11</v>
      </c>
    </row>
    <row r="33" spans="1:4">
      <c r="A33" s="29" t="s">
        <v>74</v>
      </c>
      <c r="B33" s="32">
        <f>B5 / (B11)</f>
        <v>7.2237787542000526E-2</v>
      </c>
      <c r="C33" s="32">
        <f>C5 / (C11)</f>
        <v>4.7034853476677663</v>
      </c>
      <c r="D33" s="29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C870-9FD6-4BBE-993F-36AB606A37BB}">
  <dimension ref="A1:K30"/>
  <sheetViews>
    <sheetView workbookViewId="0">
      <selection activeCell="B50" sqref="B50"/>
    </sheetView>
  </sheetViews>
  <sheetFormatPr defaultRowHeight="14.4"/>
  <cols>
    <col min="1" max="1" width="32.88671875" customWidth="1"/>
    <col min="2" max="2" width="15.5546875" style="24" customWidth="1"/>
    <col min="3" max="3" width="16.77734375" style="24" customWidth="1"/>
    <col min="4" max="4" width="21.6640625" customWidth="1"/>
    <col min="5" max="5" width="18.33203125" customWidth="1"/>
    <col min="6" max="6" width="13.5546875" style="24" customWidth="1"/>
    <col min="7" max="7" width="13.33203125" customWidth="1"/>
    <col min="8" max="8" width="15.77734375" style="35" customWidth="1"/>
    <col min="9" max="9" width="15.109375" style="24" customWidth="1"/>
    <col min="10" max="10" width="14.88671875" customWidth="1"/>
    <col min="11" max="11" width="17.33203125" style="35" customWidth="1"/>
    <col min="12" max="12" width="28.109375" customWidth="1"/>
  </cols>
  <sheetData>
    <row r="1" spans="1:11">
      <c r="A1" s="1" t="s">
        <v>112</v>
      </c>
      <c r="B1" s="1" t="s">
        <v>138</v>
      </c>
      <c r="C1" s="1" t="s">
        <v>139</v>
      </c>
      <c r="D1" s="1" t="s">
        <v>140</v>
      </c>
      <c r="E1" s="1" t="s">
        <v>117</v>
      </c>
      <c r="F1" s="1" t="s">
        <v>141</v>
      </c>
      <c r="G1" s="1" t="s">
        <v>118</v>
      </c>
      <c r="H1" s="1" t="s">
        <v>119</v>
      </c>
      <c r="I1" s="1" t="s">
        <v>142</v>
      </c>
      <c r="J1" s="1" t="s">
        <v>115</v>
      </c>
      <c r="K1" s="1" t="s">
        <v>116</v>
      </c>
    </row>
    <row r="2" spans="1:11">
      <c r="A2" s="3" t="s">
        <v>114</v>
      </c>
      <c r="B2" s="2">
        <v>210</v>
      </c>
      <c r="C2" s="2">
        <v>96.64</v>
      </c>
      <c r="D2" s="2">
        <v>0</v>
      </c>
      <c r="E2" s="2">
        <v>5</v>
      </c>
      <c r="F2" s="2">
        <v>189.12</v>
      </c>
      <c r="G2" s="2">
        <v>14.2</v>
      </c>
      <c r="H2" s="2">
        <v>0.126</v>
      </c>
      <c r="I2" s="2">
        <v>491.96</v>
      </c>
      <c r="J2" s="2">
        <v>38.07</v>
      </c>
      <c r="K2" s="2">
        <v>2.1000000000000001E-2</v>
      </c>
    </row>
    <row r="3" spans="1:11">
      <c r="A3" s="3" t="s">
        <v>143</v>
      </c>
      <c r="B3" s="2">
        <v>147</v>
      </c>
      <c r="C3" s="2">
        <v>96.64</v>
      </c>
      <c r="D3" s="2">
        <v>0</v>
      </c>
      <c r="E3" s="2">
        <v>5</v>
      </c>
      <c r="F3" s="2">
        <v>254.85</v>
      </c>
      <c r="G3" s="2">
        <v>18.5</v>
      </c>
      <c r="H3" s="2">
        <v>0.112</v>
      </c>
      <c r="I3" s="2">
        <v>491.77</v>
      </c>
      <c r="J3" s="2">
        <v>42.8</v>
      </c>
      <c r="K3" s="2">
        <v>1.7999999999999999E-2</v>
      </c>
    </row>
    <row r="4" spans="1:11">
      <c r="A4" s="3" t="s">
        <v>144</v>
      </c>
      <c r="B4" s="2">
        <v>105</v>
      </c>
      <c r="C4" s="2">
        <v>96.64</v>
      </c>
      <c r="D4" s="2">
        <v>0</v>
      </c>
      <c r="E4" s="2">
        <v>5</v>
      </c>
      <c r="F4" s="2">
        <v>296.85000000000002</v>
      </c>
      <c r="G4" s="2">
        <v>21</v>
      </c>
      <c r="H4" s="2">
        <v>9.5000000000000001E-2</v>
      </c>
      <c r="I4" s="2">
        <v>492.56</v>
      </c>
      <c r="J4" s="2">
        <v>40</v>
      </c>
      <c r="K4" s="2">
        <v>1.9E-2</v>
      </c>
    </row>
    <row r="5" spans="1:11">
      <c r="A5" s="3" t="s">
        <v>145</v>
      </c>
      <c r="B5" s="2">
        <v>210</v>
      </c>
      <c r="C5" s="2">
        <v>77.31</v>
      </c>
      <c r="D5" s="2">
        <v>0</v>
      </c>
      <c r="E5" s="2">
        <v>5</v>
      </c>
      <c r="F5" s="2">
        <v>365.8</v>
      </c>
      <c r="G5" s="2">
        <v>25</v>
      </c>
      <c r="H5" s="2">
        <v>0.11</v>
      </c>
      <c r="I5" s="2">
        <v>541</v>
      </c>
      <c r="J5" s="2">
        <v>45</v>
      </c>
      <c r="K5" s="2">
        <v>0.02</v>
      </c>
    </row>
    <row r="6" spans="1:11">
      <c r="A6" s="3" t="s">
        <v>146</v>
      </c>
      <c r="B6" s="2">
        <v>210</v>
      </c>
      <c r="C6" s="2">
        <v>96.64</v>
      </c>
      <c r="D6" s="2">
        <v>50</v>
      </c>
      <c r="E6" s="2">
        <v>5</v>
      </c>
      <c r="F6" s="2">
        <v>263.85000000000002</v>
      </c>
      <c r="G6" s="2">
        <v>16.5</v>
      </c>
      <c r="H6" s="2">
        <v>0.11799999999999999</v>
      </c>
      <c r="I6" s="2" t="s">
        <v>147</v>
      </c>
      <c r="J6" s="2" t="s">
        <v>147</v>
      </c>
      <c r="K6" s="2" t="s">
        <v>147</v>
      </c>
    </row>
    <row r="7" spans="1:11" ht="28.8" customHeight="1">
      <c r="A7" s="3" t="s">
        <v>148</v>
      </c>
      <c r="B7" s="2">
        <v>210</v>
      </c>
      <c r="C7" s="2">
        <v>96.64</v>
      </c>
      <c r="D7" s="2">
        <v>0</v>
      </c>
      <c r="E7" s="2">
        <v>6.5</v>
      </c>
      <c r="F7" s="2">
        <v>573.33000000000004</v>
      </c>
      <c r="G7" s="2">
        <v>35</v>
      </c>
      <c r="H7" s="2">
        <v>0.111</v>
      </c>
      <c r="I7" s="2">
        <v>714.55</v>
      </c>
      <c r="J7" s="2">
        <v>60</v>
      </c>
      <c r="K7" s="2">
        <v>1.6E-2</v>
      </c>
    </row>
    <row r="8" spans="1:11">
      <c r="A8" s="3" t="s">
        <v>149</v>
      </c>
      <c r="B8" s="2">
        <v>210</v>
      </c>
      <c r="C8" s="2">
        <v>96.64</v>
      </c>
      <c r="D8" s="2">
        <v>232.74</v>
      </c>
      <c r="E8" s="2">
        <v>5</v>
      </c>
      <c r="F8" s="2">
        <v>0</v>
      </c>
      <c r="G8" s="2">
        <v>8</v>
      </c>
      <c r="H8" s="2">
        <v>0.123</v>
      </c>
      <c r="I8" s="2" t="s">
        <v>147</v>
      </c>
      <c r="J8" s="2" t="s">
        <v>147</v>
      </c>
      <c r="K8" s="2" t="s">
        <v>147</v>
      </c>
    </row>
    <row r="9" spans="1:11" ht="24" customHeight="1">
      <c r="A9" s="36" t="s">
        <v>150</v>
      </c>
      <c r="B9" s="36"/>
      <c r="C9" s="36"/>
      <c r="D9" s="36"/>
      <c r="E9" s="36"/>
      <c r="F9" s="36"/>
      <c r="G9" s="36"/>
      <c r="H9" s="36"/>
      <c r="I9" s="36">
        <v>553.87</v>
      </c>
      <c r="J9" s="36">
        <v>42.35</v>
      </c>
      <c r="K9" s="36">
        <v>1.6299999999999999E-2</v>
      </c>
    </row>
    <row r="10" spans="1:11" ht="16.8" customHeight="1">
      <c r="A10" s="36" t="s">
        <v>151</v>
      </c>
      <c r="B10" s="36"/>
      <c r="C10" s="36"/>
      <c r="D10" s="36"/>
      <c r="E10" s="36"/>
      <c r="F10" s="36"/>
      <c r="G10" s="36"/>
      <c r="H10" s="36"/>
      <c r="I10" s="36">
        <v>430.07</v>
      </c>
      <c r="J10" s="36">
        <v>34.200000000000003</v>
      </c>
      <c r="K10" s="36">
        <v>2.5499999999999998E-2</v>
      </c>
    </row>
    <row r="11" spans="1:11" ht="21.6" customHeight="1">
      <c r="A11" s="36" t="s">
        <v>152</v>
      </c>
      <c r="B11" s="36"/>
      <c r="C11" s="36"/>
      <c r="D11" s="36"/>
      <c r="E11" s="36"/>
      <c r="F11" s="36"/>
      <c r="G11" s="36"/>
      <c r="H11" s="36"/>
      <c r="I11" s="36">
        <v>487.05</v>
      </c>
      <c r="J11" s="36">
        <v>37.65</v>
      </c>
      <c r="K11" s="36">
        <v>2.1299999999999999E-2</v>
      </c>
    </row>
    <row r="12" spans="1:11" ht="24" customHeight="1">
      <c r="A12" s="36" t="s">
        <v>153</v>
      </c>
      <c r="B12" s="36"/>
      <c r="C12" s="36"/>
      <c r="D12" s="36"/>
      <c r="E12" s="36"/>
      <c r="F12" s="36"/>
      <c r="G12" s="36"/>
      <c r="H12" s="36"/>
      <c r="I12" s="36">
        <v>496.87</v>
      </c>
      <c r="J12" s="36">
        <v>38.520000000000003</v>
      </c>
      <c r="K12" s="36">
        <v>2.0500000000000001E-2</v>
      </c>
    </row>
    <row r="15" spans="1:11">
      <c r="A15" s="1"/>
      <c r="B15" s="1"/>
      <c r="C15" s="1"/>
      <c r="D15" s="1"/>
    </row>
    <row r="16" spans="1:11">
      <c r="A16" s="3"/>
      <c r="B16" s="2"/>
      <c r="C16" s="2"/>
      <c r="D16" s="2"/>
      <c r="E16" s="1"/>
    </row>
    <row r="17" spans="1:5">
      <c r="A17" s="3"/>
      <c r="B17" s="2"/>
      <c r="C17" s="2"/>
      <c r="D17" s="2"/>
      <c r="E17" s="2"/>
    </row>
    <row r="18" spans="1:5">
      <c r="A18" s="3"/>
      <c r="B18" s="2"/>
      <c r="C18" s="2"/>
      <c r="D18" s="2"/>
    </row>
    <row r="19" spans="1:5">
      <c r="A19" s="3"/>
      <c r="B19" s="2"/>
      <c r="C19" s="2"/>
      <c r="D19" s="2"/>
    </row>
    <row r="20" spans="1:5">
      <c r="A20" s="3"/>
      <c r="B20" s="2"/>
      <c r="C20" s="2"/>
      <c r="D20" s="2"/>
    </row>
    <row r="21" spans="1:5">
      <c r="A21" s="3"/>
      <c r="B21" s="2"/>
      <c r="C21" s="2"/>
      <c r="D21" s="2"/>
    </row>
    <row r="22" spans="1:5">
      <c r="A22" s="3"/>
      <c r="B22" s="2"/>
      <c r="C22" s="2"/>
      <c r="D22" s="2"/>
    </row>
    <row r="23" spans="1:5">
      <c r="A23" s="1"/>
      <c r="B23" s="1"/>
      <c r="C23" s="1"/>
    </row>
    <row r="24" spans="1:5">
      <c r="A24" s="3"/>
      <c r="B24" s="2"/>
      <c r="C24" s="2"/>
    </row>
    <row r="25" spans="1:5">
      <c r="A25" s="3"/>
      <c r="B25" s="2"/>
      <c r="C25" s="2"/>
    </row>
    <row r="26" spans="1:5">
      <c r="A26" s="3"/>
      <c r="B26" s="2"/>
      <c r="C26" s="2"/>
    </row>
    <row r="27" spans="1:5">
      <c r="A27" s="3"/>
      <c r="B27" s="2"/>
      <c r="C27" s="2"/>
    </row>
    <row r="28" spans="1:5">
      <c r="A28" s="3"/>
      <c r="B28" s="2"/>
      <c r="C28" s="2"/>
    </row>
    <row r="29" spans="1:5">
      <c r="A29" s="3"/>
      <c r="B29" s="2"/>
      <c r="C29" s="2"/>
    </row>
    <row r="30" spans="1:5">
      <c r="A30" s="3"/>
      <c r="B30" s="2"/>
      <c r="C30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C9BE-A427-4418-BD76-C547F1EF9A0B}">
  <dimension ref="A1:D8"/>
  <sheetViews>
    <sheetView workbookViewId="0">
      <selection activeCell="C15" sqref="C15"/>
    </sheetView>
  </sheetViews>
  <sheetFormatPr defaultRowHeight="14.4"/>
  <cols>
    <col min="1" max="1" width="13.77734375" customWidth="1"/>
    <col min="2" max="2" width="27" customWidth="1"/>
    <col min="3" max="3" width="27.44140625" customWidth="1"/>
    <col min="4" max="4" width="26.77734375" customWidth="1"/>
  </cols>
  <sheetData>
    <row r="1" spans="1:4">
      <c r="A1" s="1" t="s">
        <v>0</v>
      </c>
      <c r="B1" s="1" t="s">
        <v>110</v>
      </c>
      <c r="C1" s="1" t="s">
        <v>120</v>
      </c>
      <c r="D1" s="1" t="s">
        <v>121</v>
      </c>
    </row>
    <row r="2" spans="1:4" ht="28.8">
      <c r="A2" s="3" t="s">
        <v>106</v>
      </c>
      <c r="B2" s="20">
        <f>'NPV_IRR_PAYBACK PERIOD'!B31</f>
        <v>491964926.33918989</v>
      </c>
      <c r="C2" s="20">
        <f>'NPV_IRR_PAYBACK PERIOD'!C31</f>
        <v>189122113.25469357</v>
      </c>
      <c r="D2" s="7" t="s">
        <v>122</v>
      </c>
    </row>
    <row r="3" spans="1:4" ht="28.8">
      <c r="A3" s="3" t="s">
        <v>113</v>
      </c>
      <c r="B3" s="34">
        <f>'NPV_IRR_PAYBACK PERIOD'!B32</f>
        <v>0.38066085289710028</v>
      </c>
      <c r="C3" s="34">
        <f>'NPV_IRR_PAYBACK PERIOD'!C32</f>
        <v>0.14197724362830999</v>
      </c>
      <c r="D3" s="7" t="s">
        <v>123</v>
      </c>
    </row>
    <row r="4" spans="1:4" ht="28.8">
      <c r="A4" s="3" t="s">
        <v>86</v>
      </c>
      <c r="B4" s="14">
        <f>'LCOF Calculation'!B24</f>
        <v>2.0914746216972709E-2</v>
      </c>
      <c r="C4" s="14">
        <f>'LCOF Calculation'!C24</f>
        <v>0.1259244916336181</v>
      </c>
      <c r="D4" s="7" t="s">
        <v>124</v>
      </c>
    </row>
    <row r="5" spans="1:4" ht="28.8">
      <c r="A5" s="3" t="s">
        <v>51</v>
      </c>
      <c r="B5" s="20">
        <f>'NPV_IRR_PAYBACK PERIOD'!B5</f>
        <v>3970000</v>
      </c>
      <c r="C5" s="20">
        <f>'NPV_IRR_PAYBACK PERIOD'!C5</f>
        <v>210000000</v>
      </c>
      <c r="D5" s="7" t="s">
        <v>125</v>
      </c>
    </row>
    <row r="6" spans="1:4" ht="28.8">
      <c r="A6" s="3" t="s">
        <v>126</v>
      </c>
      <c r="B6" s="33">
        <f>'NPV_IRR_PAYBACK PERIOD'!B7</f>
        <v>27997159.09090909</v>
      </c>
      <c r="C6" s="20">
        <f>'NPV_IRR_PAYBACK PERIOD'!C7</f>
        <v>96642580.645161286</v>
      </c>
      <c r="D6" s="7" t="s">
        <v>127</v>
      </c>
    </row>
    <row r="7" spans="1:4" ht="28.8">
      <c r="A7" s="3" t="s">
        <v>128</v>
      </c>
      <c r="B7" s="7" t="s">
        <v>134</v>
      </c>
      <c r="C7" s="1" t="s">
        <v>135</v>
      </c>
      <c r="D7" s="7" t="s">
        <v>129</v>
      </c>
    </row>
    <row r="8" spans="1:4" ht="28.8">
      <c r="A8" s="3" t="s">
        <v>130</v>
      </c>
      <c r="B8" s="7" t="s">
        <v>131</v>
      </c>
      <c r="C8" s="7" t="s">
        <v>132</v>
      </c>
      <c r="D8" s="7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LCOF Calculation</vt:lpstr>
      <vt:lpstr>NPV_IRR_PAYBACK PERIOD</vt:lpstr>
      <vt:lpstr>Sensitivity Analysis</vt:lpstr>
      <vt:lpstr>Comparison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Kenechukwu Kingsley Okafor 2023 (N1260092)</dc:creator>
  <cp:lastModifiedBy>Kenechukwu Kingsley Okafor 2023 (N1260092)</cp:lastModifiedBy>
  <dcterms:created xsi:type="dcterms:W3CDTF">2025-02-26T01:26:51Z</dcterms:created>
  <dcterms:modified xsi:type="dcterms:W3CDTF">2025-03-24T00:47:33Z</dcterms:modified>
</cp:coreProperties>
</file>